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2,955</t>
      </text>
    </comment>
    <comment authorId="0" ref="C6">
      <text>
        <t xml:space="preserve">78</t>
      </text>
    </comment>
    <comment authorId="0" ref="B7">
      <text>
        <t xml:space="preserve">29</t>
      </text>
    </comment>
    <comment authorId="0" ref="B8">
      <text>
        <t xml:space="preserve">20</t>
      </text>
    </comment>
    <comment authorId="0" ref="B9">
      <text>
        <t xml:space="preserve">4</t>
      </text>
    </comment>
  </commentList>
</comments>
</file>

<file path=xl/sharedStrings.xml><?xml version="1.0" encoding="utf-8"?>
<sst xmlns="http://schemas.openxmlformats.org/spreadsheetml/2006/main" count="566" uniqueCount="304">
  <si>
    <t>Updated throughout the day</t>
  </si>
  <si>
    <t>Currently being updated</t>
  </si>
  <si>
    <t>CASES</t>
  </si>
  <si>
    <t>DEATHS</t>
  </si>
  <si>
    <t>RECOVERED</t>
  </si>
  <si>
    <t>UNRESOLVED</t>
  </si>
  <si>
    <t>MAINLAND CHINA</t>
  </si>
  <si>
    <t>UNITED STATES</t>
  </si>
  <si>
    <t>Cases</t>
  </si>
  <si>
    <t>Deaths</t>
  </si>
  <si>
    <t>Serious</t>
  </si>
  <si>
    <t>Critical</t>
  </si>
  <si>
    <t>Recovered</t>
  </si>
  <si>
    <t>Links</t>
  </si>
  <si>
    <t>WORLD</t>
  </si>
  <si>
    <t>Hubei province (includes Wuhan)</t>
  </si>
  <si>
    <t>New York</t>
  </si>
  <si>
    <t>New cases</t>
  </si>
  <si>
    <t>New deaths</t>
  </si>
  <si>
    <t>% of deaths</t>
  </si>
  <si>
    <t>Serious &amp; Critical</t>
  </si>
  <si>
    <t>China</t>
  </si>
  <si>
    <t>N/A</t>
  </si>
  <si>
    <t>Washington</t>
  </si>
  <si>
    <t>Guangdong province</t>
  </si>
  <si>
    <t>Henan province</t>
  </si>
  <si>
    <t>Zhejiang province</t>
  </si>
  <si>
    <t>California</t>
  </si>
  <si>
    <t>Hunan province</t>
  </si>
  <si>
    <t>New Jersey</t>
  </si>
  <si>
    <t>Beijing</t>
  </si>
  <si>
    <t>Italy</t>
  </si>
  <si>
    <t>Illinois</t>
  </si>
  <si>
    <t>Shanghai</t>
  </si>
  <si>
    <t>Florida</t>
  </si>
  <si>
    <t>Other regions</t>
  </si>
  <si>
    <t>Spain</t>
  </si>
  <si>
    <t>&lt;14</t>
  </si>
  <si>
    <t>Michigan</t>
  </si>
  <si>
    <t>TOTAL</t>
  </si>
  <si>
    <t>Louisiana</t>
  </si>
  <si>
    <t>Iran</t>
  </si>
  <si>
    <t>Georgia</t>
  </si>
  <si>
    <t>Massachusetts</t>
  </si>
  <si>
    <t>Germany</t>
  </si>
  <si>
    <t>Texas</t>
  </si>
  <si>
    <t>Colorado</t>
  </si>
  <si>
    <t>Pennsylvania</t>
  </si>
  <si>
    <t>United States</t>
  </si>
  <si>
    <t>Tennessee</t>
  </si>
  <si>
    <t>Wisconsin</t>
  </si>
  <si>
    <t>Connecticut</t>
  </si>
  <si>
    <t>France</t>
  </si>
  <si>
    <t>Ohio</t>
  </si>
  <si>
    <t>South Korea</t>
  </si>
  <si>
    <t>Nevada</t>
  </si>
  <si>
    <t>North Carolina</t>
  </si>
  <si>
    <t>Switzerland</t>
  </si>
  <si>
    <t>South Carolina</t>
  </si>
  <si>
    <t>Oregon</t>
  </si>
  <si>
    <t>United Kingdom</t>
  </si>
  <si>
    <t>Maryland</t>
  </si>
  <si>
    <t>CANADA</t>
  </si>
  <si>
    <t>Minnesota</t>
  </si>
  <si>
    <t>British Columbia</t>
  </si>
  <si>
    <t>Netherlands</t>
  </si>
  <si>
    <t>Virginia</t>
  </si>
  <si>
    <t>Ontario</t>
  </si>
  <si>
    <t>Utah</t>
  </si>
  <si>
    <t>Alberta</t>
  </si>
  <si>
    <t>Austria</t>
  </si>
  <si>
    <t>Alabama</t>
  </si>
  <si>
    <t>Quebec</t>
  </si>
  <si>
    <t>Arkansas</t>
  </si>
  <si>
    <t>Saskatchewan</t>
  </si>
  <si>
    <t>Belgium</t>
  </si>
  <si>
    <t>Manitoba</t>
  </si>
  <si>
    <t>Mississippi</t>
  </si>
  <si>
    <t>Nova Scotia</t>
  </si>
  <si>
    <t>Indiana</t>
  </si>
  <si>
    <t>Norway</t>
  </si>
  <si>
    <t>New Brunswick</t>
  </si>
  <si>
    <t>District of Columbia</t>
  </si>
  <si>
    <t>Newfoundland &amp; Labrador</t>
  </si>
  <si>
    <t>Sweden</t>
  </si>
  <si>
    <t>Arizona</t>
  </si>
  <si>
    <t>Prince Edward Island</t>
  </si>
  <si>
    <t>Maine</t>
  </si>
  <si>
    <t>Denmark</t>
  </si>
  <si>
    <t>Northwest Territories</t>
  </si>
  <si>
    <t>New Hampshire</t>
  </si>
  <si>
    <t>Nunavut</t>
  </si>
  <si>
    <t>Oklahoma</t>
  </si>
  <si>
    <t>Canada</t>
  </si>
  <si>
    <t>Yukon</t>
  </si>
  <si>
    <t>Kentucky</t>
  </si>
  <si>
    <t>Diamond Princess (repatriated)</t>
  </si>
  <si>
    <t>Portugal</t>
  </si>
  <si>
    <t>Nebraska</t>
  </si>
  <si>
    <t>Iowa</t>
  </si>
  <si>
    <t>Japan</t>
  </si>
  <si>
    <t>Rhode Island</t>
  </si>
  <si>
    <t>Kansas</t>
  </si>
  <si>
    <t>Brazil</t>
  </si>
  <si>
    <t>New Mexico</t>
  </si>
  <si>
    <t>Delaware</t>
  </si>
  <si>
    <t>Hawaii</t>
  </si>
  <si>
    <t>Malaysia</t>
  </si>
  <si>
    <t>Idaho</t>
  </si>
  <si>
    <t>Vermont</t>
  </si>
  <si>
    <t>Australia</t>
  </si>
  <si>
    <t>Missouri</t>
  </si>
  <si>
    <t>AUSTRALIA</t>
  </si>
  <si>
    <t>New South Wales</t>
  </si>
  <si>
    <t>North Dakota</t>
  </si>
  <si>
    <t>Grand Princess</t>
  </si>
  <si>
    <t>Czech Republic</t>
  </si>
  <si>
    <t>Queensland</t>
  </si>
  <si>
    <t>Wyoming</t>
  </si>
  <si>
    <t>Victoria</t>
  </si>
  <si>
    <t>Diamond Princess</t>
  </si>
  <si>
    <t>South Dakota</t>
  </si>
  <si>
    <t>Western Australia</t>
  </si>
  <si>
    <t>Montana</t>
  </si>
  <si>
    <t>South Australia</t>
  </si>
  <si>
    <t>Israel</t>
  </si>
  <si>
    <t>Tasmania</t>
  </si>
  <si>
    <t>Guam</t>
  </si>
  <si>
    <t>Turkey</t>
  </si>
  <si>
    <t>Puerto Rico</t>
  </si>
  <si>
    <t>Canberra (ACT)</t>
  </si>
  <si>
    <t>Northern Territory</t>
  </si>
  <si>
    <t>Alaska</t>
  </si>
  <si>
    <t>Ireland</t>
  </si>
  <si>
    <t>External territories</t>
  </si>
  <si>
    <t>West Virginia</t>
  </si>
  <si>
    <t>Jervis Bay Territory</t>
  </si>
  <si>
    <t>Wuhan (repatriated)</t>
  </si>
  <si>
    <t>TBD</t>
  </si>
  <si>
    <t>Greece</t>
  </si>
  <si>
    <t>U.S. Virgin Islands</t>
  </si>
  <si>
    <t>Luxembourg</t>
  </si>
  <si>
    <t>American Samoa</t>
  </si>
  <si>
    <t>Northern Mariana Islands</t>
  </si>
  <si>
    <t>Qatar</t>
  </si>
  <si>
    <t>Pakistan</t>
  </si>
  <si>
    <t>U.S. TOTAL</t>
  </si>
  <si>
    <t>Chile</t>
  </si>
  <si>
    <t>Última actualización: 11 de Marzo de 2020 a las 7:40 p.m. (hora del centro)</t>
  </si>
  <si>
    <t>CASOS</t>
  </si>
  <si>
    <t>MUERTES</t>
  </si>
  <si>
    <t>RECUPERADOS</t>
  </si>
  <si>
    <t>Finland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</si>
  <si>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</si>
  <si>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</si>
  <si>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</si>
  <si>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</si>
  <si>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</si>
  <si>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</si>
  <si>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</si>
  <si>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</si>
  <si>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Ecuador</t>
  </si>
  <si>
    <t>Brasil</t>
  </si>
  <si>
    <t>Poland</t>
  </si>
  <si>
    <t>Costa Rica</t>
  </si>
  <si>
    <t>Argentina</t>
  </si>
  <si>
    <t>Iceland</t>
  </si>
  <si>
    <t>Peru</t>
  </si>
  <si>
    <t>Panamá</t>
  </si>
  <si>
    <t>México</t>
  </si>
  <si>
    <t>Colombia</t>
  </si>
  <si>
    <t>Rep. Dominicana</t>
  </si>
  <si>
    <t>Paraguay</t>
  </si>
  <si>
    <t>Indonesia</t>
  </si>
  <si>
    <t>Cuba</t>
  </si>
  <si>
    <t>Bolivia</t>
  </si>
  <si>
    <t>Honduras</t>
  </si>
  <si>
    <t>Singapore</t>
  </si>
  <si>
    <t>Thailand</t>
  </si>
  <si>
    <t>Slovenia</t>
  </si>
  <si>
    <t>Romania</t>
  </si>
  <si>
    <t>Bahrain</t>
  </si>
  <si>
    <t>Saudi Arabia</t>
  </si>
  <si>
    <t>Estonia</t>
  </si>
  <si>
    <t>Egypt</t>
  </si>
  <si>
    <t>Hong Kong</t>
  </si>
  <si>
    <t>Russia</t>
  </si>
  <si>
    <t>India</t>
  </si>
  <si>
    <t>Philippines</t>
  </si>
  <si>
    <t>Iraq</t>
  </si>
  <si>
    <t>South Africa</t>
  </si>
  <si>
    <t>Mexico</t>
  </si>
  <si>
    <t>Lebanon</t>
  </si>
  <si>
    <t>Kuwait</t>
  </si>
  <si>
    <t>San Marino</t>
  </si>
  <si>
    <t>United Arab Emirates</t>
  </si>
  <si>
    <t>Panama</t>
  </si>
  <si>
    <t>Armenia</t>
  </si>
  <si>
    <t>Taiwan</t>
  </si>
  <si>
    <t>Serbia</t>
  </si>
  <si>
    <t>Slovakia</t>
  </si>
  <si>
    <t>Bulgaria</t>
  </si>
  <si>
    <t>Latvia</t>
  </si>
  <si>
    <t>Croatia</t>
  </si>
  <si>
    <t>Uruguay</t>
  </si>
  <si>
    <t>Vietnam</t>
  </si>
  <si>
    <t>Hungary</t>
  </si>
  <si>
    <t>Algeria</t>
  </si>
  <si>
    <t>Morocco</t>
  </si>
  <si>
    <t>Andorra</t>
  </si>
  <si>
    <t>Brunei</t>
  </si>
  <si>
    <t>Sri Lanka</t>
  </si>
  <si>
    <t>Bosnia</t>
  </si>
  <si>
    <t>Jordan</t>
  </si>
  <si>
    <t>North Macedonia</t>
  </si>
  <si>
    <t>Cyprus</t>
  </si>
  <si>
    <t>Albania</t>
  </si>
  <si>
    <t>Malta</t>
  </si>
  <si>
    <t>Belarus</t>
  </si>
  <si>
    <t>New Zealand</t>
  </si>
  <si>
    <t>Moldova</t>
  </si>
  <si>
    <t>Kazakhstan</t>
  </si>
  <si>
    <t>Lithuania</t>
  </si>
  <si>
    <t>Oman</t>
  </si>
  <si>
    <t>Palestine</t>
  </si>
  <si>
    <t>Cambodia</t>
  </si>
  <si>
    <t>Azerbaijan</t>
  </si>
  <si>
    <t>Venezuela</t>
  </si>
  <si>
    <t>Burkina Faso</t>
  </si>
  <si>
    <t>Tunisia</t>
  </si>
  <si>
    <t>Senegal</t>
  </si>
  <si>
    <t>Dominican Republic</t>
  </si>
  <si>
    <t>Uzbekistan</t>
  </si>
  <si>
    <t>Northern Cyprus</t>
  </si>
  <si>
    <t>Liechtenstein</t>
  </si>
  <si>
    <t>Ukraine</t>
  </si>
  <si>
    <t>Afghanistan</t>
  </si>
  <si>
    <t>Cameroon</t>
  </si>
  <si>
    <t>Kosovo</t>
  </si>
  <si>
    <t>Bangladesh</t>
  </si>
  <si>
    <t>DR Congo</t>
  </si>
  <si>
    <t>Macau</t>
  </si>
  <si>
    <t>Ghana</t>
  </si>
  <si>
    <t>Jamaica</t>
  </si>
  <si>
    <t>Maldives</t>
  </si>
  <si>
    <t>Montenegro</t>
  </si>
  <si>
    <t>Nigeria</t>
  </si>
  <si>
    <t>Rwanda</t>
  </si>
  <si>
    <t>French Polynesia</t>
  </si>
  <si>
    <t>Monaco</t>
  </si>
  <si>
    <t>Jersey</t>
  </si>
  <si>
    <t>Gibraltar</t>
  </si>
  <si>
    <t>Trinidad and Tobago</t>
  </si>
  <si>
    <t>Ethiopia</t>
  </si>
  <si>
    <t>Togo</t>
  </si>
  <si>
    <t>Ivory Coast</t>
  </si>
  <si>
    <t>Guatemala</t>
  </si>
  <si>
    <t>Kenya</t>
  </si>
  <si>
    <t>Mauritius</t>
  </si>
  <si>
    <t>Seychelles</t>
  </si>
  <si>
    <t>Mongolia</t>
  </si>
  <si>
    <t>Tanzania</t>
  </si>
  <si>
    <t>Equatorial Guinea</t>
  </si>
  <si>
    <t>Barbados</t>
  </si>
  <si>
    <t>Aruba</t>
  </si>
  <si>
    <t>Guyana</t>
  </si>
  <si>
    <t>Suriname</t>
  </si>
  <si>
    <t>Cayman Islands</t>
  </si>
  <si>
    <t>Gabon</t>
  </si>
  <si>
    <t>Kyrgyzstan</t>
  </si>
  <si>
    <t>Bahamas</t>
  </si>
  <si>
    <t>Curaçao</t>
  </si>
  <si>
    <t>Congo Republic</t>
  </si>
  <si>
    <t>Namibia</t>
  </si>
  <si>
    <t>Haiti</t>
  </si>
  <si>
    <t>New Caledonia</t>
  </si>
  <si>
    <t>Liberia</t>
  </si>
  <si>
    <t>Saint Lucia</t>
  </si>
  <si>
    <t>Greenland</t>
  </si>
  <si>
    <t>Guinea</t>
  </si>
  <si>
    <t>Mauritania</t>
  </si>
  <si>
    <t>Zambia</t>
  </si>
  <si>
    <t>Benin</t>
  </si>
  <si>
    <t>Bhutan</t>
  </si>
  <si>
    <t>Niger</t>
  </si>
  <si>
    <t>Sint Maarten</t>
  </si>
  <si>
    <t>Fiji</t>
  </si>
  <si>
    <t>Chad</t>
  </si>
  <si>
    <t>Isle of Man</t>
  </si>
  <si>
    <t>El Salvador</t>
  </si>
  <si>
    <t>Saint Vincent and the Grenadines</t>
  </si>
  <si>
    <t>Guernsey</t>
  </si>
  <si>
    <t>Nicaragua</t>
  </si>
  <si>
    <t>Djibouti</t>
  </si>
  <si>
    <t>Antigua and Barbuda</t>
  </si>
  <si>
    <t>Sudan</t>
  </si>
  <si>
    <t>Montserrat</t>
  </si>
  <si>
    <t>Gambia</t>
  </si>
  <si>
    <t>Eswatini</t>
  </si>
  <si>
    <t>Somalia</t>
  </si>
  <si>
    <t>Central African Republic</t>
  </si>
  <si>
    <t>Nepal</t>
  </si>
  <si>
    <t>Vatican City</t>
  </si>
  <si>
    <t>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</si>
</sst>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color theme="1"/>
      <name val="Arial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sz val="11.0"/>
      <color rgb="FF999999"/>
      <name val="Arial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FFFFFF"/>
      <name val="Arial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2" fontId="9" numFmtId="0" xfId="0" applyAlignment="1" applyFill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11" numFmtId="3" xfId="0" applyAlignment="1" applyFont="1" applyNumberFormat="1">
      <alignment horizontal="left" vertical="bottom"/>
    </xf>
    <xf borderId="0" fillId="2" fontId="4" numFmtId="0" xfId="0" applyFont="1"/>
    <xf borderId="0" fillId="0" fontId="7" numFmtId="0" xfId="0" applyAlignment="1" applyFont="1">
      <alignment horizontal="left" readingOrder="0"/>
    </xf>
    <xf borderId="0" fillId="2" fontId="10" numFmtId="3" xfId="0" applyAlignment="1" applyFont="1" applyNumberFormat="1">
      <alignment horizontal="left"/>
    </xf>
    <xf borderId="0" fillId="3" fontId="7" numFmtId="0" xfId="0" applyAlignment="1" applyFill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vertical="bottom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2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0" fontId="7" numFmtId="0" xfId="0" applyAlignment="1" applyBorder="1" applyFont="1">
      <alignment horizontal="left" readingOrder="0" shrinkToFit="0" vertical="center" wrapText="1"/>
    </xf>
    <xf borderId="0" fillId="4" fontId="13" numFmtId="0" xfId="0" applyAlignment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0" fillId="4" fontId="13" numFmtId="3" xfId="0" applyAlignment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13" numFmtId="3" xfId="0" applyAlignment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4" fontId="14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/>
    </xf>
    <xf borderId="0" fillId="5" fontId="4" numFmtId="0" xfId="0" applyAlignment="1" applyFill="1" applyFont="1">
      <alignment vertical="center"/>
    </xf>
    <xf borderId="0" fillId="0" fontId="4" numFmtId="3" xfId="0" applyAlignment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0" fillId="3" fontId="1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13" numFmtId="3" xfId="0" applyAlignment="1" applyFont="1" applyNumberFormat="1">
      <alignment horizontal="center" readingOrder="0" shrinkToFit="0" vertical="center" wrapText="1"/>
    </xf>
    <xf borderId="1" fillId="0" fontId="13" numFmtId="3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1" fillId="6" fontId="13" numFmtId="3" xfId="0" applyAlignment="1" applyBorder="1" applyFill="1" applyFont="1" applyNumberFormat="1">
      <alignment horizontal="center" readingOrder="0" vertical="center"/>
    </xf>
    <xf borderId="0" fillId="4" fontId="4" numFmtId="3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1" fillId="7" fontId="4" numFmtId="3" xfId="0" applyAlignment="1" applyBorder="1" applyFill="1" applyFont="1" applyNumberForma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0" fillId="3" fontId="16" numFmtId="0" xfId="0" applyAlignment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0" fillId="2" fontId="13" numFmtId="3" xfId="0" applyAlignment="1" applyFont="1" applyNumberFormat="1">
      <alignment horizontal="center" readingOrder="0"/>
    </xf>
    <xf borderId="0" fillId="4" fontId="13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2" fontId="19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1"/>
    </xf>
    <xf borderId="0" fillId="4" fontId="13" numFmtId="0" xfId="0" applyAlignment="1" applyFont="1">
      <alignment horizontal="center" readingOrder="0"/>
    </xf>
    <xf borderId="0" fillId="0" fontId="20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2" numFmtId="0" xfId="0" applyAlignment="1" applyFont="1">
      <alignment vertical="bottom"/>
    </xf>
    <xf borderId="1" fillId="0" fontId="13" numFmtId="0" xfId="0" applyAlignment="1" applyBorder="1" applyFont="1">
      <alignment horizontal="center" readingOrder="0" vertical="center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2" fontId="13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2" fontId="4" numFmtId="0" xfId="0" applyAlignment="1" applyFont="1">
      <alignment vertical="center"/>
    </xf>
    <xf borderId="0" fillId="2" fontId="8" numFmtId="0" xfId="0" applyFont="1"/>
    <xf borderId="0" fillId="5" fontId="23" numFmtId="0" xfId="0" applyAlignment="1" applyFont="1">
      <alignment vertical="center"/>
    </xf>
    <xf borderId="0" fillId="2" fontId="23" numFmtId="0" xfId="0" applyAlignment="1" applyFont="1">
      <alignment vertical="center"/>
    </xf>
    <xf borderId="0" fillId="5" fontId="19" numFmtId="0" xfId="0" applyAlignment="1" applyFont="1">
      <alignment vertical="center"/>
    </xf>
    <xf borderId="0" fillId="3" fontId="18" numFmtId="0" xfId="0" applyAlignment="1" applyFont="1">
      <alignment horizontal="center" readingOrder="0" shrinkToFit="0" vertical="center" wrapText="1"/>
    </xf>
    <xf borderId="0" fillId="3" fontId="18" numFmtId="0" xfId="0" applyAlignment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0" fillId="2" fontId="24" numFmtId="0" xfId="0" applyAlignment="1" applyFont="1">
      <alignment horizontal="left" readingOrder="0" shrinkToFit="0" vertical="center" wrapText="1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5" fontId="25" numFmtId="0" xfId="0" applyAlignment="1" applyFont="1">
      <alignment vertical="center"/>
    </xf>
    <xf borderId="2" fillId="6" fontId="13" numFmtId="3" xfId="0" applyAlignment="1" applyBorder="1" applyFont="1" applyNumberFormat="1">
      <alignment horizontal="center" readingOrder="0" vertical="center"/>
    </xf>
    <xf borderId="3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2" fillId="7" fontId="4" numFmtId="3" xfId="0" applyAlignment="1" applyBorder="1" applyFont="1" applyNumberFormat="1">
      <alignment horizontal="center" readingOrder="0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/>
    </xf>
    <xf borderId="0" fillId="0" fontId="7" numFmtId="0" xfId="0" applyAlignment="1" applyFont="1">
      <alignment horizontal="left" readingOrder="0" vertical="center"/>
    </xf>
    <xf borderId="0" fillId="0" fontId="21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0" fontId="20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21" numFmtId="3" xfId="0" applyAlignment="1" applyFont="1" applyNumberFormat="1">
      <alignment horizontal="center" readingOrder="0"/>
    </xf>
    <xf borderId="0" fillId="2" fontId="20" numFmtId="3" xfId="0" applyAlignment="1" applyFont="1" applyNumberFormat="1">
      <alignment horizontal="center" readingOrder="0"/>
    </xf>
    <xf borderId="0" fillId="2" fontId="8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8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World!$B$7:$B$178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World!$A$7:$A$178</c:f>
            </c:strRef>
          </c:cat>
          <c:val>
            <c:numRef>
              <c:f>World!$D$7:$D$179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6:I181" displayName="Table_6" id="6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5:G67" displayName="Table_4" id="4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21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1.86"/>
    <col customWidth="1" min="13" max="13" width="9.86"/>
  </cols>
  <sheetData>
    <row r="1">
      <c r="A1" s="2" t="s">
        <v>1</v>
      </c>
      <c r="B1" s="3"/>
      <c r="C1" s="3"/>
      <c r="D1" s="3"/>
      <c r="E1" s="5"/>
      <c r="F1" s="5"/>
      <c r="G1" s="5"/>
      <c r="H1" s="6"/>
      <c r="I1" s="7"/>
      <c r="J1" s="4"/>
      <c r="K1" s="4"/>
      <c r="L1" s="8"/>
      <c r="M1" s="8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6"/>
      <c r="I2" s="7"/>
      <c r="J2" s="4"/>
      <c r="K2" s="4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2</v>
      </c>
      <c r="B3" s="9" t="s">
        <v>3</v>
      </c>
      <c r="C3" s="5" t="s">
        <v>4</v>
      </c>
      <c r="E3" s="11" t="s">
        <v>5</v>
      </c>
      <c r="H3" s="6"/>
      <c r="I3" s="7"/>
      <c r="J3" s="4"/>
      <c r="K3" s="4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f>SUM(B180, B181)</f>
        <v>277500</v>
      </c>
      <c r="B4" s="15">
        <f>SUM(D180, D181)</f>
        <v>11485</v>
      </c>
      <c r="C4" s="12">
        <f>SUM(H180, H181)</f>
        <v>89711</v>
      </c>
      <c r="E4" s="17">
        <f>MINUS(A4,B4 + C4)</f>
        <v>176304</v>
      </c>
      <c r="F4" s="17"/>
      <c r="G4" s="5"/>
      <c r="H4" s="6"/>
      <c r="I4" s="7"/>
      <c r="J4" s="4"/>
      <c r="K4" s="4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/>
      <c r="B5" s="7"/>
      <c r="C5" s="7"/>
      <c r="D5" s="7"/>
      <c r="E5" s="6"/>
      <c r="F5" s="6"/>
      <c r="G5" s="6"/>
      <c r="H5" s="6"/>
      <c r="I5" s="7"/>
      <c r="J5" s="13"/>
      <c r="K5" s="13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3" t="s">
        <v>14</v>
      </c>
      <c r="B6" s="25" t="s">
        <v>8</v>
      </c>
      <c r="C6" s="27" t="s">
        <v>17</v>
      </c>
      <c r="D6" s="25" t="s">
        <v>9</v>
      </c>
      <c r="E6" s="29" t="s">
        <v>18</v>
      </c>
      <c r="F6" s="29" t="s">
        <v>19</v>
      </c>
      <c r="G6" s="29" t="s">
        <v>20</v>
      </c>
      <c r="H6" s="33" t="s">
        <v>12</v>
      </c>
      <c r="I6" s="25" t="s">
        <v>13</v>
      </c>
      <c r="J6" s="20"/>
      <c r="K6" s="20"/>
      <c r="L6" s="35" t="s">
        <v>8</v>
      </c>
      <c r="M6" s="35" t="s">
        <v>9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38" t="s">
        <v>21</v>
      </c>
      <c r="B7" s="42">
        <f>China!A3</f>
        <v>80967</v>
      </c>
      <c r="C7" s="45">
        <f t="shared" ref="C7:C179" si="1">MINUS(B7,L7)</f>
        <v>39</v>
      </c>
      <c r="D7" s="42">
        <f>China!B3</f>
        <v>3248</v>
      </c>
      <c r="E7" s="48">
        <f t="shared" ref="E7:E179" si="2">MINUS(D7, M7)</f>
        <v>3</v>
      </c>
      <c r="F7" s="51">
        <f t="shared" ref="F7:F178" si="3">DIVIDE(D7, B7)</f>
        <v>0.04011510862</v>
      </c>
      <c r="G7" s="53">
        <v>2314.0</v>
      </c>
      <c r="H7" s="53">
        <v>70420.0</v>
      </c>
      <c r="I7" s="54" t="str">
        <f>HYPERLINK("http://www.nhc.gov.cn/yjb/s7860/202003/0fc43d6804b04a4595a2eadd846c0a6e.shtml","Source")</f>
        <v>Source</v>
      </c>
      <c r="J7" s="20"/>
      <c r="K7" s="20"/>
      <c r="L7" s="55">
        <v>80928.0</v>
      </c>
      <c r="M7" s="55">
        <v>3245.0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38" t="s">
        <v>31</v>
      </c>
      <c r="B8" s="42">
        <v>47021.0</v>
      </c>
      <c r="C8" s="45">
        <f t="shared" si="1"/>
        <v>5986</v>
      </c>
      <c r="D8" s="42">
        <v>4032.0</v>
      </c>
      <c r="E8" s="48">
        <f t="shared" si="2"/>
        <v>627</v>
      </c>
      <c r="F8" s="51">
        <f t="shared" si="3"/>
        <v>0.0857489207</v>
      </c>
      <c r="G8" s="53">
        <v>2655.0</v>
      </c>
      <c r="H8" s="53">
        <v>5129.0</v>
      </c>
      <c r="I8" s="54" t="str">
        <f>HYPERLINK("https://pbs.twimg.com/media/ETkXRsmWsAI9lI_?format=jpg&amp;name=large","Source")</f>
        <v>Source</v>
      </c>
      <c r="J8" s="36"/>
      <c r="K8" s="20"/>
      <c r="L8" s="56">
        <v>41035.0</v>
      </c>
      <c r="M8" s="56">
        <v>3405.0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0.0" customHeight="1">
      <c r="A9" s="38" t="s">
        <v>36</v>
      </c>
      <c r="B9" s="42">
        <v>21571.0</v>
      </c>
      <c r="C9" s="45">
        <f t="shared" si="1"/>
        <v>3494</v>
      </c>
      <c r="D9" s="42">
        <v>1093.0</v>
      </c>
      <c r="E9" s="48">
        <f t="shared" si="2"/>
        <v>260</v>
      </c>
      <c r="F9" s="51">
        <f t="shared" si="3"/>
        <v>0.05066988086</v>
      </c>
      <c r="G9" s="53">
        <v>1141.0</v>
      </c>
      <c r="H9" s="53">
        <v>1588.0</v>
      </c>
      <c r="I9" s="54" t="str">
        <f>HYPERLINK("https://twitter.com/europapress/status/1240954383279538176","Source")</f>
        <v>Source</v>
      </c>
      <c r="J9" s="20"/>
      <c r="K9" s="20"/>
      <c r="L9" s="56">
        <v>18077.0</v>
      </c>
      <c r="M9" s="61">
        <v>833.0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0.0" customHeight="1">
      <c r="A10" s="38" t="s">
        <v>41</v>
      </c>
      <c r="B10" s="42">
        <v>19644.0</v>
      </c>
      <c r="C10" s="45">
        <f t="shared" si="1"/>
        <v>1237</v>
      </c>
      <c r="D10" s="42">
        <v>1433.0</v>
      </c>
      <c r="E10" s="48">
        <f t="shared" si="2"/>
        <v>149</v>
      </c>
      <c r="F10" s="51">
        <f t="shared" si="3"/>
        <v>0.072948483</v>
      </c>
      <c r="G10" s="64" t="s">
        <v>22</v>
      </c>
      <c r="H10" s="53">
        <v>6745.0</v>
      </c>
      <c r="I10" s="54" t="str">
        <f>HYPERLINK("https://twitter.com/Khaaasteh/status/1240945637186842624","Source")</f>
        <v>Source</v>
      </c>
      <c r="J10" s="36"/>
      <c r="K10" s="20"/>
      <c r="L10" s="55">
        <v>18407.0</v>
      </c>
      <c r="M10" s="55">
        <v>1284.0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0.0" customHeight="1">
      <c r="A11" s="38" t="s">
        <v>44</v>
      </c>
      <c r="B11" s="42">
        <v>19848.0</v>
      </c>
      <c r="C11" s="45">
        <f t="shared" si="1"/>
        <v>4528</v>
      </c>
      <c r="D11" s="69">
        <v>60.0</v>
      </c>
      <c r="E11" s="48">
        <f t="shared" si="2"/>
        <v>16</v>
      </c>
      <c r="F11" s="51">
        <f t="shared" si="3"/>
        <v>0.003022974607</v>
      </c>
      <c r="G11" s="64">
        <v>2.0</v>
      </c>
      <c r="H11" s="64">
        <v>115.0</v>
      </c>
      <c r="I11" s="54" t="str">
        <f>HYPERLINK("https://interaktiv.morgenpost.de/corona-virus-karte-infektionen-deutschland-weltweit/?fbclid=IwAR04HlqzakGaNssQzbz4d8o8R3gz0C910U8tvfYlBT6P0lVJJvHfk9uS2rc","Source")</f>
        <v>Source</v>
      </c>
      <c r="J11" s="20"/>
      <c r="K11" s="20"/>
      <c r="L11" s="55">
        <v>15320.0</v>
      </c>
      <c r="M11" s="72">
        <v>44.0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38" t="s">
        <v>48</v>
      </c>
      <c r="B12" s="42">
        <f>USA!A3</f>
        <v>19671</v>
      </c>
      <c r="C12" s="45">
        <f t="shared" si="1"/>
        <v>5519</v>
      </c>
      <c r="D12" s="42">
        <f>USA!B3</f>
        <v>252</v>
      </c>
      <c r="E12" s="48">
        <f t="shared" si="2"/>
        <v>44</v>
      </c>
      <c r="F12" s="51">
        <f t="shared" si="3"/>
        <v>0.01281073662</v>
      </c>
      <c r="G12" s="64">
        <v>64.0</v>
      </c>
      <c r="H12" s="53">
        <f>USA!D3</f>
        <v>26</v>
      </c>
      <c r="I12" s="54" t="str">
        <f>HYPERLINK("https://bnonews.com/index.php/2019/12/tracking-coronavirus-u-s-data/","Source")</f>
        <v>Source</v>
      </c>
      <c r="J12" s="74"/>
      <c r="K12" s="74"/>
      <c r="L12" s="56">
        <v>14152.0</v>
      </c>
      <c r="M12" s="61">
        <v>208.0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38" t="s">
        <v>52</v>
      </c>
      <c r="B13" s="42">
        <v>12612.0</v>
      </c>
      <c r="C13" s="45">
        <f t="shared" si="1"/>
        <v>1617</v>
      </c>
      <c r="D13" s="69">
        <v>450.0</v>
      </c>
      <c r="E13" s="48">
        <f t="shared" si="2"/>
        <v>78</v>
      </c>
      <c r="F13" s="51">
        <f t="shared" si="3"/>
        <v>0.03568030447</v>
      </c>
      <c r="G13" s="53">
        <v>1297.0</v>
      </c>
      <c r="H13" s="53">
        <v>1587.0</v>
      </c>
      <c r="I13" s="54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36"/>
      <c r="K13" s="20"/>
      <c r="L13" s="55">
        <v>10995.0</v>
      </c>
      <c r="M13" s="72">
        <v>372.0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0.0" customHeight="1">
      <c r="A14" s="38" t="s">
        <v>54</v>
      </c>
      <c r="B14" s="42">
        <v>8652.0</v>
      </c>
      <c r="C14" s="45">
        <f t="shared" si="1"/>
        <v>87</v>
      </c>
      <c r="D14" s="69">
        <v>94.0</v>
      </c>
      <c r="E14" s="48">
        <f t="shared" si="2"/>
        <v>3</v>
      </c>
      <c r="F14" s="51">
        <f t="shared" si="3"/>
        <v>0.01086453999</v>
      </c>
      <c r="G14" s="64" t="s">
        <v>22</v>
      </c>
      <c r="H14" s="53">
        <v>2233.0</v>
      </c>
      <c r="I14" s="54" t="str">
        <f>HYPERLINK("http://ncov.mohw.go.kr/tcmBoardView.do?brdId=&amp;brdGubun=&amp;dataGubun=&amp;ncvContSeq=353650&amp;contSeq=353650&amp;board_id=&amp;gubun=ALL","Source")</f>
        <v>Source</v>
      </c>
      <c r="J14" s="20"/>
      <c r="K14" s="20"/>
      <c r="L14" s="56">
        <v>8565.0</v>
      </c>
      <c r="M14" s="61">
        <v>91.0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0.0" customHeight="1">
      <c r="A15" s="38" t="s">
        <v>57</v>
      </c>
      <c r="B15" s="42">
        <v>5336.0</v>
      </c>
      <c r="C15" s="45">
        <f t="shared" si="1"/>
        <v>1175</v>
      </c>
      <c r="D15" s="69">
        <v>56.0</v>
      </c>
      <c r="E15" s="48">
        <f t="shared" si="2"/>
        <v>13</v>
      </c>
      <c r="F15" s="51">
        <f t="shared" si="3"/>
        <v>0.01049475262</v>
      </c>
      <c r="G15" s="64" t="s">
        <v>22</v>
      </c>
      <c r="H15" s="64">
        <v>4.0</v>
      </c>
      <c r="I15" s="54" t="str">
        <f>HYPERLINK("https://www.24heures.ch/monde/direct-nouveau-cas-coronavirus-suisse/story/24581768","Source")</f>
        <v>Source</v>
      </c>
      <c r="J15" s="36"/>
      <c r="K15" s="20"/>
      <c r="L15" s="55">
        <v>4161.0</v>
      </c>
      <c r="M15" s="72">
        <v>43.0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0.0" customHeight="1">
      <c r="A16" s="38" t="s">
        <v>60</v>
      </c>
      <c r="B16" s="42">
        <v>3983.0</v>
      </c>
      <c r="C16" s="45">
        <f t="shared" si="1"/>
        <v>714</v>
      </c>
      <c r="D16" s="69">
        <v>177.0</v>
      </c>
      <c r="E16" s="48">
        <f t="shared" si="2"/>
        <v>33</v>
      </c>
      <c r="F16" s="51">
        <f t="shared" si="3"/>
        <v>0.04443886518</v>
      </c>
      <c r="G16" s="64">
        <v>20.0</v>
      </c>
      <c r="H16" s="64">
        <v>65.0</v>
      </c>
      <c r="I16" s="54" t="str">
        <f>HYPERLINK("https://twitter.com/DHSCgovuk/status/1241058983336706050","Source")</f>
        <v>Source</v>
      </c>
      <c r="J16" s="20"/>
      <c r="K16" s="20"/>
      <c r="L16" s="56">
        <v>3269.0</v>
      </c>
      <c r="M16" s="61">
        <v>144.0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0.0" customHeight="1">
      <c r="A17" s="38" t="s">
        <v>65</v>
      </c>
      <c r="B17" s="42">
        <v>2994.0</v>
      </c>
      <c r="C17" s="45">
        <f t="shared" si="1"/>
        <v>534</v>
      </c>
      <c r="D17" s="69">
        <v>106.0</v>
      </c>
      <c r="E17" s="48">
        <f t="shared" si="2"/>
        <v>30</v>
      </c>
      <c r="F17" s="51">
        <f t="shared" si="3"/>
        <v>0.03540414162</v>
      </c>
      <c r="G17" s="64">
        <v>177.0</v>
      </c>
      <c r="H17" s="64">
        <v>2.0</v>
      </c>
      <c r="I17" s="54" t="str">
        <f>HYPERLINK("https://www.rivm.nl/nieuws/actuele-informatie-over-coronavirus","Source")</f>
        <v>Source</v>
      </c>
      <c r="J17" s="36"/>
      <c r="K17" s="20"/>
      <c r="L17" s="55">
        <v>2460.0</v>
      </c>
      <c r="M17" s="72">
        <v>76.0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0.0" customHeight="1">
      <c r="A18" s="38" t="s">
        <v>70</v>
      </c>
      <c r="B18" s="42">
        <v>2203.0</v>
      </c>
      <c r="C18" s="45">
        <f t="shared" si="1"/>
        <v>190</v>
      </c>
      <c r="D18" s="69">
        <v>7.0</v>
      </c>
      <c r="E18" s="48">
        <f t="shared" si="2"/>
        <v>0</v>
      </c>
      <c r="F18" s="51">
        <f t="shared" si="3"/>
        <v>0.003177485247</v>
      </c>
      <c r="G18" s="64" t="s">
        <v>22</v>
      </c>
      <c r="H18" s="64">
        <v>9.0</v>
      </c>
      <c r="I18" s="54" t="str">
        <f>HYPERLINK("https://twitter.com/bmsgpk/status/1240904712775491584","Source")</f>
        <v>Source</v>
      </c>
      <c r="J18" s="20"/>
      <c r="K18" s="20"/>
      <c r="L18" s="56">
        <v>2013.0</v>
      </c>
      <c r="M18" s="61">
        <v>7.0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0.0" customHeight="1">
      <c r="A19" s="38" t="s">
        <v>75</v>
      </c>
      <c r="B19" s="42">
        <v>1795.0</v>
      </c>
      <c r="C19" s="45">
        <f t="shared" si="1"/>
        <v>0</v>
      </c>
      <c r="D19" s="69">
        <v>21.0</v>
      </c>
      <c r="E19" s="48">
        <f t="shared" si="2"/>
        <v>0</v>
      </c>
      <c r="F19" s="51">
        <f t="shared" si="3"/>
        <v>0.01169916435</v>
      </c>
      <c r="G19" s="64">
        <v>100.0</v>
      </c>
      <c r="H19" s="64">
        <v>31.0</v>
      </c>
      <c r="I19" s="54" t="str">
        <f>HYPERLINK("https://www.info-coronavirus.be/nl/2020/03/19/309-nieuwe-besmettingen-met-coronavirus-covid-19/","Source")</f>
        <v>Source</v>
      </c>
      <c r="J19" s="20"/>
      <c r="K19" s="20"/>
      <c r="L19" s="55">
        <v>1795.0</v>
      </c>
      <c r="M19" s="72">
        <v>21.0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0.0" customHeight="1">
      <c r="A20" s="38" t="s">
        <v>80</v>
      </c>
      <c r="B20" s="42">
        <v>1781.0</v>
      </c>
      <c r="C20" s="45">
        <f t="shared" si="1"/>
        <v>6</v>
      </c>
      <c r="D20" s="69">
        <v>7.0</v>
      </c>
      <c r="E20" s="48">
        <f t="shared" si="2"/>
        <v>0</v>
      </c>
      <c r="F20" s="51">
        <f t="shared" si="3"/>
        <v>0.003930376193</v>
      </c>
      <c r="G20" s="64" t="s">
        <v>22</v>
      </c>
      <c r="H20" s="64" t="s">
        <v>22</v>
      </c>
      <c r="I20" s="54" t="str">
        <f>HYPERLINK("https://www.vg.no/spesial/2020/corona-viruset/?utm_source=vgfront&amp;utm_content=row-1","Source")</f>
        <v>Source</v>
      </c>
      <c r="J20" s="20"/>
      <c r="K20" s="20"/>
      <c r="L20" s="56">
        <v>1775.0</v>
      </c>
      <c r="M20" s="61">
        <v>7.0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0.0" customHeight="1">
      <c r="A21" s="38" t="s">
        <v>84</v>
      </c>
      <c r="B21" s="42">
        <v>1423.0</v>
      </c>
      <c r="C21" s="45">
        <f t="shared" si="1"/>
        <v>0</v>
      </c>
      <c r="D21" s="69">
        <v>11.0</v>
      </c>
      <c r="E21" s="48">
        <f t="shared" si="2"/>
        <v>0</v>
      </c>
      <c r="F21" s="51">
        <f t="shared" si="3"/>
        <v>0.007730147576</v>
      </c>
      <c r="G21" s="64" t="s">
        <v>22</v>
      </c>
      <c r="H21" s="64" t="s">
        <v>22</v>
      </c>
      <c r="I21" s="54" t="str">
        <f>HYPERLINK("https://www.aftonbladet.se/nyheter/a/y3rdeA/coronaviruset-har-ar-de-senaste-siffrorna","Source")</f>
        <v>Source</v>
      </c>
      <c r="J21" s="20"/>
      <c r="K21" s="20"/>
      <c r="L21" s="55">
        <v>1423.0</v>
      </c>
      <c r="M21" s="72">
        <v>11.0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30.0" customHeight="1">
      <c r="A22" s="38" t="s">
        <v>88</v>
      </c>
      <c r="B22" s="42">
        <v>1335.0</v>
      </c>
      <c r="C22" s="45">
        <f t="shared" si="1"/>
        <v>112</v>
      </c>
      <c r="D22" s="69">
        <v>9.0</v>
      </c>
      <c r="E22" s="48">
        <f t="shared" si="2"/>
        <v>3</v>
      </c>
      <c r="F22" s="51">
        <f t="shared" si="3"/>
        <v>0.006741573034</v>
      </c>
      <c r="G22" s="64" t="s">
        <v>22</v>
      </c>
      <c r="H22" s="64" t="s">
        <v>22</v>
      </c>
      <c r="I22" s="54" t="str">
        <f>HYPERLINK("https://politi.dk/coronavirus-i-danmark/foelg-smittespredningen-globalt-regionalt-og-lokalt","Source")</f>
        <v>Source</v>
      </c>
      <c r="J22" s="36"/>
      <c r="K22" s="20"/>
      <c r="L22" s="56">
        <v>1223.0</v>
      </c>
      <c r="M22" s="61">
        <v>6.0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30.0" customHeight="1">
      <c r="A23" s="38" t="s">
        <v>93</v>
      </c>
      <c r="B23" s="42">
        <f>Canada!A3</f>
        <v>1075</v>
      </c>
      <c r="C23" s="45">
        <f t="shared" si="1"/>
        <v>212</v>
      </c>
      <c r="D23" s="42">
        <f>Canada!B3</f>
        <v>13</v>
      </c>
      <c r="E23" s="48">
        <f t="shared" si="2"/>
        <v>1</v>
      </c>
      <c r="F23" s="51">
        <f t="shared" si="3"/>
        <v>0.01209302326</v>
      </c>
      <c r="G23" s="64">
        <v>7.0</v>
      </c>
      <c r="H23" s="53">
        <f>Canada!D3</f>
        <v>13</v>
      </c>
      <c r="I23" s="54" t="str">
        <f>HYPERLINK("https://bnonews.com/index.php/2019/12/tracking-coronavirus-canada-data/","Source")</f>
        <v>Source</v>
      </c>
      <c r="J23" s="36"/>
      <c r="K23" s="20"/>
      <c r="L23" s="72">
        <v>863.0</v>
      </c>
      <c r="M23" s="72">
        <v>12.0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30.0" customHeight="1">
      <c r="A24" s="38" t="s">
        <v>97</v>
      </c>
      <c r="B24" s="42">
        <v>1020.0</v>
      </c>
      <c r="C24" s="45">
        <f t="shared" si="1"/>
        <v>235</v>
      </c>
      <c r="D24" s="69">
        <v>6.0</v>
      </c>
      <c r="E24" s="48">
        <f t="shared" si="2"/>
        <v>3</v>
      </c>
      <c r="F24" s="51">
        <f t="shared" si="3"/>
        <v>0.005882352941</v>
      </c>
      <c r="G24" s="64">
        <v>26.0</v>
      </c>
      <c r="H24" s="64">
        <v>5.0</v>
      </c>
      <c r="I24" s="54" t="str">
        <f>HYPERLINK("https://covid19.min-saude.pt/ponto-de-situacao-atual-em-portugal/","Source")</f>
        <v>Source</v>
      </c>
      <c r="J24" s="20"/>
      <c r="K24" s="20"/>
      <c r="L24" s="61">
        <v>785.0</v>
      </c>
      <c r="M24" s="61">
        <v>3.0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30.0" customHeight="1">
      <c r="A25" s="38" t="s">
        <v>100</v>
      </c>
      <c r="B25" s="69">
        <v>967.0</v>
      </c>
      <c r="C25" s="45">
        <f t="shared" si="1"/>
        <v>11</v>
      </c>
      <c r="D25" s="69">
        <v>33.0</v>
      </c>
      <c r="E25" s="48">
        <f t="shared" si="2"/>
        <v>0</v>
      </c>
      <c r="F25" s="51">
        <f t="shared" si="3"/>
        <v>0.03412616339</v>
      </c>
      <c r="G25" s="64">
        <v>49.0</v>
      </c>
      <c r="H25" s="64">
        <v>215.0</v>
      </c>
      <c r="I25" s="54" t="str">
        <f>HYPERLINK("https://www3.nhk.or.jp/news/html/20200316/k10012333121000.html?utm_int=word_contents_list-items_041&amp;word_result=%E6%96%B0%E5%9E%8B%E3%82%B3%E3%83%AD%E3%83%8A%E3%82%A6%E3%82%A4%E3%83%AB%E3%82%B9","Source")</f>
        <v>Source</v>
      </c>
      <c r="J25" s="59"/>
      <c r="K25" s="20"/>
      <c r="L25" s="72">
        <v>956.0</v>
      </c>
      <c r="M25" s="72">
        <v>33.0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30.0" customHeight="1">
      <c r="A26" s="38" t="s">
        <v>103</v>
      </c>
      <c r="B26" s="69">
        <v>904.0</v>
      </c>
      <c r="C26" s="45">
        <f t="shared" si="1"/>
        <v>269</v>
      </c>
      <c r="D26" s="69">
        <v>11.0</v>
      </c>
      <c r="E26" s="48">
        <f t="shared" si="2"/>
        <v>4</v>
      </c>
      <c r="F26" s="51">
        <f t="shared" si="3"/>
        <v>0.01216814159</v>
      </c>
      <c r="G26" s="64" t="s">
        <v>22</v>
      </c>
      <c r="H26" s="64">
        <v>1.0</v>
      </c>
      <c r="I26" s="54" t="str">
        <f>HYPERLINK("https://g1.globo.com/bemestar/coronavirus/noticia/2020/03/20/brasil-tem-904-casos-confirmados-de-novo-coronavirus-diz-ministerio.ghtml","Source")</f>
        <v>Source</v>
      </c>
      <c r="J26" s="36"/>
      <c r="K26" s="20"/>
      <c r="L26" s="61">
        <v>635.0</v>
      </c>
      <c r="M26" s="61">
        <v>7.0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30.0" customHeight="1">
      <c r="A27" s="38" t="s">
        <v>107</v>
      </c>
      <c r="B27" s="69">
        <v>900.0</v>
      </c>
      <c r="C27" s="45">
        <f t="shared" si="1"/>
        <v>0</v>
      </c>
      <c r="D27" s="69">
        <v>2.0</v>
      </c>
      <c r="E27" s="48">
        <f t="shared" si="2"/>
        <v>0</v>
      </c>
      <c r="F27" s="51">
        <f t="shared" si="3"/>
        <v>0.002222222222</v>
      </c>
      <c r="G27" s="64">
        <v>15.0</v>
      </c>
      <c r="H27" s="64">
        <v>75.0</v>
      </c>
      <c r="I27" s="54" t="str">
        <f>HYPERLINK("https://twitter.com/KKMPutrajaya/status/1240548135987863553","Source")</f>
        <v>Source</v>
      </c>
      <c r="J27" s="20"/>
      <c r="K27" s="20"/>
      <c r="L27" s="61">
        <v>900.0</v>
      </c>
      <c r="M27" s="61">
        <v>2.0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30.0" customHeight="1">
      <c r="A28" s="38" t="s">
        <v>110</v>
      </c>
      <c r="B28" s="42">
        <f>Australia!A3</f>
        <v>877</v>
      </c>
      <c r="C28" s="45">
        <f t="shared" si="1"/>
        <v>167</v>
      </c>
      <c r="D28" s="42">
        <f>Australia!B3</f>
        <v>7</v>
      </c>
      <c r="E28" s="48">
        <f t="shared" si="2"/>
        <v>1</v>
      </c>
      <c r="F28" s="51">
        <f t="shared" si="3"/>
        <v>0.007981755986</v>
      </c>
      <c r="G28" s="64" t="s">
        <v>22</v>
      </c>
      <c r="H28" s="53">
        <f>Australia!D3</f>
        <v>52</v>
      </c>
      <c r="I28" s="54" t="str">
        <f>HYPERLINK("https://bnonews.com/index.php/2019/12/tracking-coronavirus-australia-data/","Source")</f>
        <v>Source</v>
      </c>
      <c r="J28" s="36"/>
      <c r="K28" s="20"/>
      <c r="L28" s="61">
        <v>710.0</v>
      </c>
      <c r="M28" s="61">
        <v>6.0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0.0" customHeight="1">
      <c r="A29" s="38" t="s">
        <v>116</v>
      </c>
      <c r="B29" s="69">
        <v>833.0</v>
      </c>
      <c r="C29" s="45">
        <f t="shared" si="1"/>
        <v>139</v>
      </c>
      <c r="D29" s="69">
        <v>0.0</v>
      </c>
      <c r="E29" s="48">
        <f t="shared" si="2"/>
        <v>0</v>
      </c>
      <c r="F29" s="51">
        <f t="shared" si="3"/>
        <v>0</v>
      </c>
      <c r="G29" s="64">
        <v>2.0</v>
      </c>
      <c r="H29" s="64">
        <v>4.0</v>
      </c>
      <c r="I29" s="54" t="str">
        <f>HYPERLINK("https://onemocneni-aktualne.mzcr.cz/covid-19","Source")</f>
        <v>Source</v>
      </c>
      <c r="J29" s="36"/>
      <c r="K29" s="20"/>
      <c r="L29" s="72">
        <v>694.0</v>
      </c>
      <c r="M29" s="72">
        <v>0.0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30.0" customHeight="1">
      <c r="A30" s="38" t="s">
        <v>120</v>
      </c>
      <c r="B30" s="69">
        <v>712.0</v>
      </c>
      <c r="C30" s="45">
        <f t="shared" si="1"/>
        <v>0</v>
      </c>
      <c r="D30" s="69">
        <v>7.0</v>
      </c>
      <c r="E30" s="48">
        <f t="shared" si="2"/>
        <v>0</v>
      </c>
      <c r="F30" s="51">
        <f t="shared" si="3"/>
        <v>0.009831460674</v>
      </c>
      <c r="G30" s="64">
        <v>12.0</v>
      </c>
      <c r="H30" s="64">
        <v>551.0</v>
      </c>
      <c r="I30" s="54" t="str">
        <f>HYPERLINK("https://www3.nhk.or.jp/news/html/20200316/k10012333121000.html?utm_int=word_contents_list-items_041&amp;word_result=%E6%96%B0%E5%9E%8B%E3%82%B3%E3%83%AD%E3%83%8A%E3%82%A6%E3%82%A4%E3%83%AB%E3%82%B9","Source")</f>
        <v>Source</v>
      </c>
      <c r="J30" s="20"/>
      <c r="K30" s="20"/>
      <c r="L30" s="72">
        <v>712.0</v>
      </c>
      <c r="M30" s="72">
        <v>7.0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30.0" customHeight="1">
      <c r="A31" s="38" t="s">
        <v>125</v>
      </c>
      <c r="B31" s="69">
        <v>705.0</v>
      </c>
      <c r="C31" s="45">
        <f t="shared" si="1"/>
        <v>132</v>
      </c>
      <c r="D31" s="69">
        <v>1.0</v>
      </c>
      <c r="E31" s="48">
        <f t="shared" si="2"/>
        <v>1</v>
      </c>
      <c r="F31" s="51">
        <f t="shared" si="3"/>
        <v>0.001418439716</v>
      </c>
      <c r="G31" s="64">
        <v>10.0</v>
      </c>
      <c r="H31" s="64">
        <v>14.0</v>
      </c>
      <c r="I31" s="54" t="str">
        <f>HYPERLINK("https://www.i24news.tv/en/news/israel/1584606368-israel-health-ministry-reports-96-new-coronavirus-cases-bringing-total-to-529","Source")</f>
        <v>Source</v>
      </c>
      <c r="J31" s="36"/>
      <c r="K31" s="20"/>
      <c r="L31" s="72">
        <v>573.0</v>
      </c>
      <c r="M31" s="72">
        <v>0.0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27.75" customHeight="1">
      <c r="A32" s="38" t="s">
        <v>128</v>
      </c>
      <c r="B32" s="69">
        <v>670.0</v>
      </c>
      <c r="C32" s="45">
        <f t="shared" si="1"/>
        <v>479</v>
      </c>
      <c r="D32" s="69">
        <v>9.0</v>
      </c>
      <c r="E32" s="48">
        <f t="shared" si="2"/>
        <v>7</v>
      </c>
      <c r="F32" s="51">
        <f t="shared" si="3"/>
        <v>0.01343283582</v>
      </c>
      <c r="G32" s="64" t="s">
        <v>22</v>
      </c>
      <c r="H32" s="64" t="s">
        <v>22</v>
      </c>
      <c r="I32" s="54" t="str">
        <f>HYPERLINK("https://twitter.com/drfahrettinkoca/status/1241095676529958912","Source")</f>
        <v>Source</v>
      </c>
      <c r="J32" s="36"/>
      <c r="K32" s="20"/>
      <c r="L32" s="72">
        <v>191.0</v>
      </c>
      <c r="M32" s="72">
        <v>2.0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30.0" customHeight="1">
      <c r="A33" s="38" t="s">
        <v>133</v>
      </c>
      <c r="B33" s="69">
        <v>683.0</v>
      </c>
      <c r="C33" s="45">
        <f t="shared" si="1"/>
        <v>126</v>
      </c>
      <c r="D33" s="69">
        <v>3.0</v>
      </c>
      <c r="E33" s="48">
        <f t="shared" si="2"/>
        <v>0</v>
      </c>
      <c r="F33" s="51">
        <f t="shared" si="3"/>
        <v>0.00439238653</v>
      </c>
      <c r="G33" s="64" t="s">
        <v>22</v>
      </c>
      <c r="H33" s="64" t="s">
        <v>22</v>
      </c>
      <c r="I33" s="54" t="str">
        <f>HYPERLINK("https://twitter.com/roinnslainte/status/1241059853730222080","Source")</f>
        <v>Source</v>
      </c>
      <c r="J33" s="78"/>
      <c r="K33" s="20"/>
      <c r="L33" s="61">
        <v>557.0</v>
      </c>
      <c r="M33" s="61">
        <v>3.0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30.0" customHeight="1">
      <c r="A34" s="38" t="s">
        <v>139</v>
      </c>
      <c r="B34" s="69">
        <v>495.0</v>
      </c>
      <c r="C34" s="45">
        <f t="shared" si="1"/>
        <v>31</v>
      </c>
      <c r="D34" s="69">
        <v>10.0</v>
      </c>
      <c r="E34" s="48">
        <f t="shared" si="2"/>
        <v>4</v>
      </c>
      <c r="F34" s="51">
        <f t="shared" si="3"/>
        <v>0.0202020202</v>
      </c>
      <c r="G34" s="64">
        <v>20.0</v>
      </c>
      <c r="H34" s="64">
        <v>19.0</v>
      </c>
      <c r="I34" s="54" t="str">
        <f>HYPERLINK("https://www.amna.gr/en/article/441887/","Source")</f>
        <v>Source</v>
      </c>
      <c r="J34" s="36"/>
      <c r="K34" s="20"/>
      <c r="L34" s="61">
        <v>464.0</v>
      </c>
      <c r="M34" s="61">
        <v>6.0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30.0" customHeight="1">
      <c r="A35" s="38" t="s">
        <v>141</v>
      </c>
      <c r="B35" s="69">
        <v>484.0</v>
      </c>
      <c r="C35" s="45">
        <f t="shared" si="1"/>
        <v>149</v>
      </c>
      <c r="D35" s="69">
        <v>5.0</v>
      </c>
      <c r="E35" s="48">
        <f t="shared" si="2"/>
        <v>1</v>
      </c>
      <c r="F35" s="51">
        <f t="shared" si="3"/>
        <v>0.01033057851</v>
      </c>
      <c r="G35" s="64" t="s">
        <v>22</v>
      </c>
      <c r="H35" s="64" t="s">
        <v>22</v>
      </c>
      <c r="I35" s="81" t="str">
        <f>HYPERLINK("https://gouvernement.lu/fr/dossiers.gouv_msan+fr+dossiers+2020+corona-virus.html","Source")</f>
        <v>Source</v>
      </c>
      <c r="J35" s="36"/>
      <c r="K35" s="20"/>
      <c r="L35" s="72">
        <v>335.0</v>
      </c>
      <c r="M35" s="72">
        <v>4.0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30.0" customHeight="1">
      <c r="A36" s="38" t="s">
        <v>144</v>
      </c>
      <c r="B36" s="69">
        <v>470.0</v>
      </c>
      <c r="C36" s="45">
        <f t="shared" si="1"/>
        <v>18</v>
      </c>
      <c r="D36" s="69">
        <v>0.0</v>
      </c>
      <c r="E36" s="48">
        <f t="shared" si="2"/>
        <v>0</v>
      </c>
      <c r="F36" s="51">
        <f t="shared" si="3"/>
        <v>0</v>
      </c>
      <c r="G36" s="64" t="s">
        <v>22</v>
      </c>
      <c r="H36" s="64">
        <v>10.0</v>
      </c>
      <c r="I36" s="54" t="str">
        <f>HYPERLINK("https://twitter.com/MOPHQatar/status/1241061790722727942","Source")</f>
        <v>Source</v>
      </c>
      <c r="J36" s="36"/>
      <c r="K36" s="20"/>
      <c r="L36" s="72">
        <v>452.0</v>
      </c>
      <c r="M36" s="72">
        <v>0.0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30.0" customHeight="1">
      <c r="A37" s="38" t="s">
        <v>145</v>
      </c>
      <c r="B37" s="69">
        <v>461.0</v>
      </c>
      <c r="C37" s="45">
        <f t="shared" si="1"/>
        <v>84</v>
      </c>
      <c r="D37" s="69">
        <v>3.0</v>
      </c>
      <c r="E37" s="48">
        <f t="shared" si="2"/>
        <v>1</v>
      </c>
      <c r="F37" s="51">
        <f t="shared" si="3"/>
        <v>0.006507592191</v>
      </c>
      <c r="G37" s="64" t="s">
        <v>22</v>
      </c>
      <c r="H37" s="64">
        <v>5.0</v>
      </c>
      <c r="I37" s="54" t="str">
        <f>HYPERLINK("https://www.nih.org.pk/wp-content/uploads/2020/03/COVID-19-Daily-Updated-SitRep-20-Mar-2020.pdf","Source")</f>
        <v>Source</v>
      </c>
      <c r="J37" s="20"/>
      <c r="K37" s="20"/>
      <c r="L37" s="72">
        <v>377.0</v>
      </c>
      <c r="M37" s="72">
        <v>2.0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30.0" customHeight="1">
      <c r="A38" s="38" t="s">
        <v>147</v>
      </c>
      <c r="B38" s="69">
        <v>434.0</v>
      </c>
      <c r="C38" s="45">
        <f t="shared" si="1"/>
        <v>196</v>
      </c>
      <c r="D38" s="69">
        <v>0.0</v>
      </c>
      <c r="E38" s="48">
        <f t="shared" si="2"/>
        <v>0</v>
      </c>
      <c r="F38" s="51">
        <f t="shared" si="3"/>
        <v>0</v>
      </c>
      <c r="G38" s="64" t="s">
        <v>22</v>
      </c>
      <c r="H38" s="64" t="s">
        <v>22</v>
      </c>
      <c r="I38" s="54" t="str">
        <f>HYPERLINK("https://www.minsal.cl/nuevo-coronavirus-2019-ncov/casos-confirmados-en-chile-covid-19/","Source")</f>
        <v>Source</v>
      </c>
      <c r="J38" s="36"/>
      <c r="K38" s="20"/>
      <c r="L38" s="61">
        <v>238.0</v>
      </c>
      <c r="M38" s="61">
        <v>0.0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30.0" customHeight="1">
      <c r="A39" s="38" t="s">
        <v>152</v>
      </c>
      <c r="B39" s="69">
        <v>450.0</v>
      </c>
      <c r="C39" s="45">
        <f t="shared" si="1"/>
        <v>50</v>
      </c>
      <c r="D39" s="69">
        <v>0.0</v>
      </c>
      <c r="E39" s="48">
        <f t="shared" si="2"/>
        <v>0</v>
      </c>
      <c r="F39" s="51">
        <f t="shared" si="3"/>
        <v>0</v>
      </c>
      <c r="G39" s="64" t="s">
        <v>22</v>
      </c>
      <c r="H39" s="64">
        <v>10.0</v>
      </c>
      <c r="I39" s="54" t="str">
        <f>HYPERLINK("https://thl.fi/en/web/infectious-diseases/what-s-new/coronavirus-covid-19-latest-updates","Source")</f>
        <v>Source</v>
      </c>
      <c r="J39" s="36"/>
      <c r="K39" s="20"/>
      <c r="L39" s="61">
        <v>400.0</v>
      </c>
      <c r="M39" s="61">
        <v>0.0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30.0" customHeight="1">
      <c r="A40" s="38" t="s">
        <v>161</v>
      </c>
      <c r="B40" s="69">
        <v>426.0</v>
      </c>
      <c r="C40" s="45">
        <f t="shared" si="1"/>
        <v>258</v>
      </c>
      <c r="D40" s="69">
        <v>7.0</v>
      </c>
      <c r="E40" s="48">
        <f t="shared" si="2"/>
        <v>4</v>
      </c>
      <c r="F40" s="51">
        <f t="shared" si="3"/>
        <v>0.01643192488</v>
      </c>
      <c r="G40" s="64">
        <v>6.0</v>
      </c>
      <c r="H40" s="64">
        <v>3.0</v>
      </c>
      <c r="I40" s="54" t="str">
        <f>HYPERLINK("https://twitter.com/Salud_Ec/status/1241126291765637121","Source")</f>
        <v>Source</v>
      </c>
      <c r="J40" s="36"/>
      <c r="K40" s="20"/>
      <c r="L40" s="61">
        <v>168.0</v>
      </c>
      <c r="M40" s="61">
        <v>3.0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27.75" customHeight="1">
      <c r="A41" s="38" t="s">
        <v>163</v>
      </c>
      <c r="B41" s="69">
        <v>425.0</v>
      </c>
      <c r="C41" s="45">
        <f t="shared" si="1"/>
        <v>70</v>
      </c>
      <c r="D41" s="69">
        <v>5.0</v>
      </c>
      <c r="E41" s="48">
        <f t="shared" si="2"/>
        <v>0</v>
      </c>
      <c r="F41" s="51">
        <f t="shared" si="3"/>
        <v>0.01176470588</v>
      </c>
      <c r="G41" s="64">
        <v>2.0</v>
      </c>
      <c r="H41" s="64">
        <v>0.0</v>
      </c>
      <c r="I41" s="54" t="str">
        <f>HYPERLINK("https://twitter.com/MZ_GOV_PL/status/1241080885874700292","Source")</f>
        <v>Source</v>
      </c>
      <c r="J41" s="36"/>
      <c r="K41" s="20"/>
      <c r="L41" s="72">
        <v>355.0</v>
      </c>
      <c r="M41" s="72">
        <v>5.0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30.0" customHeight="1">
      <c r="A42" s="38" t="s">
        <v>166</v>
      </c>
      <c r="B42" s="69">
        <v>409.0</v>
      </c>
      <c r="C42" s="45">
        <f t="shared" si="1"/>
        <v>79</v>
      </c>
      <c r="D42" s="69">
        <v>0.0</v>
      </c>
      <c r="E42" s="48">
        <f t="shared" si="2"/>
        <v>0</v>
      </c>
      <c r="F42" s="51">
        <f t="shared" si="3"/>
        <v>0</v>
      </c>
      <c r="G42" s="64">
        <v>1.0</v>
      </c>
      <c r="H42" s="64">
        <v>5.0</v>
      </c>
      <c r="I42" s="54" t="str">
        <f>HYPERLINK("https://www.covid.is/tolulegar-upplysingar","Source")</f>
        <v>Source</v>
      </c>
      <c r="J42" s="89"/>
      <c r="K42" s="20"/>
      <c r="L42" s="61">
        <v>330.0</v>
      </c>
      <c r="M42" s="61">
        <v>0.0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30.0" customHeight="1">
      <c r="A43" s="38" t="s">
        <v>173</v>
      </c>
      <c r="B43" s="69">
        <v>369.0</v>
      </c>
      <c r="C43" s="45">
        <f t="shared" si="1"/>
        <v>60</v>
      </c>
      <c r="D43" s="69">
        <v>32.0</v>
      </c>
      <c r="E43" s="48">
        <f t="shared" si="2"/>
        <v>7</v>
      </c>
      <c r="F43" s="51">
        <f t="shared" si="3"/>
        <v>0.08672086721</v>
      </c>
      <c r="G43" s="64" t="s">
        <v>22</v>
      </c>
      <c r="H43" s="64">
        <v>17.0</v>
      </c>
      <c r="I43" s="54" t="str">
        <f>HYPERLINK("https://www.cnbcindonesia.com/","Source")</f>
        <v>Source</v>
      </c>
      <c r="J43" s="20"/>
      <c r="K43" s="20"/>
      <c r="L43" s="72">
        <v>309.0</v>
      </c>
      <c r="M43" s="72">
        <v>25.0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30.0" customHeight="1">
      <c r="A44" s="38" t="s">
        <v>177</v>
      </c>
      <c r="B44" s="69">
        <v>385.0</v>
      </c>
      <c r="C44" s="45">
        <f t="shared" si="1"/>
        <v>40</v>
      </c>
      <c r="D44" s="69">
        <v>0.0</v>
      </c>
      <c r="E44" s="48">
        <f t="shared" si="2"/>
        <v>0</v>
      </c>
      <c r="F44" s="51">
        <f t="shared" si="3"/>
        <v>0</v>
      </c>
      <c r="G44" s="64">
        <v>16.0</v>
      </c>
      <c r="H44" s="64">
        <v>131.0</v>
      </c>
      <c r="I44" s="54" t="str">
        <f>HYPERLINK("https://www.moh.gov.sg/news-highlights/details/seven-more-cases-discharged-40-new-cases-of-covid-19-infection-confirmed","Source")</f>
        <v>Source</v>
      </c>
      <c r="J44" s="36"/>
      <c r="K44" s="20"/>
      <c r="L44" s="61">
        <v>345.0</v>
      </c>
      <c r="M44" s="61">
        <v>0.0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30.0" customHeight="1">
      <c r="A45" s="38" t="s">
        <v>178</v>
      </c>
      <c r="B45" s="69">
        <v>322.0</v>
      </c>
      <c r="C45" s="45">
        <f t="shared" si="1"/>
        <v>50</v>
      </c>
      <c r="D45" s="69">
        <v>1.0</v>
      </c>
      <c r="E45" s="48">
        <f t="shared" si="2"/>
        <v>0</v>
      </c>
      <c r="F45" s="51">
        <f t="shared" si="3"/>
        <v>0.003105590062</v>
      </c>
      <c r="G45" s="64">
        <v>1.0</v>
      </c>
      <c r="H45" s="64">
        <v>43.0</v>
      </c>
      <c r="I45" s="54" t="str">
        <f>HYPERLINK("https://www.bangkokpost.com/thailand/general/1883000/50-new-cases-raise-total-to-322","Source")</f>
        <v>Source</v>
      </c>
      <c r="J45" s="20"/>
      <c r="K45" s="20"/>
      <c r="L45" s="72">
        <v>272.0</v>
      </c>
      <c r="M45" s="72">
        <v>1.0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27.75" customHeight="1">
      <c r="A46" s="38" t="s">
        <v>179</v>
      </c>
      <c r="B46" s="69">
        <v>319.0</v>
      </c>
      <c r="C46" s="45">
        <f t="shared" si="1"/>
        <v>33</v>
      </c>
      <c r="D46" s="69">
        <v>1.0</v>
      </c>
      <c r="E46" s="48">
        <f t="shared" si="2"/>
        <v>0</v>
      </c>
      <c r="F46" s="51">
        <f t="shared" si="3"/>
        <v>0.003134796238</v>
      </c>
      <c r="G46" s="64">
        <v>0.0</v>
      </c>
      <c r="H46" s="64">
        <v>0.0</v>
      </c>
      <c r="I46" s="54" t="str">
        <f>HYPERLINK("https://www.gov.si/en/topics/coronavirus-disease-covid-19/","Source")</f>
        <v>Source</v>
      </c>
      <c r="J46" s="20"/>
      <c r="K46" s="20"/>
      <c r="L46" s="61">
        <v>286.0</v>
      </c>
      <c r="M46" s="61">
        <v>1.0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30.0" customHeight="1">
      <c r="A47" s="38" t="s">
        <v>180</v>
      </c>
      <c r="B47" s="69">
        <v>308.0</v>
      </c>
      <c r="C47" s="45">
        <f t="shared" si="1"/>
        <v>31</v>
      </c>
      <c r="D47" s="69">
        <v>0.0</v>
      </c>
      <c r="E47" s="48">
        <f t="shared" si="2"/>
        <v>0</v>
      </c>
      <c r="F47" s="51">
        <f t="shared" si="3"/>
        <v>0</v>
      </c>
      <c r="G47" s="64">
        <v>1.0</v>
      </c>
      <c r="H47" s="64">
        <v>31.0</v>
      </c>
      <c r="I47" s="54" t="str">
        <f>HYPERLINK("http://www.ms.ro/2020/03/20/buletin-informativ-20-03-2020/","Source")</f>
        <v>Source</v>
      </c>
      <c r="J47" s="36"/>
      <c r="K47" s="20"/>
      <c r="L47" s="72">
        <v>277.0</v>
      </c>
      <c r="M47" s="72">
        <v>0.0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30.0" customHeight="1">
      <c r="A48" s="38" t="s">
        <v>181</v>
      </c>
      <c r="B48" s="69">
        <v>279.0</v>
      </c>
      <c r="C48" s="45">
        <f t="shared" si="1"/>
        <v>0</v>
      </c>
      <c r="D48" s="69">
        <v>1.0</v>
      </c>
      <c r="E48" s="48">
        <f t="shared" si="2"/>
        <v>0</v>
      </c>
      <c r="F48" s="51">
        <f t="shared" si="3"/>
        <v>0.003584229391</v>
      </c>
      <c r="G48" s="64">
        <v>3.0</v>
      </c>
      <c r="H48" s="64">
        <v>110.0</v>
      </c>
      <c r="I48" s="54" t="str">
        <f>HYPERLINK("https://www.moh.gov.bh/COVID19","Source")</f>
        <v>Source</v>
      </c>
      <c r="J48" s="59"/>
      <c r="K48" s="20"/>
      <c r="L48" s="61">
        <v>279.0</v>
      </c>
      <c r="M48" s="61">
        <v>1.0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30.0" customHeight="1">
      <c r="A49" s="38" t="s">
        <v>182</v>
      </c>
      <c r="B49" s="69">
        <v>274.0</v>
      </c>
      <c r="C49" s="45">
        <f t="shared" si="1"/>
        <v>36</v>
      </c>
      <c r="D49" s="69">
        <v>0.0</v>
      </c>
      <c r="E49" s="48">
        <f t="shared" si="2"/>
        <v>0</v>
      </c>
      <c r="F49" s="51">
        <f t="shared" si="3"/>
        <v>0</v>
      </c>
      <c r="G49" s="64" t="s">
        <v>22</v>
      </c>
      <c r="H49" s="64">
        <v>8.0</v>
      </c>
      <c r="I49" s="54" t="str">
        <f>HYPERLINK("https://twitter.com/SaudiMOH/status/1240689492744220675","Source")</f>
        <v>Source</v>
      </c>
      <c r="J49" s="20"/>
      <c r="K49" s="20"/>
      <c r="L49" s="72">
        <v>238.0</v>
      </c>
      <c r="M49" s="72">
        <v>0.0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30.0" customHeight="1">
      <c r="A50" s="38" t="s">
        <v>183</v>
      </c>
      <c r="B50" s="69">
        <v>267.0</v>
      </c>
      <c r="C50" s="45">
        <f t="shared" si="1"/>
        <v>0</v>
      </c>
      <c r="D50" s="69">
        <v>0.0</v>
      </c>
      <c r="E50" s="48">
        <f t="shared" si="2"/>
        <v>0</v>
      </c>
      <c r="F50" s="51">
        <f t="shared" si="3"/>
        <v>0</v>
      </c>
      <c r="G50" s="64" t="s">
        <v>22</v>
      </c>
      <c r="H50" s="64">
        <v>1.0</v>
      </c>
      <c r="I50" s="54" t="str">
        <f>HYPERLINK("https://www.terviseamet.ee/et/uuskoroonaviirus","Source")</f>
        <v>Source</v>
      </c>
      <c r="J50" s="20"/>
      <c r="K50" s="20"/>
      <c r="L50" s="61">
        <v>267.0</v>
      </c>
      <c r="M50" s="61">
        <v>0.0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30.0" customHeight="1">
      <c r="A51" s="38" t="s">
        <v>184</v>
      </c>
      <c r="B51" s="69">
        <v>256.0</v>
      </c>
      <c r="C51" s="45">
        <f t="shared" si="1"/>
        <v>46</v>
      </c>
      <c r="D51" s="69">
        <v>7.0</v>
      </c>
      <c r="E51" s="48">
        <f t="shared" si="2"/>
        <v>1</v>
      </c>
      <c r="F51" s="51">
        <f t="shared" si="3"/>
        <v>0.02734375</v>
      </c>
      <c r="G51" s="64" t="s">
        <v>22</v>
      </c>
      <c r="H51" s="64">
        <v>28.0</v>
      </c>
      <c r="I51" s="54" t="str">
        <f>HYPERLINK("https://www.facebook.com/EgyMohpSpokes/photos/a.353628178307691/1126274351043066/?type=3&amp;theater","Source")</f>
        <v>Source</v>
      </c>
      <c r="J51" s="20"/>
      <c r="K51" s="20"/>
      <c r="L51" s="61">
        <v>210.0</v>
      </c>
      <c r="M51" s="61">
        <v>6.0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30.0" customHeight="1">
      <c r="A52" s="38" t="s">
        <v>185</v>
      </c>
      <c r="B52" s="69">
        <v>256.0</v>
      </c>
      <c r="C52" s="45">
        <f t="shared" si="1"/>
        <v>63</v>
      </c>
      <c r="D52" s="69">
        <v>4.0</v>
      </c>
      <c r="E52" s="48">
        <f t="shared" si="2"/>
        <v>0</v>
      </c>
      <c r="F52" s="51">
        <f t="shared" si="3"/>
        <v>0.015625</v>
      </c>
      <c r="G52" s="64">
        <v>4.0</v>
      </c>
      <c r="H52" s="64">
        <v>98.0</v>
      </c>
      <c r="I52" s="54" t="str">
        <f>HYPERLINK("https://chp-dashboard.geodata.gov.hk/covid-19/en.html","Source")</f>
        <v>Source</v>
      </c>
      <c r="J52" s="20"/>
      <c r="K52" s="20"/>
      <c r="L52" s="61">
        <v>193.0</v>
      </c>
      <c r="M52" s="61">
        <v>4.0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30.0" customHeight="1">
      <c r="A53" s="38" t="s">
        <v>186</v>
      </c>
      <c r="B53" s="69">
        <v>253.0</v>
      </c>
      <c r="C53" s="45">
        <f t="shared" si="1"/>
        <v>54</v>
      </c>
      <c r="D53" s="69">
        <v>1.0</v>
      </c>
      <c r="E53" s="48">
        <f t="shared" si="2"/>
        <v>0</v>
      </c>
      <c r="F53" s="51">
        <f t="shared" si="3"/>
        <v>0.00395256917</v>
      </c>
      <c r="G53" s="64" t="s">
        <v>22</v>
      </c>
      <c r="H53" s="64">
        <v>5.0</v>
      </c>
      <c r="I53" s="54" t="str">
        <f>HYPERLINK("https://tass.com/russia/1133403","Source")</f>
        <v>Source</v>
      </c>
      <c r="J53" s="36"/>
      <c r="K53" s="20"/>
      <c r="L53" s="72">
        <v>199.0</v>
      </c>
      <c r="M53" s="72">
        <v>1.0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30.0" customHeight="1">
      <c r="A54" s="38" t="s">
        <v>187</v>
      </c>
      <c r="B54" s="69">
        <v>236.0</v>
      </c>
      <c r="C54" s="45">
        <f t="shared" si="1"/>
        <v>63</v>
      </c>
      <c r="D54" s="69">
        <v>4.0</v>
      </c>
      <c r="E54" s="48">
        <f t="shared" si="2"/>
        <v>0</v>
      </c>
      <c r="F54" s="51">
        <f t="shared" si="3"/>
        <v>0.01694915254</v>
      </c>
      <c r="G54" s="64" t="s">
        <v>22</v>
      </c>
      <c r="H54" s="64">
        <v>15.0</v>
      </c>
      <c r="I54" s="54" t="str">
        <f>HYPERLINK("https://twitter.com/ANI/status/1241048089844002816","Source")</f>
        <v>Source</v>
      </c>
      <c r="J54" s="36"/>
      <c r="K54" s="20"/>
      <c r="L54" s="72">
        <v>173.0</v>
      </c>
      <c r="M54" s="72">
        <v>4.0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30.0" customHeight="1">
      <c r="A55" s="38" t="s">
        <v>167</v>
      </c>
      <c r="B55" s="69">
        <v>234.0</v>
      </c>
      <c r="C55" s="45">
        <f t="shared" si="1"/>
        <v>89</v>
      </c>
      <c r="D55" s="69">
        <v>3.0</v>
      </c>
      <c r="E55" s="48">
        <f t="shared" si="2"/>
        <v>3</v>
      </c>
      <c r="F55" s="51">
        <f t="shared" si="3"/>
        <v>0.01282051282</v>
      </c>
      <c r="G55" s="64">
        <v>16.0</v>
      </c>
      <c r="H55" s="64">
        <v>2.0</v>
      </c>
      <c r="I55" s="54" t="str">
        <f>HYPERLINK("https://twitter.com/Minsa_Peru/status/1240706791366733824","Source")</f>
        <v>Source</v>
      </c>
      <c r="J55" s="20"/>
      <c r="K55" s="20"/>
      <c r="L55" s="72">
        <v>145.0</v>
      </c>
      <c r="M55" s="72">
        <v>0.0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0.0" customHeight="1">
      <c r="A56" s="38" t="s">
        <v>188</v>
      </c>
      <c r="B56" s="69">
        <v>230.0</v>
      </c>
      <c r="C56" s="45">
        <f t="shared" si="1"/>
        <v>13</v>
      </c>
      <c r="D56" s="69">
        <v>18.0</v>
      </c>
      <c r="E56" s="48">
        <f t="shared" si="2"/>
        <v>1</v>
      </c>
      <c r="F56" s="51">
        <f t="shared" si="3"/>
        <v>0.07826086957</v>
      </c>
      <c r="G56" s="64">
        <v>1.0</v>
      </c>
      <c r="H56" s="64">
        <v>8.0</v>
      </c>
      <c r="I56" s="54" t="str">
        <f>HYPERLINK("https://www.cnnphilippines.com/news/2020/3/20/philippines-coronavirus-cases-death-toll-recoveries.html","Source")</f>
        <v>Source</v>
      </c>
      <c r="J56" s="20"/>
      <c r="K56" s="20"/>
      <c r="L56" s="72">
        <v>217.0</v>
      </c>
      <c r="M56" s="72">
        <v>17.0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30.0" customHeight="1">
      <c r="A57" s="38" t="s">
        <v>189</v>
      </c>
      <c r="B57" s="69">
        <v>208.0</v>
      </c>
      <c r="C57" s="45">
        <f t="shared" si="1"/>
        <v>31</v>
      </c>
      <c r="D57" s="69">
        <v>17.0</v>
      </c>
      <c r="E57" s="48">
        <f t="shared" si="2"/>
        <v>5</v>
      </c>
      <c r="F57" s="51">
        <f t="shared" si="3"/>
        <v>0.08173076923</v>
      </c>
      <c r="G57" s="64" t="s">
        <v>22</v>
      </c>
      <c r="H57" s="64">
        <v>49.0</v>
      </c>
      <c r="I57" s="54" t="str">
        <f>HYPERLINK("https://www.facebook.com/MOH.GOV.IQ/photos/a.860171854037214/2811898282197885/?type=3&amp;theater","Source")</f>
        <v>Source</v>
      </c>
      <c r="J57" s="36"/>
      <c r="K57" s="20"/>
      <c r="L57" s="61">
        <v>177.0</v>
      </c>
      <c r="M57" s="61">
        <v>12.0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27.75" customHeight="1">
      <c r="A58" s="38" t="s">
        <v>190</v>
      </c>
      <c r="B58" s="69">
        <v>202.0</v>
      </c>
      <c r="C58" s="45">
        <f t="shared" si="1"/>
        <v>52</v>
      </c>
      <c r="D58" s="69">
        <v>0.0</v>
      </c>
      <c r="E58" s="48">
        <f t="shared" si="2"/>
        <v>0</v>
      </c>
      <c r="F58" s="51">
        <f t="shared" si="3"/>
        <v>0</v>
      </c>
      <c r="G58" s="64" t="s">
        <v>22</v>
      </c>
      <c r="H58" s="64" t="s">
        <v>22</v>
      </c>
      <c r="I58" s="54" t="str">
        <f>HYPERLINK("https://www.timeslive.co.za/news/south-africa/2020-03-20-health-minister-covid-19-cases-in-sa-have-increased-to-202/","Source")</f>
        <v>Source</v>
      </c>
      <c r="J58" s="20"/>
      <c r="K58" s="20"/>
      <c r="L58" s="61">
        <v>150.0</v>
      </c>
      <c r="M58" s="61">
        <v>0.0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30.0" customHeight="1">
      <c r="A59" s="38" t="s">
        <v>191</v>
      </c>
      <c r="B59" s="69">
        <v>164.0</v>
      </c>
      <c r="C59" s="45">
        <f t="shared" si="1"/>
        <v>0</v>
      </c>
      <c r="D59" s="69">
        <v>1.0</v>
      </c>
      <c r="E59" s="48">
        <f t="shared" si="2"/>
        <v>0</v>
      </c>
      <c r="F59" s="51">
        <f t="shared" si="3"/>
        <v>0.006097560976</v>
      </c>
      <c r="G59" s="64">
        <v>3.0</v>
      </c>
      <c r="H59" s="64">
        <v>3.0</v>
      </c>
      <c r="I59" s="54" t="str">
        <f>HYPERLINK("https://twitter.com/SSalud_mx/status/1240805453128290305","Source")</f>
        <v>Source</v>
      </c>
      <c r="J59" s="20"/>
      <c r="K59" s="20"/>
      <c r="L59" s="72">
        <v>164.0</v>
      </c>
      <c r="M59" s="72">
        <v>1.0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30.0" customHeight="1">
      <c r="A60" s="38" t="s">
        <v>192</v>
      </c>
      <c r="B60" s="69">
        <v>163.0</v>
      </c>
      <c r="C60" s="45">
        <f t="shared" si="1"/>
        <v>14</v>
      </c>
      <c r="D60" s="69">
        <v>4.0</v>
      </c>
      <c r="E60" s="48">
        <f t="shared" si="2"/>
        <v>0</v>
      </c>
      <c r="F60" s="51">
        <f t="shared" si="3"/>
        <v>0.0245398773</v>
      </c>
      <c r="G60" s="64">
        <v>2.0</v>
      </c>
      <c r="H60" s="64">
        <v>3.0</v>
      </c>
      <c r="I60" s="54" t="str">
        <f>HYPERLINK("https://www.facebook.com/mophleb/photos/a.1531722977137368/2273481912961467/?type=3&amp;theater","Source")</f>
        <v>Source</v>
      </c>
      <c r="J60" s="20"/>
      <c r="K60" s="20"/>
      <c r="L60" s="72">
        <v>149.0</v>
      </c>
      <c r="M60" s="72">
        <v>4.0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30.0" customHeight="1">
      <c r="A61" s="38" t="s">
        <v>193</v>
      </c>
      <c r="B61" s="69">
        <v>159.0</v>
      </c>
      <c r="C61" s="45">
        <f t="shared" si="1"/>
        <v>11</v>
      </c>
      <c r="D61" s="69">
        <v>0.0</v>
      </c>
      <c r="E61" s="48">
        <f t="shared" si="2"/>
        <v>0</v>
      </c>
      <c r="F61" s="51">
        <f t="shared" si="3"/>
        <v>0</v>
      </c>
      <c r="G61" s="64">
        <v>5.0</v>
      </c>
      <c r="H61" s="64">
        <v>22.0</v>
      </c>
      <c r="I61" s="54" t="str">
        <f>HYPERLINK("https://twitter.com/KUWAIT_MOH/status/1240918708933087232","Source")</f>
        <v>Source</v>
      </c>
      <c r="J61" s="20"/>
      <c r="K61" s="20"/>
      <c r="L61" s="61">
        <v>148.0</v>
      </c>
      <c r="M61" s="61">
        <v>0.0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30.0" customHeight="1">
      <c r="A62" s="38" t="s">
        <v>194</v>
      </c>
      <c r="B62" s="69">
        <v>151.0</v>
      </c>
      <c r="C62" s="45">
        <f t="shared" si="1"/>
        <v>11</v>
      </c>
      <c r="D62" s="69">
        <v>14.0</v>
      </c>
      <c r="E62" s="48">
        <f t="shared" si="2"/>
        <v>0</v>
      </c>
      <c r="F62" s="51">
        <f t="shared" si="3"/>
        <v>0.09271523179</v>
      </c>
      <c r="G62" s="64">
        <v>6.0</v>
      </c>
      <c r="H62" s="64">
        <v>4.0</v>
      </c>
      <c r="I62" s="54" t="str">
        <f>HYPERLINK("http://www.iss.sm/on-line/home/articolo49014145.html","Source")</f>
        <v>Source</v>
      </c>
      <c r="J62" s="89"/>
      <c r="K62" s="20"/>
      <c r="L62" s="61">
        <v>140.0</v>
      </c>
      <c r="M62" s="61">
        <v>14.0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30.0" customHeight="1">
      <c r="A63" s="38" t="s">
        <v>195</v>
      </c>
      <c r="B63" s="69">
        <v>140.0</v>
      </c>
      <c r="C63" s="45">
        <f t="shared" si="1"/>
        <v>27</v>
      </c>
      <c r="D63" s="69">
        <v>2.0</v>
      </c>
      <c r="E63" s="48">
        <f t="shared" si="2"/>
        <v>2</v>
      </c>
      <c r="F63" s="51">
        <f t="shared" si="3"/>
        <v>0.01428571429</v>
      </c>
      <c r="G63" s="64">
        <v>2.0</v>
      </c>
      <c r="H63" s="64">
        <v>31.0</v>
      </c>
      <c r="I63" s="54" t="str">
        <f>HYPERLINK("https://twitter.com/mohapuae/status/1241099915738177536","Source")</f>
        <v>Source</v>
      </c>
      <c r="J63" s="36"/>
      <c r="K63" s="20"/>
      <c r="L63" s="72">
        <v>113.0</v>
      </c>
      <c r="M63" s="72">
        <v>0.0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27.75" customHeight="1">
      <c r="A64" s="38" t="s">
        <v>196</v>
      </c>
      <c r="B64" s="69">
        <v>137.0</v>
      </c>
      <c r="C64" s="45">
        <f t="shared" si="1"/>
        <v>0</v>
      </c>
      <c r="D64" s="69">
        <v>1.0</v>
      </c>
      <c r="E64" s="48">
        <f t="shared" si="2"/>
        <v>0</v>
      </c>
      <c r="F64" s="51">
        <f t="shared" si="3"/>
        <v>0.007299270073</v>
      </c>
      <c r="G64" s="64">
        <v>8.0</v>
      </c>
      <c r="H64" s="64">
        <v>0.0</v>
      </c>
      <c r="I64" s="54" t="str">
        <f>HYPERLINK("https://geosocial.maps.arcgis.com/apps/opsdashboard/index.html#/2c6e932c690d467b85375af52b614472","Source")</f>
        <v>Source</v>
      </c>
      <c r="J64" s="20"/>
      <c r="K64" s="20"/>
      <c r="L64" s="72">
        <v>137.0</v>
      </c>
      <c r="M64" s="72">
        <v>1.0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30.0" customHeight="1">
      <c r="A65" s="38" t="s">
        <v>197</v>
      </c>
      <c r="B65" s="69">
        <v>136.0</v>
      </c>
      <c r="C65" s="45">
        <f t="shared" si="1"/>
        <v>21</v>
      </c>
      <c r="D65" s="69">
        <v>0.0</v>
      </c>
      <c r="E65" s="48">
        <f t="shared" si="2"/>
        <v>0</v>
      </c>
      <c r="F65" s="51">
        <f t="shared" si="3"/>
        <v>0</v>
      </c>
      <c r="G65" s="64">
        <v>0.0</v>
      </c>
      <c r="H65" s="64">
        <v>1.0</v>
      </c>
      <c r="I65" s="54" t="str">
        <f>HYPERLINK("https://news.am/eng/news/567170.html","Source")</f>
        <v>Source</v>
      </c>
      <c r="J65" s="20"/>
      <c r="K65" s="20"/>
      <c r="L65" s="61">
        <v>115.0</v>
      </c>
      <c r="M65" s="61">
        <v>0.0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30.0" customHeight="1">
      <c r="A66" s="38" t="s">
        <v>198</v>
      </c>
      <c r="B66" s="69">
        <v>135.0</v>
      </c>
      <c r="C66" s="45">
        <f t="shared" si="1"/>
        <v>27</v>
      </c>
      <c r="D66" s="69">
        <v>2.0</v>
      </c>
      <c r="E66" s="48">
        <f t="shared" si="2"/>
        <v>1</v>
      </c>
      <c r="F66" s="51">
        <f t="shared" si="3"/>
        <v>0.01481481481</v>
      </c>
      <c r="G66" s="64">
        <v>0.0</v>
      </c>
      <c r="H66" s="64">
        <v>28.0</v>
      </c>
      <c r="I66" s="54" t="str">
        <f>HYPERLINK("https://www.cdc.gov.tw/Bulletin/Detail/-TRyEsi8DHGkQNMKQQHVrg?typeid=9","Source")</f>
        <v>Source</v>
      </c>
      <c r="J66" s="20"/>
      <c r="K66" s="20"/>
      <c r="L66" s="61">
        <v>108.0</v>
      </c>
      <c r="M66" s="61">
        <v>1.0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27.75" customHeight="1">
      <c r="A67" s="38" t="s">
        <v>199</v>
      </c>
      <c r="B67" s="69">
        <v>135.0</v>
      </c>
      <c r="C67" s="45">
        <f t="shared" si="1"/>
        <v>38</v>
      </c>
      <c r="D67" s="69">
        <v>0.0</v>
      </c>
      <c r="E67" s="48">
        <f t="shared" si="2"/>
        <v>0</v>
      </c>
      <c r="F67" s="51">
        <f t="shared" si="3"/>
        <v>0</v>
      </c>
      <c r="G67" s="64">
        <v>1.0</v>
      </c>
      <c r="H67" s="64"/>
      <c r="I67" s="54" t="str">
        <f>HYPERLINK("https://covid19.rs/homepage-english/","Source")</f>
        <v>Source</v>
      </c>
      <c r="J67" s="36"/>
      <c r="K67" s="20"/>
      <c r="L67" s="72">
        <v>97.0</v>
      </c>
      <c r="M67" s="72">
        <v>0.0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27.75" customHeight="1">
      <c r="A68" s="38" t="s">
        <v>165</v>
      </c>
      <c r="B68" s="69">
        <v>128.0</v>
      </c>
      <c r="C68" s="45">
        <f t="shared" si="1"/>
        <v>31</v>
      </c>
      <c r="D68" s="69">
        <v>3.0</v>
      </c>
      <c r="E68" s="48">
        <f t="shared" si="2"/>
        <v>1</v>
      </c>
      <c r="F68" s="51">
        <f t="shared" si="3"/>
        <v>0.0234375</v>
      </c>
      <c r="G68" s="64" t="s">
        <v>22</v>
      </c>
      <c r="H68" s="64" t="s">
        <v>22</v>
      </c>
      <c r="I68" s="54" t="str">
        <f>HYPERLINK("https://www.argentina.gob.ar/sites/default/files/19-03-20-reporte-diario-covid-19.pdf","Source")</f>
        <v>Source</v>
      </c>
      <c r="J68" s="20"/>
      <c r="K68" s="20"/>
      <c r="L68" s="61">
        <v>97.0</v>
      </c>
      <c r="M68" s="61">
        <v>2.0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27.75" customHeight="1">
      <c r="A69" s="38" t="s">
        <v>170</v>
      </c>
      <c r="B69" s="69">
        <v>128.0</v>
      </c>
      <c r="C69" s="45">
        <f t="shared" si="1"/>
        <v>26</v>
      </c>
      <c r="D69" s="69">
        <v>0.0</v>
      </c>
      <c r="E69" s="48">
        <f t="shared" si="2"/>
        <v>0</v>
      </c>
      <c r="F69" s="51">
        <f t="shared" si="3"/>
        <v>0</v>
      </c>
      <c r="G69" s="64" t="s">
        <v>22</v>
      </c>
      <c r="H69" s="64" t="s">
        <v>22</v>
      </c>
      <c r="I69" s="54" t="str">
        <f>HYPERLINK("https://twitter.com/MinSaludCol/status/1240839147591475200","Source")</f>
        <v>Source</v>
      </c>
      <c r="J69" s="20"/>
      <c r="K69" s="20"/>
      <c r="L69" s="61">
        <v>102.0</v>
      </c>
      <c r="M69" s="61">
        <v>0.0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0.0" customHeight="1">
      <c r="A70" s="38" t="s">
        <v>200</v>
      </c>
      <c r="B70" s="69">
        <v>123.0</v>
      </c>
      <c r="C70" s="45">
        <f t="shared" si="1"/>
        <v>18</v>
      </c>
      <c r="D70" s="69">
        <v>0.0</v>
      </c>
      <c r="E70" s="48">
        <f t="shared" si="2"/>
        <v>0</v>
      </c>
      <c r="F70" s="51">
        <f t="shared" si="3"/>
        <v>0</v>
      </c>
      <c r="G70" s="64" t="s">
        <v>22</v>
      </c>
      <c r="H70" s="64" t="s">
        <v>22</v>
      </c>
      <c r="I70" s="54" t="str">
        <f>HYPERLINK("https://www.health.gov.sk/Clanok?Hlavna-sprava-COVID-19","Source")</f>
        <v>Source</v>
      </c>
      <c r="J70" s="20"/>
      <c r="K70" s="20"/>
      <c r="L70" s="72">
        <v>105.0</v>
      </c>
      <c r="M70" s="72">
        <v>0.0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0.0" customHeight="1">
      <c r="A71" s="38" t="s">
        <v>201</v>
      </c>
      <c r="B71" s="69">
        <v>112.0</v>
      </c>
      <c r="C71" s="45">
        <f t="shared" si="1"/>
        <v>18</v>
      </c>
      <c r="D71" s="69">
        <v>3.0</v>
      </c>
      <c r="E71" s="48">
        <f t="shared" si="2"/>
        <v>0</v>
      </c>
      <c r="F71" s="51">
        <f t="shared" si="3"/>
        <v>0.02678571429</v>
      </c>
      <c r="G71" s="64" t="s">
        <v>22</v>
      </c>
      <c r="H71" s="64" t="s">
        <v>22</v>
      </c>
      <c r="I71" s="54" t="str">
        <f>HYPERLINK("http://www.mh.government.bg/bg/novini/aktualno/112-sa-potvrdenite-u-nas-sluchai-na-covid-19/","Source")</f>
        <v>Source</v>
      </c>
      <c r="J71" s="20"/>
      <c r="K71" s="20"/>
      <c r="L71" s="61">
        <v>94.0</v>
      </c>
      <c r="M71" s="61">
        <v>3.0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0.0" customHeight="1">
      <c r="A72" s="38" t="s">
        <v>202</v>
      </c>
      <c r="B72" s="69">
        <v>111.0</v>
      </c>
      <c r="C72" s="45">
        <f t="shared" si="1"/>
        <v>25</v>
      </c>
      <c r="D72" s="69">
        <v>0.0</v>
      </c>
      <c r="E72" s="48">
        <f t="shared" si="2"/>
        <v>0</v>
      </c>
      <c r="F72" s="51">
        <f t="shared" si="3"/>
        <v>0</v>
      </c>
      <c r="G72" s="64" t="s">
        <v>22</v>
      </c>
      <c r="H72" s="64" t="s">
        <v>22</v>
      </c>
      <c r="I72" s="54" t="str">
        <f>HYPERLINK("https://twitter.com/SPKCentrs/status/1240917120713740288","Source")</f>
        <v>Source</v>
      </c>
      <c r="J72" s="20"/>
      <c r="K72" s="20"/>
      <c r="L72" s="72">
        <v>86.0</v>
      </c>
      <c r="M72" s="72">
        <v>0.0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30.0" customHeight="1">
      <c r="A73" s="38" t="s">
        <v>203</v>
      </c>
      <c r="B73" s="69">
        <v>110.0</v>
      </c>
      <c r="C73" s="45">
        <f t="shared" si="1"/>
        <v>13</v>
      </c>
      <c r="D73" s="69">
        <v>1.0</v>
      </c>
      <c r="E73" s="48">
        <f t="shared" si="2"/>
        <v>1</v>
      </c>
      <c r="F73" s="51">
        <f t="shared" si="3"/>
        <v>0.009090909091</v>
      </c>
      <c r="G73" s="64" t="s">
        <v>22</v>
      </c>
      <c r="H73" s="64">
        <v>4.0</v>
      </c>
      <c r="I73" s="54" t="str">
        <f>HYPERLINK("https://vijesti.hrt.hr/592910/u-hrvatskoj-je-99-oboljelih-od-koronavirusa","Source")</f>
        <v>Source</v>
      </c>
      <c r="J73" s="59"/>
      <c r="K73" s="20"/>
      <c r="L73" s="72">
        <v>97.0</v>
      </c>
      <c r="M73" s="72">
        <v>0.0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30.0" customHeight="1">
      <c r="A74" s="38" t="s">
        <v>204</v>
      </c>
      <c r="B74" s="69">
        <v>94.0</v>
      </c>
      <c r="C74" s="45">
        <f t="shared" si="1"/>
        <v>15</v>
      </c>
      <c r="D74" s="69">
        <v>0.0</v>
      </c>
      <c r="E74" s="48">
        <f t="shared" si="2"/>
        <v>0</v>
      </c>
      <c r="F74" s="51">
        <f t="shared" si="3"/>
        <v>0</v>
      </c>
      <c r="G74" s="64" t="s">
        <v>22</v>
      </c>
      <c r="H74" s="64">
        <v>2.0</v>
      </c>
      <c r="I74" s="54" t="str">
        <f>HYPERLINK("https://twitter.com/MSPUruguay/status/1240807799862505472","Source")</f>
        <v>Source</v>
      </c>
      <c r="J74" s="20"/>
      <c r="K74" s="20"/>
      <c r="L74" s="72">
        <v>79.0</v>
      </c>
      <c r="M74" s="72">
        <v>0.0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30.0" customHeight="1">
      <c r="A75" s="38" t="s">
        <v>164</v>
      </c>
      <c r="B75" s="69">
        <v>87.0</v>
      </c>
      <c r="C75" s="45">
        <f t="shared" si="1"/>
        <v>18</v>
      </c>
      <c r="D75" s="69">
        <v>2.0</v>
      </c>
      <c r="E75" s="48">
        <f t="shared" si="2"/>
        <v>1</v>
      </c>
      <c r="F75" s="51">
        <f t="shared" si="3"/>
        <v>0.02298850575</v>
      </c>
      <c r="G75" s="64">
        <v>1.0</v>
      </c>
      <c r="H75" s="64" t="s">
        <v>22</v>
      </c>
      <c r="I75" s="54" t="str">
        <f>HYPERLINK("https://twitter.com/msaludcr/status/1240717229412343808","Source")</f>
        <v>Source</v>
      </c>
      <c r="J75" s="20"/>
      <c r="K75" s="20"/>
      <c r="L75" s="61">
        <v>69.0</v>
      </c>
      <c r="M75" s="61">
        <v>1.0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30.0" customHeight="1">
      <c r="A76" s="38" t="s">
        <v>205</v>
      </c>
      <c r="B76" s="69">
        <v>87.0</v>
      </c>
      <c r="C76" s="45">
        <f t="shared" si="1"/>
        <v>11</v>
      </c>
      <c r="D76" s="69">
        <v>0.0</v>
      </c>
      <c r="E76" s="48">
        <f t="shared" si="2"/>
        <v>0</v>
      </c>
      <c r="F76" s="51">
        <f t="shared" si="3"/>
        <v>0</v>
      </c>
      <c r="G76" s="64" t="s">
        <v>22</v>
      </c>
      <c r="H76" s="64">
        <v>17.0</v>
      </c>
      <c r="I76" s="54" t="str">
        <f>HYPERLINK("http://news.chinhphu.vn/Home/Two-nurses-confirmed-having-COVID19-total-rises-to-87/20203/39305.vgp","Source")</f>
        <v>Source</v>
      </c>
      <c r="J76" s="20"/>
      <c r="K76" s="20"/>
      <c r="L76" s="61">
        <v>76.0</v>
      </c>
      <c r="M76" s="61">
        <v>0.0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30.0" customHeight="1">
      <c r="A77" s="38" t="s">
        <v>206</v>
      </c>
      <c r="B77" s="69">
        <v>85.0</v>
      </c>
      <c r="C77" s="45">
        <f t="shared" si="1"/>
        <v>12</v>
      </c>
      <c r="D77" s="69">
        <v>3.0</v>
      </c>
      <c r="E77" s="48">
        <f t="shared" si="2"/>
        <v>2</v>
      </c>
      <c r="F77" s="51">
        <f t="shared" si="3"/>
        <v>0.03529411765</v>
      </c>
      <c r="G77" s="64" t="s">
        <v>22</v>
      </c>
      <c r="H77" s="64">
        <v>7.0</v>
      </c>
      <c r="I77" s="54" t="str">
        <f>HYPERLINK("https://koronavirus.gov.hu","Source")</f>
        <v>Source</v>
      </c>
      <c r="J77" s="20"/>
      <c r="K77" s="20"/>
      <c r="L77" s="72">
        <v>73.0</v>
      </c>
      <c r="M77" s="72">
        <v>1.0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30.0" customHeight="1">
      <c r="A78" s="38" t="s">
        <v>207</v>
      </c>
      <c r="B78" s="69">
        <v>82.0</v>
      </c>
      <c r="C78" s="45">
        <f t="shared" si="1"/>
        <v>0</v>
      </c>
      <c r="D78" s="69">
        <v>8.0</v>
      </c>
      <c r="E78" s="48">
        <f t="shared" si="2"/>
        <v>0</v>
      </c>
      <c r="F78" s="51">
        <f t="shared" si="3"/>
        <v>0.09756097561</v>
      </c>
      <c r="G78" s="64" t="s">
        <v>22</v>
      </c>
      <c r="H78" s="64">
        <v>10.0</v>
      </c>
      <c r="I78" s="54" t="str">
        <f>HYPERLINK("http://www.sante.gov.dz/communiques/82-documentation/538-suivi-quotidien-du-coronavirus-covid-19-le-19-mars-2020.html","Source")</f>
        <v>Source</v>
      </c>
      <c r="J78" s="20"/>
      <c r="K78" s="20"/>
      <c r="L78" s="61">
        <v>82.0</v>
      </c>
      <c r="M78" s="61">
        <v>8.0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30.0" customHeight="1">
      <c r="A79" s="38" t="s">
        <v>208</v>
      </c>
      <c r="B79" s="69">
        <v>77.0</v>
      </c>
      <c r="C79" s="45">
        <f t="shared" si="1"/>
        <v>19</v>
      </c>
      <c r="D79" s="69">
        <v>3.0</v>
      </c>
      <c r="E79" s="48">
        <f t="shared" si="2"/>
        <v>1</v>
      </c>
      <c r="F79" s="51">
        <f t="shared" si="3"/>
        <v>0.03896103896</v>
      </c>
      <c r="G79" s="64" t="s">
        <v>22</v>
      </c>
      <c r="H79" s="64">
        <v>2.0</v>
      </c>
      <c r="I79" s="54" t="str">
        <f>HYPERLINK("https://twitter.com/MAP_Information/status/1241072678267748352","Source")</f>
        <v>Source</v>
      </c>
      <c r="J79" s="36"/>
      <c r="K79" s="20"/>
      <c r="L79" s="61">
        <v>58.0</v>
      </c>
      <c r="M79" s="61">
        <v>2.0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30.0" customHeight="1">
      <c r="A80" s="38" t="s">
        <v>209</v>
      </c>
      <c r="B80" s="69">
        <v>74.0</v>
      </c>
      <c r="C80" s="45">
        <f t="shared" si="1"/>
        <v>21</v>
      </c>
      <c r="D80" s="69">
        <v>0.0</v>
      </c>
      <c r="E80" s="48">
        <f t="shared" si="2"/>
        <v>0</v>
      </c>
      <c r="F80" s="51">
        <f t="shared" si="3"/>
        <v>0</v>
      </c>
      <c r="G80" s="64">
        <v>2.0</v>
      </c>
      <c r="H80" s="64" t="s">
        <v>22</v>
      </c>
      <c r="I80" s="54" t="str">
        <f>HYPERLINK("https://twitter.com/GovernAndorra/status/1240958311337529346","Source")</f>
        <v>Source</v>
      </c>
      <c r="J80" s="20"/>
      <c r="K80" s="20"/>
      <c r="L80" s="61">
        <v>53.0</v>
      </c>
      <c r="M80" s="61">
        <v>0.0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30.0" customHeight="1">
      <c r="A81" s="38" t="s">
        <v>210</v>
      </c>
      <c r="B81" s="69">
        <v>73.0</v>
      </c>
      <c r="C81" s="45">
        <f t="shared" si="1"/>
        <v>5</v>
      </c>
      <c r="D81" s="69">
        <v>0.0</v>
      </c>
      <c r="E81" s="48">
        <f t="shared" si="2"/>
        <v>0</v>
      </c>
      <c r="F81" s="51">
        <f t="shared" si="3"/>
        <v>0</v>
      </c>
      <c r="G81" s="64">
        <v>2.0</v>
      </c>
      <c r="H81" s="64">
        <v>0.0</v>
      </c>
      <c r="I81" s="54" t="str">
        <f>HYPERLINK("http://moh.gov.bn/SitePages/COVID-19.aspx","Source")</f>
        <v>Source</v>
      </c>
      <c r="J81" s="20"/>
      <c r="K81" s="20"/>
      <c r="L81" s="72">
        <v>68.0</v>
      </c>
      <c r="M81" s="72">
        <v>0.0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30.0" customHeight="1">
      <c r="A82" s="38" t="s">
        <v>211</v>
      </c>
      <c r="B82" s="69">
        <v>72.0</v>
      </c>
      <c r="C82" s="45">
        <f t="shared" si="1"/>
        <v>22</v>
      </c>
      <c r="D82" s="69">
        <v>0.0</v>
      </c>
      <c r="E82" s="48">
        <f t="shared" si="2"/>
        <v>0</v>
      </c>
      <c r="F82" s="51">
        <f t="shared" si="3"/>
        <v>0</v>
      </c>
      <c r="G82" s="64" t="s">
        <v>22</v>
      </c>
      <c r="H82" s="64">
        <v>1.0</v>
      </c>
      <c r="I82" s="54" t="str">
        <f>HYPERLINK("http://www.colombopage.com/archive_20A/Mar20_1584717649CH.php","Source")</f>
        <v>Source</v>
      </c>
      <c r="J82" s="20"/>
      <c r="K82" s="20"/>
      <c r="L82" s="61">
        <v>50.0</v>
      </c>
      <c r="M82" s="61">
        <v>0.0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27.75" customHeight="1">
      <c r="A83" s="38" t="s">
        <v>212</v>
      </c>
      <c r="B83" s="69">
        <v>69.0</v>
      </c>
      <c r="C83" s="45">
        <f t="shared" si="1"/>
        <v>33</v>
      </c>
      <c r="D83" s="69">
        <v>0.0</v>
      </c>
      <c r="E83" s="48">
        <f t="shared" si="2"/>
        <v>0</v>
      </c>
      <c r="F83" s="51">
        <f t="shared" si="3"/>
        <v>0</v>
      </c>
      <c r="G83" s="64" t="s">
        <v>22</v>
      </c>
      <c r="H83" s="64">
        <v>2.0</v>
      </c>
      <c r="I83" s="54" t="str">
        <f>HYPERLINK("https://www.klix.ba/vijesti/bih/novi-slucaj-koronavirusa-u-bih-zarazena-direktorica-ginexa-iz-gorazda/200319193","Source")</f>
        <v>Source</v>
      </c>
      <c r="J83" s="20"/>
      <c r="K83" s="20"/>
      <c r="L83" s="61">
        <v>36.0</v>
      </c>
      <c r="M83" s="61">
        <v>0.0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30.0" customHeight="1">
      <c r="A84" s="38" t="s">
        <v>213</v>
      </c>
      <c r="B84" s="69">
        <v>69.0</v>
      </c>
      <c r="C84" s="45">
        <f t="shared" si="1"/>
        <v>13</v>
      </c>
      <c r="D84" s="69">
        <v>0.0</v>
      </c>
      <c r="E84" s="48">
        <f t="shared" si="2"/>
        <v>0</v>
      </c>
      <c r="F84" s="51">
        <f t="shared" si="3"/>
        <v>0</v>
      </c>
      <c r="G84" s="64" t="s">
        <v>22</v>
      </c>
      <c r="H84" s="64">
        <v>1.0</v>
      </c>
      <c r="I84" s="54" t="str">
        <f>HYPERLINK("https://corona.moh.gov.jo/ar","Source")</f>
        <v>Source</v>
      </c>
      <c r="J84" s="20"/>
      <c r="K84" s="20"/>
      <c r="L84" s="72">
        <v>56.0</v>
      </c>
      <c r="M84" s="72">
        <v>0.0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30.0" customHeight="1">
      <c r="A85" s="38" t="s">
        <v>214</v>
      </c>
      <c r="B85" s="69">
        <v>67.0</v>
      </c>
      <c r="C85" s="45">
        <f t="shared" si="1"/>
        <v>25</v>
      </c>
      <c r="D85" s="69">
        <v>0.0</v>
      </c>
      <c r="E85" s="48">
        <f t="shared" si="2"/>
        <v>0</v>
      </c>
      <c r="F85" s="51">
        <f t="shared" si="3"/>
        <v>0</v>
      </c>
      <c r="G85" s="64">
        <v>0.0</v>
      </c>
      <c r="H85" s="64">
        <v>1.0</v>
      </c>
      <c r="I85" s="54" t="str">
        <f>HYPERLINK("https://twitter.com/ZdravstvoMK/status/1240933395917606912","Source")</f>
        <v>Source</v>
      </c>
      <c r="J85" s="20"/>
      <c r="K85" s="20"/>
      <c r="L85" s="61">
        <v>42.0</v>
      </c>
      <c r="M85" s="61">
        <v>0.0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30.0" customHeight="1">
      <c r="A86" s="38" t="s">
        <v>215</v>
      </c>
      <c r="B86" s="69">
        <v>67.0</v>
      </c>
      <c r="C86" s="45">
        <f t="shared" si="1"/>
        <v>8</v>
      </c>
      <c r="D86" s="69">
        <v>0.0</v>
      </c>
      <c r="E86" s="48">
        <f t="shared" si="2"/>
        <v>0</v>
      </c>
      <c r="F86" s="51">
        <f t="shared" si="3"/>
        <v>0</v>
      </c>
      <c r="G86" s="64" t="s">
        <v>22</v>
      </c>
      <c r="H86" s="64" t="s">
        <v>22</v>
      </c>
      <c r="I86" s="54" t="str">
        <f>HYPERLINK("http://www.cna.org.cy/WebNews-en.aspx?a=ee6dfa02631e42a699e192b77e452a01","Source")</f>
        <v>Source</v>
      </c>
      <c r="J86" s="20"/>
      <c r="K86" s="20"/>
      <c r="L86" s="72">
        <v>59.0</v>
      </c>
      <c r="M86" s="72">
        <v>0.0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30.0" customHeight="1">
      <c r="A87" s="38" t="s">
        <v>216</v>
      </c>
      <c r="B87" s="69">
        <v>64.0</v>
      </c>
      <c r="C87" s="45">
        <f t="shared" si="1"/>
        <v>5</v>
      </c>
      <c r="D87" s="69">
        <v>2.0</v>
      </c>
      <c r="E87" s="48">
        <f t="shared" si="2"/>
        <v>0</v>
      </c>
      <c r="F87" s="51">
        <f t="shared" si="3"/>
        <v>0.03125</v>
      </c>
      <c r="G87" s="64">
        <v>3.0</v>
      </c>
      <c r="H87" s="64">
        <v>0.0</v>
      </c>
      <c r="I87" s="54" t="str">
        <f>HYPERLINK("https://shendetesia.gov.al/31380-2/","Source")</f>
        <v>Source</v>
      </c>
      <c r="J87" s="20"/>
      <c r="K87" s="20"/>
      <c r="L87" s="61">
        <v>59.0</v>
      </c>
      <c r="M87" s="61">
        <v>2.0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27.75" customHeight="1">
      <c r="A88" s="38" t="s">
        <v>217</v>
      </c>
      <c r="B88" s="69">
        <v>64.0</v>
      </c>
      <c r="C88" s="45">
        <f t="shared" si="1"/>
        <v>16</v>
      </c>
      <c r="D88" s="69">
        <v>0.0</v>
      </c>
      <c r="E88" s="48">
        <f t="shared" si="2"/>
        <v>0</v>
      </c>
      <c r="F88" s="51">
        <f t="shared" si="3"/>
        <v>0</v>
      </c>
      <c r="G88" s="64" t="s">
        <v>22</v>
      </c>
      <c r="H88" s="64">
        <v>2.0</v>
      </c>
      <c r="I88" s="54" t="str">
        <f>HYPERLINK("https://timesofmalta.com/articles/view/watch-daily-coronavirus-update.779510","Source")</f>
        <v>Source</v>
      </c>
      <c r="J88" s="20"/>
      <c r="K88" s="20"/>
      <c r="L88" s="72">
        <v>48.0</v>
      </c>
      <c r="M88" s="72">
        <v>0.0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30.0" customHeight="1">
      <c r="A89" s="38" t="s">
        <v>218</v>
      </c>
      <c r="B89" s="69">
        <v>57.0</v>
      </c>
      <c r="C89" s="45">
        <f t="shared" si="1"/>
        <v>6</v>
      </c>
      <c r="D89" s="69">
        <v>0.0</v>
      </c>
      <c r="E89" s="48">
        <f t="shared" si="2"/>
        <v>0</v>
      </c>
      <c r="F89" s="51">
        <f t="shared" si="3"/>
        <v>0</v>
      </c>
      <c r="G89" s="64" t="s">
        <v>22</v>
      </c>
      <c r="H89" s="64">
        <v>15.0</v>
      </c>
      <c r="I89" s="54" t="str">
        <f>HYPERLINK("http://minzdrav.gov.by/ru/sobytiya/o-situatsii-po-covid-19/","Source")</f>
        <v>Source</v>
      </c>
      <c r="J89" s="20"/>
      <c r="K89" s="20"/>
      <c r="L89" s="72">
        <v>51.0</v>
      </c>
      <c r="M89" s="72">
        <v>0.0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30.0" customHeight="1">
      <c r="A90" s="38" t="s">
        <v>219</v>
      </c>
      <c r="B90" s="69">
        <v>53.0</v>
      </c>
      <c r="C90" s="45">
        <f t="shared" si="1"/>
        <v>14</v>
      </c>
      <c r="D90" s="69">
        <v>0.0</v>
      </c>
      <c r="E90" s="48">
        <f t="shared" si="2"/>
        <v>0</v>
      </c>
      <c r="F90" s="51">
        <f t="shared" si="3"/>
        <v>0</v>
      </c>
      <c r="G90" s="64" t="s">
        <v>22</v>
      </c>
      <c r="H90" s="64" t="s">
        <v>22</v>
      </c>
      <c r="I90" s="54" t="str">
        <f>HYPERLINK("https://www.health.govt.nz/news-media/media-releases/covid-19-update-21-march","Source")</f>
        <v>Source</v>
      </c>
      <c r="J90" s="36"/>
      <c r="K90" s="20"/>
      <c r="L90" s="72">
        <v>39.0</v>
      </c>
      <c r="M90" s="72">
        <v>0.0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27.75" customHeight="1">
      <c r="A91" s="38" t="s">
        <v>220</v>
      </c>
      <c r="B91" s="69">
        <v>49.0</v>
      </c>
      <c r="C91" s="45">
        <f t="shared" si="1"/>
        <v>13</v>
      </c>
      <c r="D91" s="69">
        <v>1.0</v>
      </c>
      <c r="E91" s="48">
        <f t="shared" si="2"/>
        <v>0</v>
      </c>
      <c r="F91" s="51">
        <f t="shared" si="3"/>
        <v>0.02040816327</v>
      </c>
      <c r="G91" s="64">
        <v>1.0</v>
      </c>
      <c r="H91" s="64">
        <v>1.0</v>
      </c>
      <c r="I91" s="54" t="str">
        <f>HYPERLINK("http://gismoldova.maps.arcgis.com/apps/opsdashboard/index.html#/d274da857ed345efa66e1fbc959b021b","Source")</f>
        <v>Source</v>
      </c>
      <c r="J91" s="20"/>
      <c r="K91" s="20"/>
      <c r="L91" s="61">
        <v>36.0</v>
      </c>
      <c r="M91" s="61">
        <v>1.0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30.0" customHeight="1">
      <c r="A92" s="38" t="s">
        <v>221</v>
      </c>
      <c r="B92" s="69">
        <v>49.0</v>
      </c>
      <c r="C92" s="45">
        <f t="shared" si="1"/>
        <v>5</v>
      </c>
      <c r="D92" s="69">
        <v>0.0</v>
      </c>
      <c r="E92" s="48">
        <f t="shared" si="2"/>
        <v>0</v>
      </c>
      <c r="F92" s="51">
        <f t="shared" si="3"/>
        <v>0</v>
      </c>
      <c r="G92" s="64" t="s">
        <v>22</v>
      </c>
      <c r="H92" s="64" t="s">
        <v>22</v>
      </c>
      <c r="I92" s="54" t="str">
        <f>HYPERLINK("https://www.facebook.com/MinzdravRK/posts/1435514349959756?__xts__[0]=68.ARDwIEGuJacoMrVDNbW3xnZJJHmE0zl_8hByHnRLOLQ1CXIgohx-81qmAHL7dvnAt2poAgui4UDGq62jwRgpUgf-L1rxDqJCIMiu_CQ4AlKrQcRglPpL8XfxriVG4HCRAZrr3Q7FKwsXE9jmtK2JElZjAjD65N1FFU6uP4BcyQDH-G5jOXPqlo"&amp;"NHkgjjSsw7gX2XisJAQSyd_HSjPxmDasLE_YLz6DnhgxtFFPsyj-xiAChPZQvAq-IhQLtuU7mbgPjD2q0VXazRyO0HNtPaAyvpffytD_rqnxiPB0BGYm7RC17j9F5IZh-rNZtgV_NRCfwkZd6b8XObvCANm_tbHzTGNA&amp;__tn__=-R","Source")</f>
        <v>Source</v>
      </c>
      <c r="J92" s="20"/>
      <c r="K92" s="20"/>
      <c r="L92" s="72">
        <v>44.0</v>
      </c>
      <c r="M92" s="72">
        <v>0.0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30.0" customHeight="1">
      <c r="A93" s="38" t="s">
        <v>222</v>
      </c>
      <c r="B93" s="69">
        <v>48.0</v>
      </c>
      <c r="C93" s="45">
        <f t="shared" si="1"/>
        <v>14</v>
      </c>
      <c r="D93" s="69">
        <v>0.0</v>
      </c>
      <c r="E93" s="48">
        <f t="shared" si="2"/>
        <v>0</v>
      </c>
      <c r="F93" s="51">
        <f t="shared" si="3"/>
        <v>0</v>
      </c>
      <c r="G93" s="64" t="s">
        <v>22</v>
      </c>
      <c r="H93" s="64">
        <v>1.0</v>
      </c>
      <c r="I93" s="54" t="str">
        <f>HYPERLINK("http://sam.lrv.lt/koronavirusas","Source")</f>
        <v>Source</v>
      </c>
      <c r="J93" s="59"/>
      <c r="K93" s="20"/>
      <c r="L93" s="61">
        <v>34.0</v>
      </c>
      <c r="M93" s="61">
        <v>0.0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30.0" customHeight="1">
      <c r="A94" s="38" t="s">
        <v>223</v>
      </c>
      <c r="B94" s="69">
        <v>48.0</v>
      </c>
      <c r="C94" s="45">
        <f t="shared" si="1"/>
        <v>9</v>
      </c>
      <c r="D94" s="69">
        <v>0.0</v>
      </c>
      <c r="E94" s="48">
        <f t="shared" si="2"/>
        <v>0</v>
      </c>
      <c r="F94" s="51">
        <f t="shared" si="3"/>
        <v>0</v>
      </c>
      <c r="G94" s="64">
        <v>0.0</v>
      </c>
      <c r="H94" s="64">
        <v>13.0</v>
      </c>
      <c r="I94" s="54" t="str">
        <f>HYPERLINK("https://twitter.com/OmaniMOH/status/1240711840851791872","Source")</f>
        <v>Source</v>
      </c>
      <c r="J94" s="59"/>
      <c r="K94" s="20"/>
      <c r="L94" s="61">
        <v>39.0</v>
      </c>
      <c r="M94" s="61">
        <v>0.0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30.0" customHeight="1">
      <c r="A95" s="38" t="s">
        <v>224</v>
      </c>
      <c r="B95" s="69">
        <v>48.0</v>
      </c>
      <c r="C95" s="45">
        <f t="shared" si="1"/>
        <v>1</v>
      </c>
      <c r="D95" s="69">
        <v>0.0</v>
      </c>
      <c r="E95" s="48">
        <f t="shared" si="2"/>
        <v>0</v>
      </c>
      <c r="F95" s="51">
        <f t="shared" si="3"/>
        <v>0</v>
      </c>
      <c r="G95" s="64">
        <v>0.0</v>
      </c>
      <c r="H95" s="64">
        <v>17.0</v>
      </c>
      <c r="I95" s="54" t="str">
        <f>HYPERLINK("https://www.facebook.com/mohps/posts/2694125837379944?__xts__[0]=68.ARDMZWM5JsIYF0PwienEcYTmf1B6_pexWVwzuA2OOJims5jN2iynxnqabjYXn5rDSm0AlVfNzG2mABojRIn0Y4YwLz-0C1UBr0M5CG5dlyGqtVBXF_ruIkdYsfVy-fnaQOR4gEiAbf4qIu2jQeQ2-UZsD1CSbnGxWXyruI0abJxOw-mVsKTfvf4hdPG"&amp;"xt8yqu5yaLNG4XsSiPzDmhs86D1VlcqKt-qgzUn5G1QZyMoXl_O9RGLp123EsWEMJHaRIbkZnOPUodKAvqaSRi1KL71cYQkpv5co7iIE1fFom_3cwP0ANj024emetlBZ07OkHWJBMEoS1WfFnkc---33K8g&amp;__tn__=-R","Source")</f>
        <v>Source</v>
      </c>
      <c r="J95" s="20"/>
      <c r="K95" s="20"/>
      <c r="L95" s="61">
        <v>47.0</v>
      </c>
      <c r="M95" s="61">
        <v>0.0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30.0" customHeight="1">
      <c r="A96" s="38" t="s">
        <v>225</v>
      </c>
      <c r="B96" s="69">
        <v>47.0</v>
      </c>
      <c r="C96" s="45">
        <f t="shared" si="1"/>
        <v>10</v>
      </c>
      <c r="D96" s="69">
        <v>0.0</v>
      </c>
      <c r="E96" s="48">
        <f t="shared" si="2"/>
        <v>0</v>
      </c>
      <c r="F96" s="51">
        <f t="shared" si="3"/>
        <v>0</v>
      </c>
      <c r="G96" s="64" t="s">
        <v>22</v>
      </c>
      <c r="H96" s="64">
        <v>1.0</v>
      </c>
      <c r="I96" s="54" t="str">
        <f>HYPERLINK("https://www.voacambodia.com/a/cambodia-reports-10-more-cases-tally-increases-by-40-cases-in-a-week/5337634.html","Source")</f>
        <v>Source</v>
      </c>
      <c r="J96" s="20"/>
      <c r="K96" s="20"/>
      <c r="L96" s="72">
        <v>37.0</v>
      </c>
      <c r="M96" s="72">
        <v>0.0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30.0" customHeight="1">
      <c r="A97" s="38" t="s">
        <v>226</v>
      </c>
      <c r="B97" s="69">
        <v>44.0</v>
      </c>
      <c r="C97" s="45">
        <f t="shared" si="1"/>
        <v>10</v>
      </c>
      <c r="D97" s="69">
        <v>1.0</v>
      </c>
      <c r="E97" s="48">
        <f t="shared" si="2"/>
        <v>0</v>
      </c>
      <c r="F97" s="51">
        <f t="shared" si="3"/>
        <v>0.02272727273</v>
      </c>
      <c r="G97" s="64" t="s">
        <v>22</v>
      </c>
      <c r="H97" s="64">
        <v>10.0</v>
      </c>
      <c r="I97" s="54" t="str">
        <f>HYPERLINK("https://report.az/siyasi-xeberler/daxili-siyaset/azerbaycanda-koronavirusa-yoluxan-daha-4-nefer-sagalib/","Source")</f>
        <v>Source</v>
      </c>
      <c r="J97" s="59"/>
      <c r="K97" s="20"/>
      <c r="L97" s="72">
        <v>34.0</v>
      </c>
      <c r="M97" s="72">
        <v>1.0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30.0" customHeight="1">
      <c r="A98" s="38" t="s">
        <v>42</v>
      </c>
      <c r="B98" s="69">
        <v>44.0</v>
      </c>
      <c r="C98" s="45">
        <f t="shared" si="1"/>
        <v>4</v>
      </c>
      <c r="D98" s="69">
        <v>0.0</v>
      </c>
      <c r="E98" s="48">
        <f t="shared" si="2"/>
        <v>0</v>
      </c>
      <c r="F98" s="51">
        <f t="shared" si="3"/>
        <v>0</v>
      </c>
      <c r="G98" s="64">
        <v>1.0</v>
      </c>
      <c r="H98" s="64">
        <v>1.0</v>
      </c>
      <c r="I98" s="54" t="str">
        <f>HYPERLINK("https://stopcov.ge/en","Source")</f>
        <v>Source</v>
      </c>
      <c r="J98" s="36"/>
      <c r="K98" s="20"/>
      <c r="L98" s="72">
        <v>40.0</v>
      </c>
      <c r="M98" s="72">
        <v>0.0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30.0" customHeight="1">
      <c r="A99" s="38" t="s">
        <v>227</v>
      </c>
      <c r="B99" s="69">
        <v>42.0</v>
      </c>
      <c r="C99" s="45">
        <f t="shared" si="1"/>
        <v>6</v>
      </c>
      <c r="D99" s="69">
        <v>0.0</v>
      </c>
      <c r="E99" s="48">
        <f t="shared" si="2"/>
        <v>0</v>
      </c>
      <c r="F99" s="51">
        <f t="shared" si="3"/>
        <v>0</v>
      </c>
      <c r="G99" s="64" t="s">
        <v>22</v>
      </c>
      <c r="H99" s="64" t="s">
        <v>22</v>
      </c>
      <c r="I99" s="54" t="str">
        <f>HYPERLINK("https://www.elnacional.com/venezuela/el-regimen-confirmo-seis-nuevos-casos-de-coronavirus-en-venezuela/","Source")</f>
        <v>Source</v>
      </c>
      <c r="J99" s="20"/>
      <c r="K99" s="20"/>
      <c r="L99" s="72">
        <v>36.0</v>
      </c>
      <c r="M99" s="72">
        <v>0.0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27.75" customHeight="1">
      <c r="A100" s="38" t="s">
        <v>228</v>
      </c>
      <c r="B100" s="69">
        <v>40.0</v>
      </c>
      <c r="C100" s="45">
        <f t="shared" si="1"/>
        <v>13</v>
      </c>
      <c r="D100" s="69">
        <v>1.0</v>
      </c>
      <c r="E100" s="48">
        <f t="shared" si="2"/>
        <v>0</v>
      </c>
      <c r="F100" s="51">
        <f t="shared" si="3"/>
        <v>0.025</v>
      </c>
      <c r="G100" s="64" t="s">
        <v>22</v>
      </c>
      <c r="H100" s="64">
        <v>4.0</v>
      </c>
      <c r="I100" s="54" t="str">
        <f>HYPERLINK("https://www.sante.gov.bf/detail?tx_news_pi1%5Baction%5D=detail&amp;tx_news_pi1%5Bcontroller%5D=News&amp;tx_news_pi1%5Bnews%5D=184&amp;cHash=fc0dc12436a704239846c5d8de562a8a","Source")</f>
        <v>Source</v>
      </c>
      <c r="J100" s="36"/>
      <c r="K100" s="20"/>
      <c r="L100" s="61">
        <v>27.0</v>
      </c>
      <c r="M100" s="61">
        <v>1.0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30.0" customHeight="1">
      <c r="A101" s="38" t="s">
        <v>229</v>
      </c>
      <c r="B101" s="69">
        <v>39.0</v>
      </c>
      <c r="C101" s="45">
        <f t="shared" si="1"/>
        <v>10</v>
      </c>
      <c r="D101" s="69">
        <v>1.0</v>
      </c>
      <c r="E101" s="48">
        <f t="shared" si="2"/>
        <v>1</v>
      </c>
      <c r="F101" s="51">
        <f t="shared" si="3"/>
        <v>0.02564102564</v>
      </c>
      <c r="G101" s="64" t="s">
        <v>22</v>
      </c>
      <c r="H101" s="64">
        <v>1.0</v>
      </c>
      <c r="I101" s="54" t="str">
        <f>HYPERLINK("https://www.facebook.com/santetunisie.rns.tn/photos/a.724855064220267/2965110430194708/?type=3&amp;theater","Source")</f>
        <v>Source</v>
      </c>
      <c r="J101" s="20"/>
      <c r="K101" s="20"/>
      <c r="L101" s="61">
        <v>29.0</v>
      </c>
      <c r="M101" s="61">
        <v>0.0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38" t="s">
        <v>230</v>
      </c>
      <c r="B102" s="69">
        <v>38.0</v>
      </c>
      <c r="C102" s="45">
        <f t="shared" si="1"/>
        <v>0</v>
      </c>
      <c r="D102" s="69">
        <v>0.0</v>
      </c>
      <c r="E102" s="48">
        <f t="shared" si="2"/>
        <v>0</v>
      </c>
      <c r="F102" s="51">
        <f t="shared" si="3"/>
        <v>0</v>
      </c>
      <c r="G102" s="64" t="s">
        <v>22</v>
      </c>
      <c r="H102" s="64">
        <v>5.0</v>
      </c>
      <c r="I102" s="54" t="str">
        <f>HYPERLINK("https://twitter.com/MinisteredelaS1/status/1240696813411172352","Source")</f>
        <v>Source</v>
      </c>
      <c r="J102" s="20"/>
      <c r="K102" s="20"/>
      <c r="L102" s="61">
        <v>38.0</v>
      </c>
      <c r="M102" s="61">
        <v>0.0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30.0" customHeight="1">
      <c r="A103" s="38" t="s">
        <v>231</v>
      </c>
      <c r="B103" s="69">
        <v>34.0</v>
      </c>
      <c r="C103" s="45">
        <f t="shared" si="1"/>
        <v>0</v>
      </c>
      <c r="D103" s="69">
        <v>2.0</v>
      </c>
      <c r="E103" s="48">
        <f t="shared" si="2"/>
        <v>0</v>
      </c>
      <c r="F103" s="51">
        <f t="shared" si="3"/>
        <v>0.05882352941</v>
      </c>
      <c r="G103" s="64" t="s">
        <v>22</v>
      </c>
      <c r="H103" s="64" t="s">
        <v>22</v>
      </c>
      <c r="I103" s="54" t="str">
        <f>HYPERLINK("https://listindiario.com/la-republica/2020/03/19/609267/informan-de-2-muertes-y-34-infectados-por-coronavirus","Source")</f>
        <v>Source</v>
      </c>
      <c r="J103" s="20"/>
      <c r="K103" s="20"/>
      <c r="L103" s="72">
        <v>34.0</v>
      </c>
      <c r="M103" s="72">
        <v>2.0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30.0" customHeight="1">
      <c r="A104" s="38" t="s">
        <v>232</v>
      </c>
      <c r="B104" s="69">
        <v>33.0</v>
      </c>
      <c r="C104" s="45">
        <f t="shared" si="1"/>
        <v>10</v>
      </c>
      <c r="D104" s="69">
        <v>0.0</v>
      </c>
      <c r="E104" s="48">
        <f t="shared" si="2"/>
        <v>0</v>
      </c>
      <c r="F104" s="51">
        <f t="shared" si="3"/>
        <v>0</v>
      </c>
      <c r="G104" s="64" t="s">
        <v>22</v>
      </c>
      <c r="H104" s="64" t="s">
        <v>22</v>
      </c>
      <c r="I104" s="54" t="str">
        <f>HYPERLINK("https://upl.uz/obshestvo/14854-news.html","Source")</f>
        <v>Source</v>
      </c>
      <c r="J104" s="20"/>
      <c r="K104" s="20"/>
      <c r="L104" s="72">
        <v>23.0</v>
      </c>
      <c r="M104" s="72">
        <v>0.0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27.75" customHeight="1">
      <c r="A105" s="38" t="s">
        <v>233</v>
      </c>
      <c r="B105" s="69">
        <v>33.0</v>
      </c>
      <c r="C105" s="45">
        <f t="shared" si="1"/>
        <v>13</v>
      </c>
      <c r="D105" s="69">
        <v>0.0</v>
      </c>
      <c r="E105" s="48">
        <f t="shared" si="2"/>
        <v>0</v>
      </c>
      <c r="F105" s="51">
        <f t="shared" si="3"/>
        <v>0</v>
      </c>
      <c r="G105" s="64" t="s">
        <v>22</v>
      </c>
      <c r="H105" s="64" t="s">
        <v>22</v>
      </c>
      <c r="I105" s="54" t="str">
        <f>HYPERLINK("https://www.kibrisgazetesi.com/corona-virus/kktc-de-vaka-sayisi-33e-cikti-h85371.html","Source")</f>
        <v>Source</v>
      </c>
      <c r="J105" s="20"/>
      <c r="K105" s="20"/>
      <c r="L105" s="72">
        <v>20.0</v>
      </c>
      <c r="M105" s="72">
        <v>0.0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7.75" customHeight="1">
      <c r="A106" s="38" t="s">
        <v>234</v>
      </c>
      <c r="B106" s="69">
        <v>28.0</v>
      </c>
      <c r="C106" s="45">
        <f t="shared" si="1"/>
        <v>0</v>
      </c>
      <c r="D106" s="69">
        <v>0.0</v>
      </c>
      <c r="E106" s="48">
        <f t="shared" si="2"/>
        <v>0</v>
      </c>
      <c r="F106" s="51">
        <f t="shared" si="3"/>
        <v>0</v>
      </c>
      <c r="G106" s="64" t="s">
        <v>22</v>
      </c>
      <c r="H106" s="64" t="s">
        <v>22</v>
      </c>
      <c r="I106" s="54" t="str">
        <f>HYPERLINK("https://www.volksblatt.li/Nachricht.aspx?src=vb&amp;id=248138","Source")</f>
        <v>Source</v>
      </c>
      <c r="J106" s="20"/>
      <c r="K106" s="20"/>
      <c r="L106" s="72">
        <v>28.0</v>
      </c>
      <c r="M106" s="72">
        <v>0.0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30.0" customHeight="1">
      <c r="A107" s="38" t="s">
        <v>235</v>
      </c>
      <c r="B107" s="69">
        <v>26.0</v>
      </c>
      <c r="C107" s="45">
        <f t="shared" si="1"/>
        <v>10</v>
      </c>
      <c r="D107" s="69">
        <v>3.0</v>
      </c>
      <c r="E107" s="48">
        <f t="shared" si="2"/>
        <v>1</v>
      </c>
      <c r="F107" s="51">
        <f t="shared" si="3"/>
        <v>0.1153846154</v>
      </c>
      <c r="G107" s="64" t="s">
        <v>22</v>
      </c>
      <c r="H107" s="64" t="s">
        <v>22</v>
      </c>
      <c r="I107" s="54" t="str">
        <f>HYPERLINK("https://moz.gov.ua/article/news/operativna-informacija-pro-poshirennja-koronavirusnoi-infekcii-2019-ncov-","Source")</f>
        <v>Source</v>
      </c>
      <c r="J107" s="20"/>
      <c r="K107" s="20"/>
      <c r="L107" s="72">
        <v>16.0</v>
      </c>
      <c r="M107" s="72">
        <v>2.0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27.75" customHeight="1">
      <c r="A108" s="38" t="s">
        <v>176</v>
      </c>
      <c r="B108" s="69">
        <v>24.0</v>
      </c>
      <c r="C108" s="45">
        <f t="shared" si="1"/>
        <v>12</v>
      </c>
      <c r="D108" s="69">
        <v>0.0</v>
      </c>
      <c r="E108" s="48">
        <f t="shared" si="2"/>
        <v>0</v>
      </c>
      <c r="F108" s="51">
        <f t="shared" si="3"/>
        <v>0</v>
      </c>
      <c r="G108" s="64" t="s">
        <v>22</v>
      </c>
      <c r="H108" s="64" t="s">
        <v>22</v>
      </c>
      <c r="I108" s="54" t="str">
        <f>HYPERLINK("https://covid19honduras.org/","Source")</f>
        <v>Source</v>
      </c>
      <c r="J108" s="20"/>
      <c r="K108" s="20"/>
      <c r="L108" s="61">
        <v>12.0</v>
      </c>
      <c r="M108" s="61">
        <v>0.0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30.0" customHeight="1">
      <c r="A109" s="38" t="s">
        <v>236</v>
      </c>
      <c r="B109" s="69">
        <v>22.0</v>
      </c>
      <c r="C109" s="45">
        <f t="shared" si="1"/>
        <v>0</v>
      </c>
      <c r="D109" s="69">
        <v>0.0</v>
      </c>
      <c r="E109" s="48">
        <f t="shared" si="2"/>
        <v>0</v>
      </c>
      <c r="F109" s="51">
        <f t="shared" si="3"/>
        <v>0</v>
      </c>
      <c r="G109" s="64" t="s">
        <v>22</v>
      </c>
      <c r="H109" s="64">
        <v>1.0</v>
      </c>
      <c r="I109" s="54" t="str">
        <f>HYPERLINK("https://www.humanitarianresponse.info/sites/www.humanitarianresponse.info/files/documents/files/20200318-sitrep-covid-19.pdf","Source")</f>
        <v>Source</v>
      </c>
      <c r="J109" s="20"/>
      <c r="K109" s="20"/>
      <c r="L109" s="61">
        <v>22.0</v>
      </c>
      <c r="M109" s="61">
        <v>0.0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27.75" customHeight="1">
      <c r="A110" s="38" t="s">
        <v>237</v>
      </c>
      <c r="B110" s="69">
        <v>21.0</v>
      </c>
      <c r="C110" s="45">
        <f t="shared" si="1"/>
        <v>10</v>
      </c>
      <c r="D110" s="69">
        <v>0.0</v>
      </c>
      <c r="E110" s="48">
        <f t="shared" si="2"/>
        <v>0</v>
      </c>
      <c r="F110" s="51">
        <f t="shared" si="3"/>
        <v>0</v>
      </c>
      <c r="G110" s="64" t="s">
        <v>22</v>
      </c>
      <c r="H110" s="64">
        <v>2.0</v>
      </c>
      <c r="I110" s="54" t="str">
        <f>HYPERLINK("https://www.facebook.com/MINSANTE.PageOfficielle/posts/3394876820527772?__xts__[0]=68.ARCnV1pGhibIxZbb4tvHLhb7QhZsHH7WrJ_WSsUdf2iTKyjCHLKSkzxoWFusIbi4Ny-cX3gFsb8YhsLZVxGfyno1LYoRj2VvpIuXcFiFGgeCXToHl2MUwihsXKrE2bgPZL78imk9R2JK6STrIzCzmHEDCplbsUFnRjPLFs6I1"&amp;"9Dl2HlMSn1VE6Gi-XyHdLUheCmQ5O7oDqIEJYbDfewvrwB9pPThq8PUit-ZFsD_VpfTYngAx4i3nfXPSWrBWoosjrisuGP05E1HJ3cyqGVBTE-Xn3AEdPXZKeU1Vx-HD3E2q_brd3SiawbcXMBMTa0qgJJJiJ8NkyIL8rGTwR9VPCCX&amp;__tn__=-R","Source")</f>
        <v>Source</v>
      </c>
      <c r="J110" s="20"/>
      <c r="K110" s="20"/>
      <c r="L110" s="61">
        <v>11.0</v>
      </c>
      <c r="M110" s="61">
        <v>0.0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30.0" customHeight="1">
      <c r="A111" s="38" t="s">
        <v>238</v>
      </c>
      <c r="B111" s="69">
        <v>21.0</v>
      </c>
      <c r="C111" s="45">
        <f t="shared" si="1"/>
        <v>2</v>
      </c>
      <c r="D111" s="69">
        <v>0.0</v>
      </c>
      <c r="E111" s="48">
        <f t="shared" si="2"/>
        <v>0</v>
      </c>
      <c r="F111" s="51">
        <f t="shared" si="3"/>
        <v>0</v>
      </c>
      <c r="G111" s="64" t="s">
        <v>22</v>
      </c>
      <c r="H111" s="64" t="s">
        <v>22</v>
      </c>
      <c r="I111" s="54" t="str">
        <f>HYPERLINK("https://kosova.health/en/","Source")</f>
        <v>Source</v>
      </c>
      <c r="J111" s="20"/>
      <c r="K111" s="20"/>
      <c r="L111" s="61">
        <v>19.0</v>
      </c>
      <c r="M111" s="61">
        <v>0.0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27.75" customHeight="1">
      <c r="A112" s="38" t="s">
        <v>239</v>
      </c>
      <c r="B112" s="69">
        <v>20.0</v>
      </c>
      <c r="C112" s="45">
        <f t="shared" si="1"/>
        <v>3</v>
      </c>
      <c r="D112" s="69">
        <v>1.0</v>
      </c>
      <c r="E112" s="48">
        <f t="shared" si="2"/>
        <v>0</v>
      </c>
      <c r="F112" s="51">
        <f t="shared" si="3"/>
        <v>0.05</v>
      </c>
      <c r="G112" s="64" t="s">
        <v>22</v>
      </c>
      <c r="H112" s="64" t="s">
        <v>22</v>
      </c>
      <c r="I112" s="54" t="str">
        <f>HYPERLINK("https://www.thedailystar.net/country/news/3-new-persons-infected-coronavirus-iedcr-1883398","Source")</f>
        <v>Source</v>
      </c>
      <c r="J112" s="20"/>
      <c r="K112" s="20"/>
      <c r="L112" s="61">
        <v>17.0</v>
      </c>
      <c r="M112" s="61">
        <v>1.0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30.0" customHeight="1">
      <c r="A113" s="38" t="s">
        <v>240</v>
      </c>
      <c r="B113" s="69">
        <v>18.0</v>
      </c>
      <c r="C113" s="45">
        <f t="shared" si="1"/>
        <v>4</v>
      </c>
      <c r="D113" s="69">
        <v>0.0</v>
      </c>
      <c r="E113" s="48">
        <f t="shared" si="2"/>
        <v>0</v>
      </c>
      <c r="F113" s="51">
        <f t="shared" si="3"/>
        <v>0</v>
      </c>
      <c r="G113" s="64" t="s">
        <v>22</v>
      </c>
      <c r="H113" s="64" t="s">
        <v>22</v>
      </c>
      <c r="I113" s="54" t="str">
        <f>HYPERLINK("https://twitter.com/EteniLongondo/status/1240898958148472832","Source")</f>
        <v>Source</v>
      </c>
      <c r="J113" s="20"/>
      <c r="K113" s="20"/>
      <c r="L113" s="61">
        <v>14.0</v>
      </c>
      <c r="M113" s="61">
        <v>0.0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30.0" customHeight="1">
      <c r="A114" s="38" t="s">
        <v>241</v>
      </c>
      <c r="B114" s="69">
        <v>17.0</v>
      </c>
      <c r="C114" s="45">
        <f t="shared" si="1"/>
        <v>0</v>
      </c>
      <c r="D114" s="69">
        <v>0.0</v>
      </c>
      <c r="E114" s="48">
        <f t="shared" si="2"/>
        <v>0</v>
      </c>
      <c r="F114" s="51">
        <f t="shared" si="3"/>
        <v>0</v>
      </c>
      <c r="G114" s="64" t="s">
        <v>22</v>
      </c>
      <c r="H114" s="64">
        <v>10.0</v>
      </c>
      <c r="I114" s="54" t="str">
        <f>HYPERLINK("https://news.gov.mo/detail/zh-hant/N20CS2arZP;jsessionid=B3178E813CFCBAF58E681B5139228865.app03?0","Source")</f>
        <v>Source</v>
      </c>
      <c r="J114" s="20"/>
      <c r="K114" s="20"/>
      <c r="L114" s="72">
        <v>17.0</v>
      </c>
      <c r="M114" s="72">
        <v>0.0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30.0" customHeight="1">
      <c r="A115" s="38" t="s">
        <v>242</v>
      </c>
      <c r="B115" s="69">
        <v>16.0</v>
      </c>
      <c r="C115" s="45">
        <f t="shared" si="1"/>
        <v>7</v>
      </c>
      <c r="D115" s="69">
        <v>0.0</v>
      </c>
      <c r="E115" s="48">
        <f t="shared" si="2"/>
        <v>0</v>
      </c>
      <c r="F115" s="51">
        <f t="shared" si="3"/>
        <v>0</v>
      </c>
      <c r="G115" s="64" t="s">
        <v>22</v>
      </c>
      <c r="H115" s="64" t="s">
        <v>22</v>
      </c>
      <c r="I115" s="54" t="str">
        <f>HYPERLINK("https://www.ghanahealthservice.org/covid19/","Source")</f>
        <v>Source</v>
      </c>
      <c r="J115" s="20"/>
      <c r="K115" s="20"/>
      <c r="L115" s="61">
        <v>9.0</v>
      </c>
      <c r="M115" s="61">
        <v>0.0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27.75" customHeight="1">
      <c r="A116" s="38" t="s">
        <v>174</v>
      </c>
      <c r="B116" s="69">
        <v>16.0</v>
      </c>
      <c r="C116" s="45">
        <f t="shared" si="1"/>
        <v>5</v>
      </c>
      <c r="D116" s="69">
        <v>1.0</v>
      </c>
      <c r="E116" s="48">
        <f t="shared" si="2"/>
        <v>0</v>
      </c>
      <c r="F116" s="51">
        <f t="shared" si="3"/>
        <v>0.0625</v>
      </c>
      <c r="G116" s="64">
        <v>1.0</v>
      </c>
      <c r="H116" s="64" t="s">
        <v>22</v>
      </c>
      <c r="I116" s="54" t="str">
        <f>HYPERLINK("https://salud.msp.gob.cu/?p=4253","Source")</f>
        <v>Source</v>
      </c>
      <c r="J116" s="20"/>
      <c r="K116" s="20"/>
      <c r="L116" s="72">
        <v>11.0</v>
      </c>
      <c r="M116" s="72">
        <v>1.0</v>
      </c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30.0" customHeight="1">
      <c r="A117" s="38" t="s">
        <v>243</v>
      </c>
      <c r="B117" s="69">
        <v>16.0</v>
      </c>
      <c r="C117" s="45">
        <f t="shared" si="1"/>
        <v>1</v>
      </c>
      <c r="D117" s="69">
        <v>1.0</v>
      </c>
      <c r="E117" s="48">
        <f t="shared" si="2"/>
        <v>0</v>
      </c>
      <c r="F117" s="51">
        <f t="shared" si="3"/>
        <v>0.0625</v>
      </c>
      <c r="G117" s="64" t="s">
        <v>22</v>
      </c>
      <c r="H117" s="64" t="s">
        <v>22</v>
      </c>
      <c r="I117" s="54" t="str">
        <f>HYPERLINK("https://twitter.com/themohwgovjm/status/1240808804293455872","Source")</f>
        <v>Source</v>
      </c>
      <c r="J117" s="20"/>
      <c r="K117" s="20"/>
      <c r="L117" s="72">
        <v>15.0</v>
      </c>
      <c r="M117" s="72">
        <v>1.0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30.0" customHeight="1">
      <c r="A118" s="38" t="s">
        <v>175</v>
      </c>
      <c r="B118" s="69">
        <v>15.0</v>
      </c>
      <c r="C118" s="45">
        <f t="shared" si="1"/>
        <v>0</v>
      </c>
      <c r="D118" s="69">
        <v>0.0</v>
      </c>
      <c r="E118" s="48">
        <f t="shared" si="2"/>
        <v>0</v>
      </c>
      <c r="F118" s="51">
        <f t="shared" si="3"/>
        <v>0</v>
      </c>
      <c r="G118" s="64" t="s">
        <v>22</v>
      </c>
      <c r="H118" s="64" t="s">
        <v>22</v>
      </c>
      <c r="I118" s="54" t="str">
        <f>HYPERLINK("https://twitter.com/MinSaludBolivia/status/1240614534441840640","Source")</f>
        <v>Source</v>
      </c>
      <c r="J118" s="20"/>
      <c r="K118" s="20"/>
      <c r="L118" s="61">
        <v>15.0</v>
      </c>
      <c r="M118" s="61">
        <v>0.0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27.75" customHeight="1">
      <c r="A119" s="38" t="s">
        <v>244</v>
      </c>
      <c r="B119" s="69">
        <v>13.0</v>
      </c>
      <c r="C119" s="45">
        <f t="shared" si="1"/>
        <v>0</v>
      </c>
      <c r="D119" s="69">
        <v>0.0</v>
      </c>
      <c r="E119" s="48">
        <f t="shared" si="2"/>
        <v>0</v>
      </c>
      <c r="F119" s="51">
        <f t="shared" si="3"/>
        <v>0</v>
      </c>
      <c r="G119" s="64" t="s">
        <v>22</v>
      </c>
      <c r="H119" s="64" t="s">
        <v>22</v>
      </c>
      <c r="I119" s="54" t="str">
        <f>HYPERLINK("https://covid19.health.gov.mv/en/","Source")</f>
        <v>Source</v>
      </c>
      <c r="J119" s="20"/>
      <c r="K119" s="20"/>
      <c r="L119" s="72">
        <v>13.0</v>
      </c>
      <c r="M119" s="72">
        <v>0.0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30.0" customHeight="1">
      <c r="A120" s="38" t="s">
        <v>245</v>
      </c>
      <c r="B120" s="69">
        <v>13.0</v>
      </c>
      <c r="C120" s="45">
        <f t="shared" si="1"/>
        <v>5</v>
      </c>
      <c r="D120" s="69">
        <v>0.0</v>
      </c>
      <c r="E120" s="48">
        <f t="shared" si="2"/>
        <v>0</v>
      </c>
      <c r="F120" s="51">
        <f t="shared" si="3"/>
        <v>0</v>
      </c>
      <c r="G120" s="64" t="s">
        <v>22</v>
      </c>
      <c r="H120" s="64" t="s">
        <v>22</v>
      </c>
      <c r="I120" s="54" t="str">
        <f>HYPERLINK("https://www.vijesti.me/vijesti/drustvo/sve-najbitnije-crna-gora-i-koronavirus-6h0pvsje","Source")</f>
        <v>Source</v>
      </c>
      <c r="J120" s="20"/>
      <c r="K120" s="20"/>
      <c r="L120" s="72">
        <v>8.0</v>
      </c>
      <c r="M120" s="72">
        <v>0.0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27.75" customHeight="1">
      <c r="A121" s="38" t="s">
        <v>172</v>
      </c>
      <c r="B121" s="69">
        <v>13.0</v>
      </c>
      <c r="C121" s="45">
        <f t="shared" si="1"/>
        <v>2</v>
      </c>
      <c r="D121" s="69">
        <v>0.0</v>
      </c>
      <c r="E121" s="48">
        <f t="shared" si="2"/>
        <v>0</v>
      </c>
      <c r="F121" s="51">
        <f t="shared" si="3"/>
        <v>0</v>
      </c>
      <c r="G121" s="64">
        <v>1.0</v>
      </c>
      <c r="H121" s="64" t="s">
        <v>22</v>
      </c>
      <c r="I121" s="54" t="str">
        <f>HYPERLINK("https://twitter.com/msaludpy/status/1240781704090071049","Source")</f>
        <v>Source</v>
      </c>
      <c r="J121" s="20"/>
      <c r="K121" s="20"/>
      <c r="L121" s="72">
        <v>11.0</v>
      </c>
      <c r="M121" s="72">
        <v>0.0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30.0" customHeight="1">
      <c r="A122" s="38" t="s">
        <v>246</v>
      </c>
      <c r="B122" s="69">
        <v>12.0</v>
      </c>
      <c r="C122" s="45">
        <f t="shared" si="1"/>
        <v>4</v>
      </c>
      <c r="D122" s="69">
        <v>0.0</v>
      </c>
      <c r="E122" s="48">
        <f t="shared" si="2"/>
        <v>0</v>
      </c>
      <c r="F122" s="51">
        <f t="shared" si="3"/>
        <v>0</v>
      </c>
      <c r="G122" s="64" t="s">
        <v>22</v>
      </c>
      <c r="H122" s="64">
        <v>0.0</v>
      </c>
      <c r="I122" s="54" t="str">
        <f>HYPERLINK("https://twitter.com/NCDCgov/status/1240755243564097543","Source")</f>
        <v>Source</v>
      </c>
      <c r="J122" s="20"/>
      <c r="K122" s="20"/>
      <c r="L122" s="72">
        <v>8.0</v>
      </c>
      <c r="M122" s="72">
        <v>0.0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30.0" customHeight="1">
      <c r="A123" s="38" t="s">
        <v>247</v>
      </c>
      <c r="B123" s="69">
        <v>11.0</v>
      </c>
      <c r="C123" s="45">
        <f t="shared" si="1"/>
        <v>0</v>
      </c>
      <c r="D123" s="69">
        <v>0.0</v>
      </c>
      <c r="E123" s="48">
        <f t="shared" si="2"/>
        <v>0</v>
      </c>
      <c r="F123" s="51">
        <f t="shared" si="3"/>
        <v>0</v>
      </c>
      <c r="G123" s="64" t="s">
        <v>22</v>
      </c>
      <c r="H123" s="64" t="s">
        <v>22</v>
      </c>
      <c r="I123" s="54" t="str">
        <f>HYPERLINK("https://twitter.com/RwandaHealth/status/1240714586132819968","Source")</f>
        <v>Source</v>
      </c>
      <c r="J123" s="20"/>
      <c r="K123" s="20"/>
      <c r="L123" s="61">
        <v>11.0</v>
      </c>
      <c r="M123" s="61">
        <v>0.0</v>
      </c>
      <c r="N123" s="22"/>
      <c r="O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30.0" customHeight="1">
      <c r="A124" s="38" t="s">
        <v>248</v>
      </c>
      <c r="B124" s="69">
        <v>11.0</v>
      </c>
      <c r="C124" s="45">
        <f t="shared" si="1"/>
        <v>5</v>
      </c>
      <c r="D124" s="69">
        <v>0.0</v>
      </c>
      <c r="E124" s="48">
        <f t="shared" si="2"/>
        <v>0</v>
      </c>
      <c r="F124" s="51">
        <f t="shared" si="3"/>
        <v>0</v>
      </c>
      <c r="G124" s="64" t="s">
        <v>22</v>
      </c>
      <c r="H124" s="64" t="s">
        <v>22</v>
      </c>
      <c r="I124" s="54" t="str">
        <f>HYPERLINK("https://www.tahiti-infos.com/Onze-cas-de-coronavirus-en-Polynesie_a189720.html","Source")</f>
        <v>Source</v>
      </c>
      <c r="J124" s="20"/>
      <c r="K124" s="20"/>
      <c r="L124" s="61">
        <v>6.0</v>
      </c>
      <c r="M124" s="61">
        <v>0.0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30.0" customHeight="1">
      <c r="A125" s="38" t="s">
        <v>249</v>
      </c>
      <c r="B125" s="69">
        <v>11.0</v>
      </c>
      <c r="C125" s="45">
        <f t="shared" si="1"/>
        <v>1</v>
      </c>
      <c r="D125" s="69">
        <v>0.0</v>
      </c>
      <c r="E125" s="48">
        <f t="shared" si="2"/>
        <v>0</v>
      </c>
      <c r="F125" s="51">
        <f t="shared" si="3"/>
        <v>0</v>
      </c>
      <c r="G125" s="64" t="s">
        <v>22</v>
      </c>
      <c r="H125" s="64">
        <v>1.0</v>
      </c>
      <c r="I125" s="54" t="str">
        <f>HYPERLINK("https://en.gouv.mc/Policy-Practice/Social-Affairs-and-Health/News/CORONAVIRUS-deux-nouveaux-cas-positifs-reveles-a-Monaco","Source")</f>
        <v>Source</v>
      </c>
      <c r="J125" s="20"/>
      <c r="K125" s="20"/>
      <c r="L125" s="72">
        <v>10.0</v>
      </c>
      <c r="M125" s="72">
        <v>0.0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30.0" customHeight="1">
      <c r="A126" s="38" t="s">
        <v>250</v>
      </c>
      <c r="B126" s="69">
        <v>10.0</v>
      </c>
      <c r="C126" s="45">
        <f t="shared" si="1"/>
        <v>4</v>
      </c>
      <c r="D126" s="69">
        <v>0.0</v>
      </c>
      <c r="E126" s="48">
        <f t="shared" si="2"/>
        <v>0</v>
      </c>
      <c r="F126" s="51">
        <f t="shared" si="3"/>
        <v>0</v>
      </c>
      <c r="G126" s="64" t="s">
        <v>22</v>
      </c>
      <c r="H126" s="64" t="s">
        <v>22</v>
      </c>
      <c r="I126" s="54" t="str">
        <f>HYPERLINK("https://www.gov.je/Health/Coronavirus/Pages/CoronavirusCases.aspx","Source")</f>
        <v>Source</v>
      </c>
      <c r="J126" s="20"/>
      <c r="K126" s="20"/>
      <c r="L126" s="72">
        <v>6.0</v>
      </c>
      <c r="M126" s="72">
        <v>0.0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27.75" customHeight="1">
      <c r="A127" s="38" t="s">
        <v>251</v>
      </c>
      <c r="B127" s="69">
        <v>10.0</v>
      </c>
      <c r="C127" s="45">
        <f t="shared" si="1"/>
        <v>2</v>
      </c>
      <c r="D127" s="69">
        <v>0.0</v>
      </c>
      <c r="E127" s="48">
        <f t="shared" si="2"/>
        <v>0</v>
      </c>
      <c r="F127" s="51">
        <f t="shared" si="3"/>
        <v>0</v>
      </c>
      <c r="G127" s="64">
        <v>1.0</v>
      </c>
      <c r="H127" s="64">
        <v>2.0</v>
      </c>
      <c r="I127" s="54" t="str">
        <f>HYPERLINK("https://twitter.com/GibraltarGov/status/1240676303302524930","Source")</f>
        <v>Source</v>
      </c>
      <c r="J127" s="20"/>
      <c r="K127" s="20"/>
      <c r="L127" s="61">
        <v>8.0</v>
      </c>
      <c r="M127" s="61">
        <v>0.0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30.0" customHeight="1">
      <c r="A128" s="38" t="s">
        <v>252</v>
      </c>
      <c r="B128" s="69">
        <v>9.0</v>
      </c>
      <c r="C128" s="45">
        <f t="shared" si="1"/>
        <v>0</v>
      </c>
      <c r="D128" s="69">
        <v>0.0</v>
      </c>
      <c r="E128" s="48">
        <f t="shared" si="2"/>
        <v>0</v>
      </c>
      <c r="F128" s="51">
        <f t="shared" si="3"/>
        <v>0</v>
      </c>
      <c r="G128" s="64" t="s">
        <v>22</v>
      </c>
      <c r="H128" s="64" t="s">
        <v>22</v>
      </c>
      <c r="I128" s="54" t="str">
        <f>HYPERLINK("https://trinidadexpress.com/news/t-t-now-has-cases-of-covid/article_2d9b004e-69c5-11ea-a498-5b9a526e67c6.html","Source")</f>
        <v>Source</v>
      </c>
      <c r="J128" s="20"/>
      <c r="K128" s="20"/>
      <c r="L128" s="72">
        <v>9.0</v>
      </c>
      <c r="M128" s="72">
        <v>0.0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30.0" customHeight="1">
      <c r="A129" s="38" t="s">
        <v>253</v>
      </c>
      <c r="B129" s="69">
        <v>9.0</v>
      </c>
      <c r="C129" s="45">
        <f t="shared" si="1"/>
        <v>0</v>
      </c>
      <c r="D129" s="69">
        <v>0.0</v>
      </c>
      <c r="E129" s="48">
        <f t="shared" si="2"/>
        <v>0</v>
      </c>
      <c r="F129" s="51">
        <f t="shared" si="3"/>
        <v>0</v>
      </c>
      <c r="G129" s="64" t="s">
        <v>22</v>
      </c>
      <c r="H129" s="64" t="s">
        <v>22</v>
      </c>
      <c r="I129" s="54" t="str">
        <f>HYPERLINK("https://twitter.com/lia_tadesse/status/1240757313302118407","Source")</f>
        <v>Source</v>
      </c>
      <c r="J129" s="20"/>
      <c r="K129" s="20"/>
      <c r="L129" s="61">
        <v>9.0</v>
      </c>
      <c r="M129" s="61">
        <v>0.0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27.75" customHeight="1">
      <c r="A130" s="38" t="s">
        <v>254</v>
      </c>
      <c r="B130" s="69">
        <v>9.0</v>
      </c>
      <c r="C130" s="45">
        <f t="shared" si="1"/>
        <v>8</v>
      </c>
      <c r="D130" s="69">
        <v>0.0</v>
      </c>
      <c r="E130" s="48">
        <f t="shared" si="2"/>
        <v>0</v>
      </c>
      <c r="F130" s="51">
        <f t="shared" si="3"/>
        <v>0</v>
      </c>
      <c r="G130" s="64" t="s">
        <v>22</v>
      </c>
      <c r="H130" s="64">
        <v>1.0</v>
      </c>
      <c r="I130" s="54" t="str">
        <f>HYPERLINK("http://www.savoirnews.net/coronavirus-huit-nouveaux-cas-au-togo/","Source")</f>
        <v>Source</v>
      </c>
      <c r="J130" s="20"/>
      <c r="K130" s="20"/>
      <c r="L130" s="61">
        <v>1.0</v>
      </c>
      <c r="M130" s="61">
        <v>0.0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27.75" customHeight="1">
      <c r="A131" s="38" t="s">
        <v>255</v>
      </c>
      <c r="B131" s="69">
        <v>9.0</v>
      </c>
      <c r="C131" s="45">
        <f t="shared" si="1"/>
        <v>3</v>
      </c>
      <c r="D131" s="69">
        <v>0.0</v>
      </c>
      <c r="E131" s="48">
        <f t="shared" si="2"/>
        <v>0</v>
      </c>
      <c r="F131" s="51">
        <f t="shared" si="3"/>
        <v>0</v>
      </c>
      <c r="G131" s="64" t="s">
        <v>22</v>
      </c>
      <c r="H131" s="64" t="s">
        <v>22</v>
      </c>
      <c r="I131" s="54" t="str">
        <f>HYPERLINK("https://twitter.com/OmsCotedivoire/status/1240686625782288384","Source")</f>
        <v>Source</v>
      </c>
      <c r="J131" s="20"/>
      <c r="K131" s="20"/>
      <c r="L131" s="61">
        <v>6.0</v>
      </c>
      <c r="M131" s="61">
        <v>0.0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27.75" customHeight="1">
      <c r="A132" s="38" t="s">
        <v>256</v>
      </c>
      <c r="B132" s="69">
        <v>9.0</v>
      </c>
      <c r="C132" s="45">
        <f t="shared" si="1"/>
        <v>2</v>
      </c>
      <c r="D132" s="69">
        <v>1.0</v>
      </c>
      <c r="E132" s="48">
        <f t="shared" si="2"/>
        <v>0</v>
      </c>
      <c r="F132" s="51">
        <f t="shared" si="3"/>
        <v>0.1111111111</v>
      </c>
      <c r="G132" s="64" t="s">
        <v>22</v>
      </c>
      <c r="H132" s="64" t="s">
        <v>22</v>
      </c>
      <c r="I132" s="54" t="str">
        <f>HYPERLINK("https://twitter.com/lahoragt/status/1241171442382909440","Source")</f>
        <v>Source</v>
      </c>
      <c r="J132" s="36"/>
      <c r="K132" s="20"/>
      <c r="L132" s="72">
        <v>7.0</v>
      </c>
      <c r="M132" s="72">
        <v>1.0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30.0" customHeight="1">
      <c r="A133" s="38" t="s">
        <v>257</v>
      </c>
      <c r="B133" s="69">
        <v>7.0</v>
      </c>
      <c r="C133" s="45">
        <f t="shared" si="1"/>
        <v>0</v>
      </c>
      <c r="D133" s="69">
        <v>0.0</v>
      </c>
      <c r="E133" s="48">
        <f t="shared" si="2"/>
        <v>0</v>
      </c>
      <c r="F133" s="51">
        <f t="shared" si="3"/>
        <v>0</v>
      </c>
      <c r="G133" s="64" t="s">
        <v>22</v>
      </c>
      <c r="H133" s="64" t="s">
        <v>22</v>
      </c>
      <c r="I133" s="54" t="str">
        <f>HYPERLINK("https://twitter.com/MOH_Kenya/status/1240251444915142657","Source")</f>
        <v>Source</v>
      </c>
      <c r="J133" s="20"/>
      <c r="K133" s="20"/>
      <c r="L133" s="61">
        <v>7.0</v>
      </c>
      <c r="M133" s="61">
        <v>0.0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30.0" customHeight="1">
      <c r="A134" s="38" t="s">
        <v>258</v>
      </c>
      <c r="B134" s="69">
        <v>7.0</v>
      </c>
      <c r="C134" s="45">
        <f t="shared" si="1"/>
        <v>4</v>
      </c>
      <c r="D134" s="69">
        <v>0.0</v>
      </c>
      <c r="E134" s="48">
        <f t="shared" si="2"/>
        <v>0</v>
      </c>
      <c r="F134" s="51">
        <f t="shared" si="3"/>
        <v>0</v>
      </c>
      <c r="G134" s="64" t="s">
        <v>22</v>
      </c>
      <c r="H134" s="64" t="s">
        <v>22</v>
      </c>
      <c r="I134" s="54" t="str">
        <f>HYPERLINK("https://www.lemauricien.com/article/covid-19-confinement-national-a-partir-de-6-heures-du-matin-demain-vendredi-20-mars/","Source")</f>
        <v>Source</v>
      </c>
      <c r="J134" s="20"/>
      <c r="K134" s="20"/>
      <c r="L134" s="72">
        <v>3.0</v>
      </c>
      <c r="M134" s="72">
        <v>0.0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30.0" customHeight="1">
      <c r="A135" s="38" t="s">
        <v>259</v>
      </c>
      <c r="B135" s="69">
        <v>7.0</v>
      </c>
      <c r="C135" s="45">
        <f t="shared" si="1"/>
        <v>1</v>
      </c>
      <c r="D135" s="69">
        <v>0.0</v>
      </c>
      <c r="E135" s="48">
        <f t="shared" si="2"/>
        <v>0</v>
      </c>
      <c r="F135" s="51">
        <f t="shared" si="3"/>
        <v>0</v>
      </c>
      <c r="G135" s="64" t="s">
        <v>22</v>
      </c>
      <c r="H135" s="64" t="s">
        <v>22</v>
      </c>
      <c r="I135" s="54" t="str">
        <f>HYPERLINK("http://www.health.gov.sc/","Source")</f>
        <v>Source</v>
      </c>
      <c r="J135" s="20"/>
      <c r="K135" s="20"/>
      <c r="L135" s="61">
        <v>6.0</v>
      </c>
      <c r="M135" s="61">
        <v>0.0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30.0" customHeight="1">
      <c r="A136" s="38" t="s">
        <v>260</v>
      </c>
      <c r="B136" s="69">
        <v>6.0</v>
      </c>
      <c r="C136" s="45">
        <f t="shared" si="1"/>
        <v>0</v>
      </c>
      <c r="D136" s="69">
        <v>0.0</v>
      </c>
      <c r="E136" s="48">
        <f t="shared" si="2"/>
        <v>0</v>
      </c>
      <c r="F136" s="51">
        <f t="shared" si="3"/>
        <v>0</v>
      </c>
      <c r="G136" s="64" t="s">
        <v>22</v>
      </c>
      <c r="H136" s="64" t="s">
        <v>22</v>
      </c>
      <c r="I136" s="54" t="str">
        <f>HYPERLINK("https://montsame.mn/en/read/219278","Source")</f>
        <v>Source</v>
      </c>
      <c r="J136" s="20"/>
      <c r="K136" s="20"/>
      <c r="L136" s="72">
        <v>6.0</v>
      </c>
      <c r="M136" s="72">
        <v>0.0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30.0" customHeight="1">
      <c r="A137" s="38" t="s">
        <v>261</v>
      </c>
      <c r="B137" s="69">
        <v>6.0</v>
      </c>
      <c r="C137" s="45">
        <f t="shared" si="1"/>
        <v>0</v>
      </c>
      <c r="D137" s="69">
        <v>0.0</v>
      </c>
      <c r="E137" s="48">
        <f t="shared" si="2"/>
        <v>0</v>
      </c>
      <c r="F137" s="51">
        <f t="shared" si="3"/>
        <v>0</v>
      </c>
      <c r="G137" s="64" t="s">
        <v>22</v>
      </c>
      <c r="H137" s="64" t="s">
        <v>22</v>
      </c>
      <c r="I137" s="54" t="str">
        <f>HYPERLINK("https://twitter.com/NationBreaking/status/1240576982783528960","Source")</f>
        <v>Source</v>
      </c>
      <c r="J137" s="20"/>
      <c r="K137" s="20"/>
      <c r="L137" s="72">
        <v>6.0</v>
      </c>
      <c r="M137" s="72">
        <v>0.0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30.0" customHeight="1">
      <c r="A138" s="38" t="s">
        <v>262</v>
      </c>
      <c r="B138" s="69">
        <v>6.0</v>
      </c>
      <c r="C138" s="45">
        <f t="shared" si="1"/>
        <v>3</v>
      </c>
      <c r="D138" s="69">
        <v>0.0</v>
      </c>
      <c r="E138" s="48">
        <f t="shared" si="2"/>
        <v>0</v>
      </c>
      <c r="F138" s="51">
        <f t="shared" si="3"/>
        <v>0</v>
      </c>
      <c r="G138" s="64" t="s">
        <v>22</v>
      </c>
      <c r="H138" s="64" t="s">
        <v>22</v>
      </c>
      <c r="I138" s="54" t="str">
        <f>HYPERLINK("https://www.guineaecuatorialpress.com/noticia.php?id=15138","Source")</f>
        <v>Source</v>
      </c>
      <c r="J138" s="20"/>
      <c r="K138" s="20"/>
      <c r="L138" s="72">
        <v>3.0</v>
      </c>
      <c r="M138" s="72">
        <v>0.0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30.0" customHeight="1">
      <c r="A139" s="38" t="s">
        <v>263</v>
      </c>
      <c r="B139" s="69">
        <v>5.0</v>
      </c>
      <c r="C139" s="45">
        <f t="shared" si="1"/>
        <v>3</v>
      </c>
      <c r="D139" s="69">
        <v>0.0</v>
      </c>
      <c r="E139" s="48">
        <f t="shared" si="2"/>
        <v>0</v>
      </c>
      <c r="F139" s="51">
        <f t="shared" si="3"/>
        <v>0</v>
      </c>
      <c r="G139" s="64" t="s">
        <v>22</v>
      </c>
      <c r="H139" s="64" t="s">
        <v>22</v>
      </c>
      <c r="I139" s="54" t="str">
        <f>HYPERLINK("https://gisbarbados.gov.bb/blog/three-new-cases-of-covid-19/","Source")</f>
        <v>Source</v>
      </c>
      <c r="J139" s="20"/>
      <c r="K139" s="20"/>
      <c r="L139" s="61">
        <v>2.0</v>
      </c>
      <c r="M139" s="61">
        <v>0.0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30.0" customHeight="1">
      <c r="A140" s="38" t="s">
        <v>264</v>
      </c>
      <c r="B140" s="69">
        <v>5.0</v>
      </c>
      <c r="C140" s="45">
        <f t="shared" si="1"/>
        <v>1</v>
      </c>
      <c r="D140" s="69">
        <v>0.0</v>
      </c>
      <c r="E140" s="48">
        <f t="shared" si="2"/>
        <v>0</v>
      </c>
      <c r="F140" s="51">
        <f t="shared" si="3"/>
        <v>0</v>
      </c>
      <c r="G140" s="64" t="s">
        <v>22</v>
      </c>
      <c r="H140" s="64">
        <v>1.0</v>
      </c>
      <c r="I140" s="54" t="str">
        <f>HYPERLINK("https://www.arubacovid19.org/","Source")</f>
        <v>Source</v>
      </c>
      <c r="J140" s="20"/>
      <c r="K140" s="20"/>
      <c r="L140" s="72">
        <v>4.0</v>
      </c>
      <c r="M140" s="72">
        <v>0.0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30.0" customHeight="1">
      <c r="A141" s="38" t="s">
        <v>265</v>
      </c>
      <c r="B141" s="69">
        <v>5.0</v>
      </c>
      <c r="C141" s="45">
        <f t="shared" si="1"/>
        <v>1</v>
      </c>
      <c r="D141" s="69">
        <v>0.0</v>
      </c>
      <c r="E141" s="48">
        <f t="shared" si="2"/>
        <v>0</v>
      </c>
      <c r="F141" s="51">
        <f t="shared" si="3"/>
        <v>0</v>
      </c>
      <c r="G141" s="64" t="s">
        <v>22</v>
      </c>
      <c r="H141" s="64" t="s">
        <v>22</v>
      </c>
      <c r="I141" s="54" t="str">
        <f>HYPERLINK("https://dpi.gov.gy/another-family-member-of-deceased-tests-positive-for-covid-19/","Source")</f>
        <v>Source</v>
      </c>
      <c r="J141" s="20"/>
      <c r="K141" s="20"/>
      <c r="L141" s="61">
        <v>4.0</v>
      </c>
      <c r="M141" s="61">
        <v>0.0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30.0" customHeight="1">
      <c r="A142" s="38" t="s">
        <v>266</v>
      </c>
      <c r="B142" s="69">
        <v>4.0</v>
      </c>
      <c r="C142" s="45">
        <f t="shared" si="1"/>
        <v>3</v>
      </c>
      <c r="D142" s="69">
        <v>0.0</v>
      </c>
      <c r="E142" s="48">
        <f t="shared" si="2"/>
        <v>0</v>
      </c>
      <c r="F142" s="51">
        <f t="shared" si="3"/>
        <v>0</v>
      </c>
      <c r="G142" s="64" t="s">
        <v>22</v>
      </c>
      <c r="H142" s="64" t="s">
        <v>22</v>
      </c>
      <c r="I142" s="54" t="str">
        <f>HYPERLINK("https://covid-19.sr/","Source")</f>
        <v>Source</v>
      </c>
      <c r="J142" s="20"/>
      <c r="K142" s="20"/>
      <c r="L142" s="61">
        <v>1.0</v>
      </c>
      <c r="M142" s="61">
        <v>0.0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30.0" customHeight="1">
      <c r="A143" s="38" t="s">
        <v>267</v>
      </c>
      <c r="B143" s="69">
        <v>3.0</v>
      </c>
      <c r="C143" s="45">
        <f t="shared" si="1"/>
        <v>2</v>
      </c>
      <c r="D143" s="69">
        <v>1.0</v>
      </c>
      <c r="E143" s="48">
        <f t="shared" si="2"/>
        <v>1</v>
      </c>
      <c r="F143" s="51">
        <f t="shared" si="3"/>
        <v>0.3333333333</v>
      </c>
      <c r="G143" s="64" t="s">
        <v>22</v>
      </c>
      <c r="H143" s="64" t="s">
        <v>22</v>
      </c>
      <c r="I143" s="54" t="str">
        <f>HYPERLINK("http://www.gov.ky/portal/page/portal/cighome/pressroom/archive/March%202020/thursday-19-march-update","Source")</f>
        <v>Source</v>
      </c>
      <c r="J143" s="20"/>
      <c r="K143" s="20"/>
      <c r="L143" s="61">
        <v>1.0</v>
      </c>
      <c r="M143" s="61">
        <v>0.0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30.0" customHeight="1">
      <c r="A144" s="38" t="s">
        <v>268</v>
      </c>
      <c r="B144" s="69">
        <v>3.0</v>
      </c>
      <c r="C144" s="45">
        <f t="shared" si="1"/>
        <v>0</v>
      </c>
      <c r="D144" s="69">
        <v>0.0</v>
      </c>
      <c r="E144" s="48">
        <f t="shared" si="2"/>
        <v>0</v>
      </c>
      <c r="F144" s="51">
        <f t="shared" si="3"/>
        <v>0</v>
      </c>
      <c r="G144" s="64" t="s">
        <v>22</v>
      </c>
      <c r="H144" s="64" t="s">
        <v>22</v>
      </c>
      <c r="I144" s="54" t="str">
        <f>HYPERLINK("https://www.gabonmediatime.com/coronavirus-deux-nouveaux-cas-testes-positifs-au-gabon/","Source")</f>
        <v>Source</v>
      </c>
      <c r="J144" s="20"/>
      <c r="K144" s="20"/>
      <c r="L144" s="61">
        <v>3.0</v>
      </c>
      <c r="M144" s="61">
        <v>0.0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30.0" customHeight="1">
      <c r="A145" s="38" t="s">
        <v>269</v>
      </c>
      <c r="B145" s="69">
        <v>3.0</v>
      </c>
      <c r="C145" s="45">
        <f t="shared" si="1"/>
        <v>0</v>
      </c>
      <c r="D145" s="69">
        <v>0.0</v>
      </c>
      <c r="E145" s="48">
        <f t="shared" si="2"/>
        <v>0</v>
      </c>
      <c r="F145" s="51">
        <f t="shared" si="3"/>
        <v>0</v>
      </c>
      <c r="G145" s="64" t="s">
        <v>22</v>
      </c>
      <c r="H145" s="64" t="s">
        <v>22</v>
      </c>
      <c r="I145" s="54" t="str">
        <f>HYPERLINK("https://tass.com/world/1131599","Source")</f>
        <v>Source</v>
      </c>
      <c r="J145" s="20"/>
      <c r="K145" s="20"/>
      <c r="L145" s="61">
        <v>3.0</v>
      </c>
      <c r="M145" s="61">
        <v>0.0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30.0" customHeight="1">
      <c r="A146" s="38" t="s">
        <v>270</v>
      </c>
      <c r="B146" s="69">
        <v>3.0</v>
      </c>
      <c r="C146" s="45">
        <f t="shared" si="1"/>
        <v>0</v>
      </c>
      <c r="D146" s="69">
        <v>0.0</v>
      </c>
      <c r="E146" s="48">
        <f t="shared" si="2"/>
        <v>0</v>
      </c>
      <c r="F146" s="51">
        <f t="shared" si="3"/>
        <v>0</v>
      </c>
      <c r="G146" s="64" t="s">
        <v>22</v>
      </c>
      <c r="H146" s="64" t="s">
        <v>22</v>
      </c>
      <c r="I146" s="54" t="str">
        <f>HYPERLINK("http://www.bahamas.gov.bs/wps/portal/public/news%20and%20press%20release/bahamas%20ministry%20of%20health%20covid-19%20dashboard%20(18th%20march%202020)/!ut/p/b1/vZbbjqM4EEC_pT8gjc3FmEfud0MIBMILCiEhCUkgCQHaXz9p7axWo93pfpmN_WJLVTqlo3LJTM5kTH5ZD4d63R_ay_r0e"&amp;"c9RwZmBP1d57GPES8CGMbE1PeRMDjIpk1krQdFav9b1dPD3j7hq9FWy9h_bkVZEfWaeQln2rE5M-6ooaUGaItj0673oZ-41sXcQbYM2k1uj7Ggy0z4GljVSOgWSs3EL_ySPG3UbmJVdmKWbBYZ6Ok4nrCI-I3bG19cULcEdWTVvz9pIM1Mx0luzHJaj2khOCtUWq2J4dgBLOloZB3FB77WzWV_EdpmoZjZEfT_aZt8vsSsj8_Y4r8VFurvU0q4-"&amp;"hESfvz0lrJ4SwG-WDP5yBExflp-OAjb-dKRC5CYCwBr6mf9FwLeO818RpgAQsJPQk0PRYgMe_Az4qsSvi-SZ1TNA_H2AyMRMBvhicfzobNrQ6EjnwI-XNolXFNJkvDc0JbHOkX4NY20FQZmMfnIHPvW5nkYkrqywWkaJImuhVn88vgYuPP61QByjVwO5FwM58Gog-2qg8GKg8-ou5f78O3SY_FCe38fN-R28CwBCloNYYDkRiSyzdDa1oLbyqOt"&amp;"adId7H4Gpd_kDYfVVeVjkra30kx1abNlnRajMeWvzMclzzw2q6lztktQylAl2kuzPE6NTI2-42ibbOhcxulzK8XqUlZtZnk-FQp2wkXZ400rsDbWlc80zKr-9McRqz9tvrCj_1dnjQrNBT-UJHD_taBmJDYdUOem1yAGAhb7mPM9zSI7LIO7Lv61gVjnV300n9FogVuCrgeL_DnRZ7gn0OI9gFS5M7sVA_Oeb5penhCWOlQQRYB5DAQLILLsEi2"&amp;"XjT5r3cI06JI1xdKBV3rg6wLl6aSi6k5lcebtEeFh017KuITvQbuaOgcB2U4MTv3T309FyPUeBDzqe-2AfpWzWQTUCzscaov0tWWI9g0LjDm2Umg-Et-HtqATPz5bXT2Oy6_P-Mpz2RoxXV23fcjHRJNzEFExaHduTYNSHhSgp2cLgF3tPhgcWFTvdsCx9PJVXrZuFlGgONGeq7ki0G1iw4i6yN9xn1i1b70loeZ1Zl9Xmevd40Igmya9QmJXom"&amp;"hU0J2wxlFZSD0NVvzHdeXA9FFk0-9femsP5n_0cBD8A_frAEw!!/dl4/d5/L2dBISEvZ0FBIS9nQSEh/","Source")</f>
        <v>Source</v>
      </c>
      <c r="J146" s="20"/>
      <c r="K146" s="20"/>
      <c r="L146" s="72">
        <v>3.0</v>
      </c>
      <c r="M146" s="72">
        <v>0.0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30.0" customHeight="1">
      <c r="A147" s="38" t="s">
        <v>271</v>
      </c>
      <c r="B147" s="69">
        <v>3.0</v>
      </c>
      <c r="C147" s="45">
        <f t="shared" si="1"/>
        <v>0</v>
      </c>
      <c r="D147" s="69">
        <v>1.0</v>
      </c>
      <c r="E147" s="48">
        <f t="shared" si="2"/>
        <v>0</v>
      </c>
      <c r="F147" s="51">
        <f t="shared" si="3"/>
        <v>0.3333333333</v>
      </c>
      <c r="G147" s="64" t="s">
        <v>22</v>
      </c>
      <c r="H147" s="64" t="s">
        <v>22</v>
      </c>
      <c r="I147" s="54" t="str">
        <f>HYPERLINK("https://www.thedailyherald.sx/islands/first-coronavirus-death-in-curacao","Source")</f>
        <v>Source</v>
      </c>
      <c r="J147" s="20"/>
      <c r="K147" s="20"/>
      <c r="L147" s="61">
        <v>3.0</v>
      </c>
      <c r="M147" s="61">
        <v>1.0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30.0" customHeight="1">
      <c r="A148" s="38" t="s">
        <v>272</v>
      </c>
      <c r="B148" s="69">
        <v>3.0</v>
      </c>
      <c r="C148" s="45">
        <f t="shared" si="1"/>
        <v>0</v>
      </c>
      <c r="D148" s="69">
        <v>0.0</v>
      </c>
      <c r="E148" s="48">
        <f t="shared" si="2"/>
        <v>0</v>
      </c>
      <c r="F148" s="51">
        <f t="shared" si="3"/>
        <v>0</v>
      </c>
      <c r="G148" s="64" t="s">
        <v>22</v>
      </c>
      <c r="H148" s="64" t="s">
        <v>22</v>
      </c>
      <c r="I148" s="54" t="str">
        <f>HYPERLINK("http://apanews.net/en/news/congo-confirms-three-covid-19-cases","Source")</f>
        <v>Source</v>
      </c>
      <c r="J148" s="20"/>
      <c r="K148" s="20"/>
      <c r="L148" s="61">
        <v>3.0</v>
      </c>
      <c r="M148" s="61">
        <v>0.0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30.0" customHeight="1">
      <c r="A149" s="38" t="s">
        <v>273</v>
      </c>
      <c r="B149" s="69">
        <v>3.0</v>
      </c>
      <c r="C149" s="45">
        <f t="shared" si="1"/>
        <v>1</v>
      </c>
      <c r="D149" s="69">
        <v>0.0</v>
      </c>
      <c r="E149" s="48">
        <f t="shared" si="2"/>
        <v>0</v>
      </c>
      <c r="F149" s="51">
        <f t="shared" si="3"/>
        <v>0</v>
      </c>
      <c r="G149" s="64" t="s">
        <v>22</v>
      </c>
      <c r="H149" s="64" t="s">
        <v>22</v>
      </c>
      <c r="I149" s="54" t="str">
        <f>HYPERLINK("https://twitter.com/TheNamibian/status/1240927230387204098","Source")</f>
        <v>Source</v>
      </c>
      <c r="J149" s="20"/>
      <c r="K149" s="20"/>
      <c r="L149" s="72">
        <v>2.0</v>
      </c>
      <c r="M149" s="72">
        <v>0.0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30.0" customHeight="1">
      <c r="A150" s="38" t="s">
        <v>274</v>
      </c>
      <c r="B150" s="69">
        <v>2.0</v>
      </c>
      <c r="C150" s="45">
        <f t="shared" si="1"/>
        <v>0</v>
      </c>
      <c r="D150" s="69">
        <v>0.0</v>
      </c>
      <c r="E150" s="48">
        <f t="shared" si="2"/>
        <v>0</v>
      </c>
      <c r="F150" s="51">
        <f t="shared" si="3"/>
        <v>0</v>
      </c>
      <c r="G150" s="64" t="s">
        <v>22</v>
      </c>
      <c r="H150" s="64" t="s">
        <v>22</v>
      </c>
      <c r="I150" s="54" t="str">
        <f>HYPERLINK("https://twitter.com/Frantzduval/status/1240785471669764106","Source")</f>
        <v>Source</v>
      </c>
      <c r="J150" s="20"/>
      <c r="K150" s="20"/>
      <c r="L150" s="72">
        <v>2.0</v>
      </c>
      <c r="M150" s="72">
        <v>0.0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30.0" customHeight="1">
      <c r="A151" s="38" t="s">
        <v>275</v>
      </c>
      <c r="B151" s="69">
        <v>2.0</v>
      </c>
      <c r="C151" s="45">
        <f t="shared" si="1"/>
        <v>0</v>
      </c>
      <c r="D151" s="69">
        <v>0.0</v>
      </c>
      <c r="E151" s="48">
        <f t="shared" si="2"/>
        <v>0</v>
      </c>
      <c r="F151" s="51">
        <f t="shared" si="3"/>
        <v>0</v>
      </c>
      <c r="G151" s="64" t="s">
        <v>22</v>
      </c>
      <c r="H151" s="64" t="s">
        <v>22</v>
      </c>
      <c r="I151" s="54" t="str">
        <f>HYPERLINK("https://gouv.nc/espace-presse/coronavirus-deux-tests-positifs","Source")</f>
        <v>Source</v>
      </c>
      <c r="J151" s="20"/>
      <c r="K151" s="20"/>
      <c r="L151" s="72">
        <v>2.0</v>
      </c>
      <c r="M151" s="72">
        <v>0.0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30.0" customHeight="1">
      <c r="A152" s="38" t="s">
        <v>276</v>
      </c>
      <c r="B152" s="69">
        <v>2.0</v>
      </c>
      <c r="C152" s="45">
        <f t="shared" si="1"/>
        <v>0</v>
      </c>
      <c r="D152" s="69">
        <v>0.0</v>
      </c>
      <c r="E152" s="48">
        <f t="shared" si="2"/>
        <v>0</v>
      </c>
      <c r="F152" s="51">
        <f t="shared" si="3"/>
        <v>0</v>
      </c>
      <c r="G152" s="64" t="s">
        <v>22</v>
      </c>
      <c r="H152" s="64" t="s">
        <v>22</v>
      </c>
      <c r="I152" s="54" t="str">
        <f>HYPERLINK("https://www.facebook.com/executivemansionliberia/photos/a.622167858131996/1204504093231700/?type=3&amp;__xts__%5B0%5D=68.ARCtlVuQ5CP9UA-z9lP5oiw3WCuQWZ0a8XBkOsG4q5XebUlDOk8KTii15DXdRDbLNtUDbopIxpJBG1Fm75PhJsOPuM6hM-GDAX1Vx82A8CrCveTYseTCrhoVLCqwXcuXL1YyAfjleC"&amp;"iByj2VZHj80Y4kiJ_gLbP9RNuKroaQLiYG3nCz2lxrnavK4dYEEOApAJH0xOQ9L9ydxLo-Aiga8W5g7LG5eKgooGW30Aybv2D_k5CtqySqqwF8L-B0vi6TFD-KoIdyz6dKyI2ifA7dRpBV3v6wCXYMVx-D2ic5dvLoX9oM8De_RGsydA5oxLj8dEj5_RtKK5axTw6T490f8GPoHg&amp;__tn__=-R","Source")</f>
        <v>Source</v>
      </c>
      <c r="J152" s="20"/>
      <c r="K152" s="20"/>
      <c r="L152" s="61">
        <v>2.0</v>
      </c>
      <c r="M152" s="61">
        <v>0.0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30.0" customHeight="1">
      <c r="A153" s="38" t="s">
        <v>277</v>
      </c>
      <c r="B153" s="69">
        <v>2.0</v>
      </c>
      <c r="C153" s="45">
        <f t="shared" si="1"/>
        <v>0</v>
      </c>
      <c r="D153" s="69">
        <v>0.0</v>
      </c>
      <c r="E153" s="48">
        <f t="shared" si="2"/>
        <v>0</v>
      </c>
      <c r="F153" s="51">
        <f t="shared" si="3"/>
        <v>0</v>
      </c>
      <c r="G153" s="64" t="s">
        <v>22</v>
      </c>
      <c r="H153" s="64" t="s">
        <v>22</v>
      </c>
      <c r="I153" s="54" t="str">
        <f>HYPERLINK("https://www.who.int/docs/default-source/coronaviruse/situation-reports/20200318-sitrep-58-covid-19.pdf?sfvrsn=20876712_2","Source")</f>
        <v>Source</v>
      </c>
      <c r="J153" s="20"/>
      <c r="K153" s="20"/>
      <c r="L153" s="72">
        <v>2.0</v>
      </c>
      <c r="M153" s="72">
        <v>0.0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30.0" customHeight="1">
      <c r="A154" s="38" t="s">
        <v>278</v>
      </c>
      <c r="B154" s="69">
        <v>2.0</v>
      </c>
      <c r="C154" s="45">
        <f t="shared" si="1"/>
        <v>0</v>
      </c>
      <c r="D154" s="69">
        <v>0.0</v>
      </c>
      <c r="E154" s="48">
        <f t="shared" si="2"/>
        <v>0</v>
      </c>
      <c r="F154" s="51">
        <f t="shared" si="3"/>
        <v>0</v>
      </c>
      <c r="G154" s="64" t="s">
        <v>22</v>
      </c>
      <c r="H154" s="64" t="s">
        <v>22</v>
      </c>
      <c r="I154" s="54" t="str">
        <f>HYPERLINK("https://sermitsiaq.ag/to-smittetnuuk-isoleres-steder-lukkes","Source")</f>
        <v>Source</v>
      </c>
      <c r="J154" s="36"/>
      <c r="K154" s="20"/>
      <c r="L154" s="61">
        <v>2.0</v>
      </c>
      <c r="M154" s="61">
        <v>0.0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30.0" customHeight="1">
      <c r="A155" s="38" t="s">
        <v>279</v>
      </c>
      <c r="B155" s="69">
        <v>2.0</v>
      </c>
      <c r="C155" s="45">
        <f t="shared" si="1"/>
        <v>0</v>
      </c>
      <c r="D155" s="69">
        <v>0.0</v>
      </c>
      <c r="E155" s="48">
        <f t="shared" si="2"/>
        <v>0</v>
      </c>
      <c r="F155" s="51">
        <f t="shared" si="3"/>
        <v>0</v>
      </c>
      <c r="G155" s="64" t="s">
        <v>22</v>
      </c>
      <c r="H155" s="64" t="s">
        <v>22</v>
      </c>
      <c r="I155" s="54" t="str">
        <f>HYPERLINK("http://apanews.net/en/news/guinea-reports-second-covid-19-case","Source")</f>
        <v>Source</v>
      </c>
      <c r="J155" s="20"/>
      <c r="K155" s="20"/>
      <c r="L155" s="72">
        <v>2.0</v>
      </c>
      <c r="M155" s="72">
        <v>0.0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30.0" customHeight="1">
      <c r="A156" s="38" t="s">
        <v>280</v>
      </c>
      <c r="B156" s="69">
        <v>2.0</v>
      </c>
      <c r="C156" s="45">
        <f t="shared" si="1"/>
        <v>0</v>
      </c>
      <c r="D156" s="69">
        <v>0.0</v>
      </c>
      <c r="E156" s="48">
        <f t="shared" si="2"/>
        <v>0</v>
      </c>
      <c r="F156" s="51">
        <f t="shared" si="3"/>
        <v>0</v>
      </c>
      <c r="G156" s="64" t="s">
        <v>22</v>
      </c>
      <c r="H156" s="64" t="s">
        <v>22</v>
      </c>
      <c r="I156" s="54" t="str">
        <f>HYPERLINK("http://apanews.net/en/news/mauritania-records-second-covid-19-case/","Source")</f>
        <v>Source</v>
      </c>
      <c r="J156" s="20"/>
      <c r="K156" s="20"/>
      <c r="L156" s="61">
        <v>2.0</v>
      </c>
      <c r="M156" s="61">
        <v>0.0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30.0" customHeight="1">
      <c r="A157" s="38" t="s">
        <v>281</v>
      </c>
      <c r="B157" s="69">
        <v>2.0</v>
      </c>
      <c r="C157" s="45">
        <f t="shared" si="1"/>
        <v>0</v>
      </c>
      <c r="D157" s="69">
        <v>0.0</v>
      </c>
      <c r="E157" s="48">
        <f t="shared" si="2"/>
        <v>0</v>
      </c>
      <c r="F157" s="51">
        <f t="shared" si="3"/>
        <v>0</v>
      </c>
      <c r="G157" s="64" t="s">
        <v>22</v>
      </c>
      <c r="H157" s="64">
        <v>0.0</v>
      </c>
      <c r="I157" s="54" t="str">
        <f>HYPERLINK("https://www.lusakatimes.com/2020/03/19/no-new-cases-of-covid-19-recorded/","Source")</f>
        <v>Source</v>
      </c>
      <c r="J157" s="20"/>
      <c r="K157" s="20"/>
      <c r="L157" s="72">
        <v>2.0</v>
      </c>
      <c r="M157" s="72">
        <v>0.0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30.0" customHeight="1">
      <c r="A158" s="38" t="s">
        <v>282</v>
      </c>
      <c r="B158" s="69">
        <v>2.0</v>
      </c>
      <c r="C158" s="45">
        <f t="shared" si="1"/>
        <v>0</v>
      </c>
      <c r="D158" s="69">
        <v>0.0</v>
      </c>
      <c r="E158" s="48">
        <f t="shared" si="2"/>
        <v>0</v>
      </c>
      <c r="F158" s="51">
        <f t="shared" si="3"/>
        <v>0</v>
      </c>
      <c r="G158" s="64" t="s">
        <v>22</v>
      </c>
      <c r="H158" s="64" t="s">
        <v>22</v>
      </c>
      <c r="I158" s="54" t="str">
        <f>HYPERLINK("http://www.china.org.cn/world/Off_the_Wire/2020-03/19/content_75831862.htm","Source")</f>
        <v>Source</v>
      </c>
      <c r="J158" s="20"/>
      <c r="K158" s="20"/>
      <c r="L158" s="61">
        <v>2.0</v>
      </c>
      <c r="M158" s="61">
        <v>0.0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27.75" customHeight="1">
      <c r="A159" s="38" t="s">
        <v>283</v>
      </c>
      <c r="B159" s="69">
        <v>2.0</v>
      </c>
      <c r="C159" s="90">
        <f t="shared" si="1"/>
        <v>1</v>
      </c>
      <c r="D159" s="69">
        <v>0.0</v>
      </c>
      <c r="E159" s="48">
        <f t="shared" si="2"/>
        <v>0</v>
      </c>
      <c r="F159" s="51">
        <f t="shared" si="3"/>
        <v>0</v>
      </c>
      <c r="G159" s="64" t="s">
        <v>22</v>
      </c>
      <c r="H159" s="64" t="s">
        <v>22</v>
      </c>
      <c r="I159" s="54" t="str">
        <f>HYPERLINK("https://www.facebook.com/PMOBhutan/photos/a.630832867029420/2782662315179787/?type=3&amp;post","Source")</f>
        <v>Source</v>
      </c>
      <c r="J159" s="20"/>
      <c r="K159" s="20"/>
      <c r="L159" s="61">
        <v>1.0</v>
      </c>
      <c r="M159" s="61">
        <v>0.0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30.0" customHeight="1">
      <c r="A160" s="38" t="s">
        <v>284</v>
      </c>
      <c r="B160" s="69">
        <v>1.0</v>
      </c>
      <c r="C160" s="45">
        <f t="shared" si="1"/>
        <v>0</v>
      </c>
      <c r="D160" s="69">
        <v>0.0</v>
      </c>
      <c r="E160" s="48">
        <f t="shared" si="2"/>
        <v>0</v>
      </c>
      <c r="F160" s="51">
        <f t="shared" si="3"/>
        <v>0</v>
      </c>
      <c r="G160" s="64" t="s">
        <v>22</v>
      </c>
      <c r="H160" s="64" t="s">
        <v>22</v>
      </c>
      <c r="I160" s="54" t="str">
        <f>HYPERLINK("https://www.reuters.com/article/us-health-coroanvirus-niger/niger-confirms-first-case-of-coronavirus-health-minister-says-idUSKBN2163S3","Source")</f>
        <v>Source</v>
      </c>
      <c r="J160" s="20"/>
      <c r="K160" s="20"/>
      <c r="L160" s="61">
        <v>1.0</v>
      </c>
      <c r="M160" s="61">
        <v>0.0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30.0" customHeight="1">
      <c r="A161" s="38" t="s">
        <v>285</v>
      </c>
      <c r="B161" s="69">
        <v>1.0</v>
      </c>
      <c r="C161" s="45">
        <f t="shared" si="1"/>
        <v>0</v>
      </c>
      <c r="D161" s="69">
        <v>0.0</v>
      </c>
      <c r="E161" s="48">
        <f t="shared" si="2"/>
        <v>0</v>
      </c>
      <c r="F161" s="51">
        <f t="shared" si="3"/>
        <v>0</v>
      </c>
      <c r="G161" s="64" t="s">
        <v>22</v>
      </c>
      <c r="H161" s="64">
        <v>0.0</v>
      </c>
      <c r="I161" s="54" t="str">
        <f>HYPERLINK("http://www.sintmaartengov.org/PressReleases/Pages/Prime-Minister-Silveria-Jacobs-National-Address-on-COVID19-MARCH-17-2020.aspx","Source")</f>
        <v>Source</v>
      </c>
      <c r="J161" s="20"/>
      <c r="K161" s="20"/>
      <c r="L161" s="61">
        <v>1.0</v>
      </c>
      <c r="M161" s="61">
        <v>0.0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30.0" customHeight="1">
      <c r="A162" s="38" t="s">
        <v>286</v>
      </c>
      <c r="B162" s="69">
        <v>1.0</v>
      </c>
      <c r="C162" s="45">
        <f t="shared" si="1"/>
        <v>0</v>
      </c>
      <c r="D162" s="69">
        <v>0.0</v>
      </c>
      <c r="E162" s="48">
        <f t="shared" si="2"/>
        <v>0</v>
      </c>
      <c r="F162" s="51">
        <f t="shared" si="3"/>
        <v>0</v>
      </c>
      <c r="G162" s="64" t="s">
        <v>22</v>
      </c>
      <c r="H162" s="64">
        <v>0.0</v>
      </c>
      <c r="I162" s="54" t="str">
        <f>HYPERLINK("https://www.fiji.gov.fj/Media-Centre/Speeches/PM-BAINIMARAMA%E2%80%99S-STATEMENT-ON-THE-FIRST-COVID-19-C","Source")</f>
        <v>Source</v>
      </c>
      <c r="J162" s="20"/>
      <c r="K162" s="20"/>
      <c r="L162" s="61">
        <v>1.0</v>
      </c>
      <c r="M162" s="61">
        <v>0.0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30.0" customHeight="1">
      <c r="A163" s="38" t="s">
        <v>287</v>
      </c>
      <c r="B163" s="69">
        <v>1.0</v>
      </c>
      <c r="C163" s="45">
        <f t="shared" si="1"/>
        <v>0</v>
      </c>
      <c r="D163" s="69">
        <v>0.0</v>
      </c>
      <c r="E163" s="48">
        <f t="shared" si="2"/>
        <v>0</v>
      </c>
      <c r="F163" s="51">
        <f t="shared" si="3"/>
        <v>0</v>
      </c>
      <c r="G163" s="64" t="s">
        <v>22</v>
      </c>
      <c r="H163" s="64" t="s">
        <v>22</v>
      </c>
      <c r="I163" s="54" t="str">
        <f>HYPERLINK("https://news.trust.org/item/20200319140813-of38h","Source")</f>
        <v>Source</v>
      </c>
      <c r="J163" s="20"/>
      <c r="K163" s="20"/>
      <c r="L163" s="61">
        <v>1.0</v>
      </c>
      <c r="M163" s="61">
        <v>0.0</v>
      </c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30.0" customHeight="1">
      <c r="A164" s="38" t="s">
        <v>288</v>
      </c>
      <c r="B164" s="69">
        <v>1.0</v>
      </c>
      <c r="C164" s="45">
        <f t="shared" si="1"/>
        <v>0</v>
      </c>
      <c r="D164" s="69">
        <v>0.0</v>
      </c>
      <c r="E164" s="48">
        <f t="shared" si="2"/>
        <v>0</v>
      </c>
      <c r="F164" s="51">
        <f t="shared" si="3"/>
        <v>0</v>
      </c>
      <c r="G164" s="64" t="s">
        <v>22</v>
      </c>
      <c r="H164" s="64" t="s">
        <v>22</v>
      </c>
      <c r="I164" s="54" t="str">
        <f>HYPERLINK("https://www.bbc.com/news/world-europe-isle-of-man-51964205","Source")</f>
        <v>Source</v>
      </c>
      <c r="J164" s="20"/>
      <c r="K164" s="20"/>
      <c r="L164" s="72">
        <v>1.0</v>
      </c>
      <c r="M164" s="72">
        <v>0.0</v>
      </c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30.0" customHeight="1">
      <c r="A165" s="38" t="s">
        <v>289</v>
      </c>
      <c r="B165" s="69">
        <v>1.0</v>
      </c>
      <c r="C165" s="45">
        <f t="shared" si="1"/>
        <v>0</v>
      </c>
      <c r="D165" s="69">
        <v>0.0</v>
      </c>
      <c r="E165" s="48">
        <f t="shared" si="2"/>
        <v>0</v>
      </c>
      <c r="F165" s="51">
        <f t="shared" si="3"/>
        <v>0</v>
      </c>
      <c r="G165" s="64" t="s">
        <v>22</v>
      </c>
      <c r="H165" s="64" t="s">
        <v>22</v>
      </c>
      <c r="I165" s="54" t="str">
        <f>HYPERLINK("https://twitter.com/prensagrafica/status/1240465686926888973","Source")</f>
        <v>Source</v>
      </c>
      <c r="J165" s="20"/>
      <c r="K165" s="20"/>
      <c r="L165" s="61">
        <v>1.0</v>
      </c>
      <c r="M165" s="61">
        <v>0.0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30.0" customHeight="1">
      <c r="A166" s="38" t="s">
        <v>290</v>
      </c>
      <c r="B166" s="69">
        <v>1.0</v>
      </c>
      <c r="C166" s="45">
        <f t="shared" si="1"/>
        <v>0</v>
      </c>
      <c r="D166" s="69">
        <v>0.0</v>
      </c>
      <c r="E166" s="48">
        <f t="shared" si="2"/>
        <v>0</v>
      </c>
      <c r="F166" s="51">
        <f t="shared" si="3"/>
        <v>0</v>
      </c>
      <c r="G166" s="64" t="s">
        <v>22</v>
      </c>
      <c r="H166" s="64" t="s">
        <v>22</v>
      </c>
      <c r="I166" s="54" t="str">
        <f>HYPERLINK("https://www.who.int/docs/default-source/coronaviruse/situation-reports/20200318-sitrep-58-covid-19.pdf?sfvrsn=20876712_2","Source")</f>
        <v>Source</v>
      </c>
      <c r="J166" s="20"/>
      <c r="K166" s="20"/>
      <c r="L166" s="72">
        <v>1.0</v>
      </c>
      <c r="M166" s="72">
        <v>0.0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30.0" customHeight="1">
      <c r="A167" s="38" t="s">
        <v>291</v>
      </c>
      <c r="B167" s="69">
        <v>1.0</v>
      </c>
      <c r="C167" s="45">
        <f t="shared" si="1"/>
        <v>0</v>
      </c>
      <c r="D167" s="69">
        <v>0.0</v>
      </c>
      <c r="E167" s="48">
        <f t="shared" si="2"/>
        <v>0</v>
      </c>
      <c r="F167" s="51">
        <f t="shared" si="3"/>
        <v>0</v>
      </c>
      <c r="G167" s="64" t="s">
        <v>22</v>
      </c>
      <c r="H167" s="64" t="s">
        <v>22</v>
      </c>
      <c r="I167" s="54" t="str">
        <f>HYPERLINK("https://gov.gg/CHttpHandler.ashx?id=123828&amp;p=0","Source")</f>
        <v>Source</v>
      </c>
      <c r="J167" s="20"/>
      <c r="K167" s="20"/>
      <c r="L167" s="72">
        <v>1.0</v>
      </c>
      <c r="M167" s="72">
        <v>0.0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30.0" customHeight="1">
      <c r="A168" s="38" t="s">
        <v>292</v>
      </c>
      <c r="B168" s="69">
        <v>1.0</v>
      </c>
      <c r="C168" s="45">
        <f t="shared" si="1"/>
        <v>0</v>
      </c>
      <c r="D168" s="69">
        <v>0.0</v>
      </c>
      <c r="E168" s="48">
        <f t="shared" si="2"/>
        <v>0</v>
      </c>
      <c r="F168" s="51">
        <f t="shared" si="3"/>
        <v>0</v>
      </c>
      <c r="G168" s="64" t="s">
        <v>22</v>
      </c>
      <c r="H168" s="64" t="s">
        <v>22</v>
      </c>
      <c r="I168" s="54" t="str">
        <f>HYPERLINK("https://www.laprensa.com.ni/2020/03/18/nacionales/2648113-nicaragua-confirma-el-primer-caso-de-coronavirus","Source")</f>
        <v>Source</v>
      </c>
      <c r="J168" s="20"/>
      <c r="K168" s="20"/>
      <c r="L168" s="72">
        <v>1.0</v>
      </c>
      <c r="M168" s="72">
        <v>0.0</v>
      </c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30.0" customHeight="1">
      <c r="A169" s="38" t="s">
        <v>293</v>
      </c>
      <c r="B169" s="69">
        <v>1.0</v>
      </c>
      <c r="C169" s="45">
        <f t="shared" si="1"/>
        <v>0</v>
      </c>
      <c r="D169" s="69">
        <v>0.0</v>
      </c>
      <c r="E169" s="48">
        <f t="shared" si="2"/>
        <v>0</v>
      </c>
      <c r="F169" s="51">
        <f t="shared" si="3"/>
        <v>0</v>
      </c>
      <c r="G169" s="64" t="s">
        <v>22</v>
      </c>
      <c r="H169" s="64" t="s">
        <v>22</v>
      </c>
      <c r="I169" s="54" t="str">
        <f>HYPERLINK("https://www.facebook.com/minister.sante.dj/photos/pcb.2944775612228020/2944775518894696/?type=3&amp;theater","Source")</f>
        <v>Source</v>
      </c>
      <c r="J169" s="20"/>
      <c r="K169" s="20"/>
      <c r="L169" s="61">
        <v>1.0</v>
      </c>
      <c r="M169" s="61">
        <v>0.0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30.0" customHeight="1">
      <c r="A170" s="38" t="s">
        <v>294</v>
      </c>
      <c r="B170" s="69">
        <v>1.0</v>
      </c>
      <c r="C170" s="45">
        <f t="shared" si="1"/>
        <v>0</v>
      </c>
      <c r="D170" s="69">
        <v>0.0</v>
      </c>
      <c r="E170" s="48">
        <f t="shared" si="2"/>
        <v>0</v>
      </c>
      <c r="F170" s="51">
        <f t="shared" si="3"/>
        <v>0</v>
      </c>
      <c r="G170" s="64">
        <v>0.0</v>
      </c>
      <c r="H170" s="64">
        <v>0.0</v>
      </c>
      <c r="I170" s="54" t="str">
        <f>HYPERLINK("https://ab.gov.ag/media_page.php?page=227","Source")</f>
        <v>Source</v>
      </c>
      <c r="J170" s="20"/>
      <c r="K170" s="20"/>
      <c r="L170" s="72">
        <v>1.0</v>
      </c>
      <c r="M170" s="72">
        <v>0.0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30.0" customHeight="1">
      <c r="A171" s="38" t="s">
        <v>295</v>
      </c>
      <c r="B171" s="69">
        <v>1.0</v>
      </c>
      <c r="C171" s="45">
        <f t="shared" si="1"/>
        <v>0</v>
      </c>
      <c r="D171" s="69">
        <v>1.0</v>
      </c>
      <c r="E171" s="48">
        <f t="shared" si="2"/>
        <v>0</v>
      </c>
      <c r="F171" s="51">
        <f t="shared" si="3"/>
        <v>1</v>
      </c>
      <c r="G171" s="64" t="s">
        <v>22</v>
      </c>
      <c r="H171" s="64" t="s">
        <v>22</v>
      </c>
      <c r="I171" s="54" t="str">
        <f>HYPERLINK("https://www.dabangasudan.org/en/all-news/article/two-cases-of-coronavirus-reported-in-sudan-s-kassala","Source")</f>
        <v>Source</v>
      </c>
      <c r="J171" s="20"/>
      <c r="K171" s="20"/>
      <c r="L171" s="61">
        <v>1.0</v>
      </c>
      <c r="M171" s="61">
        <v>1.0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30.0" customHeight="1">
      <c r="A172" s="38" t="s">
        <v>296</v>
      </c>
      <c r="B172" s="69">
        <v>1.0</v>
      </c>
      <c r="C172" s="45">
        <f t="shared" si="1"/>
        <v>0</v>
      </c>
      <c r="D172" s="69">
        <v>0.0</v>
      </c>
      <c r="E172" s="48">
        <f t="shared" si="2"/>
        <v>0</v>
      </c>
      <c r="F172" s="51">
        <f t="shared" si="3"/>
        <v>0</v>
      </c>
      <c r="G172" s="64" t="s">
        <v>22</v>
      </c>
      <c r="H172" s="64" t="s">
        <v>22</v>
      </c>
      <c r="I172" s="54" t="str">
        <f>HYPERLINK("http://www.gov.ms/statement-montserrat-confirms-a-covid-19-case/","Source")</f>
        <v>Source</v>
      </c>
      <c r="J172" s="20"/>
      <c r="K172" s="20"/>
      <c r="L172" s="72">
        <v>1.0</v>
      </c>
      <c r="M172" s="72">
        <v>0.0</v>
      </c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30.0" customHeight="1">
      <c r="A173" s="38" t="s">
        <v>297</v>
      </c>
      <c r="B173" s="69">
        <v>1.0</v>
      </c>
      <c r="C173" s="45">
        <f t="shared" si="1"/>
        <v>0</v>
      </c>
      <c r="D173" s="69">
        <v>0.0</v>
      </c>
      <c r="E173" s="48">
        <f t="shared" si="2"/>
        <v>0</v>
      </c>
      <c r="F173" s="51">
        <f t="shared" si="3"/>
        <v>0</v>
      </c>
      <c r="G173" s="64" t="s">
        <v>22</v>
      </c>
      <c r="H173" s="64" t="s">
        <v>22</v>
      </c>
      <c r="I173" s="54" t="str">
        <f>HYPERLINK("https://twitter.com/MohGambia/status/1240024648785571841","Source")</f>
        <v>Source</v>
      </c>
      <c r="J173" s="20"/>
      <c r="K173" s="20"/>
      <c r="L173" s="61">
        <v>1.0</v>
      </c>
      <c r="M173" s="61">
        <v>0.0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30.0" customHeight="1">
      <c r="A174" s="38" t="s">
        <v>298</v>
      </c>
      <c r="B174" s="69">
        <v>1.0</v>
      </c>
      <c r="C174" s="45">
        <f t="shared" si="1"/>
        <v>0</v>
      </c>
      <c r="D174" s="69">
        <v>0.0</v>
      </c>
      <c r="E174" s="48">
        <f t="shared" si="2"/>
        <v>0</v>
      </c>
      <c r="F174" s="51">
        <f t="shared" si="3"/>
        <v>0</v>
      </c>
      <c r="G174" s="64" t="s">
        <v>22</v>
      </c>
      <c r="H174" s="64" t="s">
        <v>22</v>
      </c>
      <c r="I174" s="54" t="str">
        <f>HYPERLINK("https://twitter.com/WHOAFRO/status/1239482557101674496","Source")</f>
        <v>Source</v>
      </c>
      <c r="J174" s="20"/>
      <c r="K174" s="20"/>
      <c r="L174" s="72">
        <v>1.0</v>
      </c>
      <c r="M174" s="72">
        <v>0.0</v>
      </c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30.0" customHeight="1">
      <c r="A175" s="38" t="s">
        <v>299</v>
      </c>
      <c r="B175" s="69">
        <v>1.0</v>
      </c>
      <c r="C175" s="45">
        <f t="shared" si="1"/>
        <v>0</v>
      </c>
      <c r="D175" s="69">
        <v>0.0</v>
      </c>
      <c r="E175" s="48">
        <f t="shared" si="2"/>
        <v>0</v>
      </c>
      <c r="F175" s="51">
        <f t="shared" si="3"/>
        <v>0</v>
      </c>
      <c r="G175" s="64" t="s">
        <v>22</v>
      </c>
      <c r="H175" s="64" t="s">
        <v>22</v>
      </c>
      <c r="I175" s="54" t="str">
        <f>HYPERLINK("https://news.trust.org/item/20200316134048-5il6b","Source")</f>
        <v>Source</v>
      </c>
      <c r="J175" s="20"/>
      <c r="K175" s="20"/>
      <c r="L175" s="61">
        <v>1.0</v>
      </c>
      <c r="M175" s="61">
        <v>0.0</v>
      </c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30.0" customHeight="1">
      <c r="A176" s="38" t="s">
        <v>300</v>
      </c>
      <c r="B176" s="69">
        <v>1.0</v>
      </c>
      <c r="C176" s="45">
        <f t="shared" si="1"/>
        <v>0</v>
      </c>
      <c r="D176" s="69">
        <v>0.0</v>
      </c>
      <c r="E176" s="48">
        <f t="shared" si="2"/>
        <v>0</v>
      </c>
      <c r="F176" s="51">
        <f t="shared" si="3"/>
        <v>0</v>
      </c>
      <c r="G176" s="64" t="s">
        <v>22</v>
      </c>
      <c r="H176" s="64" t="s">
        <v>22</v>
      </c>
      <c r="I176" s="54" t="str">
        <f>HYPERLINK("https://news.trust.org/item/20200314193058-yce0v","Source")</f>
        <v>Source</v>
      </c>
      <c r="J176" s="20"/>
      <c r="K176" s="20"/>
      <c r="L176" s="72">
        <v>1.0</v>
      </c>
      <c r="M176" s="72">
        <v>0.0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30.0" customHeight="1">
      <c r="A177" s="38" t="s">
        <v>301</v>
      </c>
      <c r="B177" s="69">
        <v>1.0</v>
      </c>
      <c r="C177" s="45">
        <f t="shared" si="1"/>
        <v>0</v>
      </c>
      <c r="D177" s="69">
        <v>0.0</v>
      </c>
      <c r="E177" s="48">
        <f t="shared" si="2"/>
        <v>0</v>
      </c>
      <c r="F177" s="51">
        <f t="shared" si="3"/>
        <v>0</v>
      </c>
      <c r="G177" s="64" t="s">
        <v>22</v>
      </c>
      <c r="H177" s="64">
        <v>1.0</v>
      </c>
      <c r="I177" s="54" t="str">
        <f>HYPERLINK("https://www.bbc.com/nepali/news-51941471","Source")</f>
        <v>Source</v>
      </c>
      <c r="J177" s="20"/>
      <c r="K177" s="20"/>
      <c r="L177" s="72">
        <v>1.0</v>
      </c>
      <c r="M177" s="72">
        <v>0.0</v>
      </c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27.75" customHeight="1">
      <c r="A178" s="38" t="s">
        <v>302</v>
      </c>
      <c r="B178" s="91">
        <v>1.0</v>
      </c>
      <c r="C178" s="90">
        <f t="shared" si="1"/>
        <v>0</v>
      </c>
      <c r="D178" s="92">
        <v>0.0</v>
      </c>
      <c r="E178" s="93">
        <f t="shared" si="2"/>
        <v>0</v>
      </c>
      <c r="F178" s="51">
        <f t="shared" si="3"/>
        <v>0</v>
      </c>
      <c r="G178" s="64" t="s">
        <v>22</v>
      </c>
      <c r="H178" s="64" t="s">
        <v>22</v>
      </c>
      <c r="I178" s="54" t="str">
        <f>HYPERLINK("https://news.trust.org/item/20200306084828-6r4o6","Source")</f>
        <v>Source</v>
      </c>
      <c r="J178" s="20"/>
      <c r="K178" s="20"/>
      <c r="L178" s="72">
        <v>1.0</v>
      </c>
      <c r="M178" s="72">
        <v>0.0</v>
      </c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94" t="s">
        <v>303</v>
      </c>
      <c r="B179" s="95">
        <v>4430.0</v>
      </c>
      <c r="C179" s="96">
        <f t="shared" si="1"/>
        <v>1300</v>
      </c>
      <c r="D179" s="95">
        <v>153.0</v>
      </c>
      <c r="E179" s="97">
        <f t="shared" si="2"/>
        <v>0</v>
      </c>
      <c r="F179" s="98"/>
      <c r="G179" s="98"/>
      <c r="H179" s="98"/>
      <c r="I179" s="99"/>
      <c r="J179" s="77"/>
      <c r="K179" s="77"/>
      <c r="L179" s="100">
        <v>3130.0</v>
      </c>
      <c r="M179" s="100">
        <v>153.0</v>
      </c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30.0" customHeight="1">
      <c r="A180" s="101" t="s">
        <v>39</v>
      </c>
      <c r="B180" s="102">
        <f>sum(B7:B179)</f>
        <v>277500</v>
      </c>
      <c r="C180" s="103">
        <f>SUM(C7:C179)</f>
        <v>30655</v>
      </c>
      <c r="D180" s="104">
        <f>sum(D7:D179)</f>
        <v>11485</v>
      </c>
      <c r="E180" s="105">
        <f>SUM(E7:E179)</f>
        <v>1315</v>
      </c>
      <c r="F180" s="106">
        <f>DIVIDE(D180, B180)</f>
        <v>0.04138738739</v>
      </c>
      <c r="G180" s="107">
        <f t="shared" ref="G180:H180" si="4">sum(G7:G178)</f>
        <v>8002</v>
      </c>
      <c r="H180" s="108">
        <f t="shared" si="4"/>
        <v>89711</v>
      </c>
      <c r="I180" s="109"/>
      <c r="J180" s="20"/>
      <c r="K180" s="20"/>
      <c r="L180" s="110">
        <v>246735.0</v>
      </c>
      <c r="M180" s="111">
        <v>10179.0</v>
      </c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30.0" customHeight="1">
      <c r="A181" s="112"/>
      <c r="B181" s="113" t="s">
        <v>8</v>
      </c>
      <c r="C181" s="114" t="s">
        <v>17</v>
      </c>
      <c r="D181" s="115" t="s">
        <v>9</v>
      </c>
      <c r="E181" s="116" t="s">
        <v>18</v>
      </c>
      <c r="F181" s="116" t="s">
        <v>19</v>
      </c>
      <c r="G181" s="117" t="s">
        <v>20</v>
      </c>
      <c r="H181" s="118" t="s">
        <v>12</v>
      </c>
      <c r="I181" s="113"/>
      <c r="J181" s="75"/>
      <c r="K181" s="75"/>
      <c r="L181" s="119"/>
      <c r="M181" s="119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</sheetData>
  <mergeCells count="3">
    <mergeCell ref="C3:D3"/>
    <mergeCell ref="E3:G3"/>
    <mergeCell ref="C4:D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1" t="s">
        <v>0</v>
      </c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SUM(B66, B67)</f>
        <v>19671</v>
      </c>
      <c r="B3" s="10">
        <f t="shared" si="1"/>
        <v>252</v>
      </c>
      <c r="D3" s="12">
        <f>SUM(F66, F67)</f>
        <v>26</v>
      </c>
      <c r="F3" s="6"/>
      <c r="G3" s="7"/>
      <c r="H3" s="13"/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4"/>
      <c r="B4" s="7"/>
      <c r="C4" s="7"/>
      <c r="D4" s="6"/>
      <c r="E4" s="6"/>
      <c r="F4" s="6"/>
      <c r="G4" s="7"/>
      <c r="H4" s="13"/>
      <c r="I4" s="1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6" t="s">
        <v>7</v>
      </c>
      <c r="B5" s="18" t="s">
        <v>8</v>
      </c>
      <c r="C5" s="18" t="s">
        <v>9</v>
      </c>
      <c r="D5" s="19" t="s">
        <v>10</v>
      </c>
      <c r="E5" s="19" t="s">
        <v>11</v>
      </c>
      <c r="F5" s="19" t="s">
        <v>12</v>
      </c>
      <c r="G5" s="18" t="s">
        <v>13</v>
      </c>
      <c r="H5" s="20"/>
      <c r="I5" s="20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4" t="s">
        <v>16</v>
      </c>
      <c r="B6" s="26">
        <v>8516.0</v>
      </c>
      <c r="C6" s="28">
        <v>44.0</v>
      </c>
      <c r="D6" s="31">
        <v>60.0</v>
      </c>
      <c r="E6" s="31"/>
      <c r="F6" s="31"/>
      <c r="G6" s="34" t="str">
        <f>HYPERLINK("https://twitter.com/1010WINS/status/1241113847806730242","Source")</f>
        <v>Source</v>
      </c>
      <c r="H6" s="36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39" t="s">
        <v>23</v>
      </c>
      <c r="B7" s="41">
        <v>1524.0</v>
      </c>
      <c r="C7" s="44">
        <v>83.0</v>
      </c>
      <c r="D7" s="47"/>
      <c r="E7" s="47"/>
      <c r="F7" s="50">
        <v>19.0</v>
      </c>
      <c r="G7" s="52" t="str">
        <f>HYPERLINK("https://www.doh.wa.gov/Emergencies/Coronavirus","Source")</f>
        <v>Source</v>
      </c>
      <c r="H7" s="36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30" t="s">
        <v>27</v>
      </c>
      <c r="B8" s="32">
        <v>1194.0</v>
      </c>
      <c r="C8" s="49">
        <v>23.0</v>
      </c>
      <c r="D8" s="40"/>
      <c r="E8" s="40">
        <v>1.0</v>
      </c>
      <c r="F8" s="40">
        <v>1.0</v>
      </c>
      <c r="G8" s="43" t="str">
        <f>HYPERLINK("https://www.latimes.com/projects/california-coronavirus-cases-tracking-outbreak/","Source")</f>
        <v>Source</v>
      </c>
      <c r="H8" s="36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27.75" customHeight="1">
      <c r="A9" s="39" t="s">
        <v>29</v>
      </c>
      <c r="B9" s="41">
        <v>890.0</v>
      </c>
      <c r="C9" s="44">
        <v>11.0</v>
      </c>
      <c r="D9" s="50"/>
      <c r="E9" s="47"/>
      <c r="F9" s="47"/>
      <c r="G9" s="52" t="str">
        <f>HYPERLINK("https://twitter.com/Bogs4NY/status/1241065235940888581","Source")</f>
        <v>Source</v>
      </c>
      <c r="H9" s="36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27.75" customHeight="1">
      <c r="A10" s="39" t="s">
        <v>32</v>
      </c>
      <c r="B10" s="41">
        <v>585.0</v>
      </c>
      <c r="C10" s="44">
        <v>5.0</v>
      </c>
      <c r="D10" s="50"/>
      <c r="E10" s="50"/>
      <c r="F10" s="50">
        <v>2.0</v>
      </c>
      <c r="G10" s="52" t="str">
        <f>HYPERLINK("https://www2.illinois.gov/IISNews/21287-Public_Health_Officials_Announce_163_New_Cases_of_Coronavirus_Disease_.pdf","Source")</f>
        <v>Source</v>
      </c>
      <c r="H10" s="36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30" t="s">
        <v>34</v>
      </c>
      <c r="B11" s="49">
        <v>563.0</v>
      </c>
      <c r="C11" s="49">
        <v>11.0</v>
      </c>
      <c r="D11" s="40"/>
      <c r="E11" s="57"/>
      <c r="F11" s="57"/>
      <c r="G11" s="43" t="str">
        <f>HYPERLINK("https://floridahealthcovid19.gov/","Source")</f>
        <v>Source</v>
      </c>
      <c r="H11" s="36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27.75" customHeight="1">
      <c r="A12" s="39" t="s">
        <v>38</v>
      </c>
      <c r="B12" s="41">
        <v>549.0</v>
      </c>
      <c r="C12" s="44">
        <v>3.0</v>
      </c>
      <c r="D12" s="50"/>
      <c r="E12" s="47"/>
      <c r="F12" s="47"/>
      <c r="G12" s="52" t="str">
        <f>HYPERLINK("https://www.michigan.gov/coronavirus/0,9753,7-406-98163-520743--,00.html","Source")</f>
        <v>Source</v>
      </c>
      <c r="H12" s="36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27.75" customHeight="1">
      <c r="A13" s="39" t="s">
        <v>40</v>
      </c>
      <c r="B13" s="41">
        <v>537.0</v>
      </c>
      <c r="C13" s="44">
        <v>14.0</v>
      </c>
      <c r="D13" s="50"/>
      <c r="E13" s="47"/>
      <c r="F13" s="47"/>
      <c r="G13" s="52" t="str">
        <f>HYPERLINK("http://ldh.la.gov/Coronavirus/","Source")</f>
        <v>Source</v>
      </c>
      <c r="H13" s="36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39" t="s">
        <v>42</v>
      </c>
      <c r="B14" s="41">
        <v>485.0</v>
      </c>
      <c r="C14" s="44">
        <v>14.0</v>
      </c>
      <c r="D14" s="50"/>
      <c r="E14" s="50"/>
      <c r="F14" s="47"/>
      <c r="G14" s="52" t="str">
        <f>HYPERLINK("https://dph.georgia.gov/covid-19-daily-status-report","Source")</f>
        <v>Source</v>
      </c>
      <c r="H14" s="36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27.75" customHeight="1">
      <c r="A15" s="39" t="s">
        <v>43</v>
      </c>
      <c r="B15" s="41">
        <v>413.0</v>
      </c>
      <c r="C15" s="44">
        <v>1.0</v>
      </c>
      <c r="D15" s="50"/>
      <c r="E15" s="47"/>
      <c r="F15" s="47"/>
      <c r="G15" s="52" t="str">
        <f>HYPERLINK("https://www.bostonglobe.com/2020/03/20/nation/1st-coronavirus-death-is-reported-massachusetts/","Source")</f>
        <v>Source</v>
      </c>
      <c r="H15" s="36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30" t="s">
        <v>45</v>
      </c>
      <c r="B16" s="49">
        <v>356.0</v>
      </c>
      <c r="C16" s="49">
        <v>5.0</v>
      </c>
      <c r="D16" s="40"/>
      <c r="E16" s="40">
        <v>1.0</v>
      </c>
      <c r="F16" s="57"/>
      <c r="G16" s="43" t="str">
        <f>HYPERLINK("https://www.houstonchronicle.com/coronavirus/article/texas-coronavirus-map-cases-houston-covid-19-15137466.php","Source")</f>
        <v>Source</v>
      </c>
      <c r="H16" s="36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27.75" customHeight="1">
      <c r="A17" s="39" t="s">
        <v>46</v>
      </c>
      <c r="B17" s="41">
        <v>277.0</v>
      </c>
      <c r="C17" s="44">
        <v>3.0</v>
      </c>
      <c r="D17" s="50"/>
      <c r="E17" s="47"/>
      <c r="F17" s="47"/>
      <c r="G17" s="52" t="str">
        <f>HYPERLINK("https://covid19.colorado.gov/data","Source")</f>
        <v>Source</v>
      </c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27.75" customHeight="1">
      <c r="A18" s="39" t="s">
        <v>47</v>
      </c>
      <c r="B18" s="41">
        <v>268.0</v>
      </c>
      <c r="C18" s="44">
        <v>1.0</v>
      </c>
      <c r="D18" s="50"/>
      <c r="E18" s="50">
        <v>1.0</v>
      </c>
      <c r="F18" s="47"/>
      <c r="G18" s="52" t="str">
        <f>HYPERLINK("https://www.health.pa.gov/topics/disease/coronavirus/Pages/Cases.aspx","Source")</f>
        <v>Source</v>
      </c>
      <c r="H18" s="36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27.75" customHeight="1">
      <c r="A19" s="39" t="s">
        <v>49</v>
      </c>
      <c r="B19" s="41">
        <v>228.0</v>
      </c>
      <c r="C19" s="44">
        <v>0.0</v>
      </c>
      <c r="D19" s="50"/>
      <c r="E19" s="47"/>
      <c r="F19" s="47"/>
      <c r="G19" s="52" t="str">
        <f>HYPERLINK("https://twitter.com/TNDeptofHealth/status/1241077499846680578","Source")</f>
        <v>Source</v>
      </c>
      <c r="H19" s="36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27.75" customHeight="1">
      <c r="A20" s="39" t="s">
        <v>50</v>
      </c>
      <c r="B20" s="41">
        <v>206.0</v>
      </c>
      <c r="C20" s="44">
        <v>3.0</v>
      </c>
      <c r="D20" s="50"/>
      <c r="E20" s="47"/>
      <c r="F20" s="50">
        <v>1.0</v>
      </c>
      <c r="G20" s="52" t="str">
        <f>HYPERLINK("https://www.dhs.wisconsin.gov/outbreaks/index.htm","Source")</f>
        <v>Source</v>
      </c>
      <c r="H20" s="36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27.75" customHeight="1">
      <c r="A21" s="39" t="s">
        <v>51</v>
      </c>
      <c r="B21" s="41">
        <v>194.0</v>
      </c>
      <c r="C21" s="44">
        <v>4.0</v>
      </c>
      <c r="D21" s="50"/>
      <c r="E21" s="47"/>
      <c r="F21" s="47"/>
      <c r="G21" s="52" t="str">
        <f>HYPERLINK("https://portal.ct.gov/Coronavirus","Source")</f>
        <v>Source</v>
      </c>
      <c r="H21" s="36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27.75" customHeight="1">
      <c r="A22" s="39" t="s">
        <v>53</v>
      </c>
      <c r="B22" s="41">
        <v>169.0</v>
      </c>
      <c r="C22" s="44">
        <v>1.0</v>
      </c>
      <c r="D22" s="50"/>
      <c r="E22" s="47"/>
      <c r="F22" s="47"/>
      <c r="G22" s="52" t="str">
        <f>HYPERLINK("https://odh.ohio.gov/wps/portal/gov/odh/know-our-programs/Novel-Coronavirus/2019-nCoV","Source")</f>
        <v>Source</v>
      </c>
      <c r="H22" s="36"/>
      <c r="I22" s="20"/>
      <c r="J22" s="2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27.75" customHeight="1">
      <c r="A23" s="39" t="s">
        <v>55</v>
      </c>
      <c r="B23" s="41">
        <v>154.0</v>
      </c>
      <c r="C23" s="44">
        <v>2.0</v>
      </c>
      <c r="D23" s="50"/>
      <c r="E23" s="47"/>
      <c r="F23" s="47"/>
      <c r="G23" s="52" t="str">
        <f>HYPERLINK("https://thenevadaindependent.com/article/live-blog-no-more-coronavirus-cases-in-washoe-reported-as-health-officials-identify-test-close-contacts","Source")</f>
        <v>Source</v>
      </c>
      <c r="H23" s="36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30.0" customHeight="1">
      <c r="A24" s="30" t="s">
        <v>56</v>
      </c>
      <c r="B24" s="32">
        <v>137.0</v>
      </c>
      <c r="C24" s="32">
        <v>0.0</v>
      </c>
      <c r="D24" s="37"/>
      <c r="E24" s="57"/>
      <c r="F24" s="57"/>
      <c r="G24" s="43" t="str">
        <f>HYPERLINK("https://www.ncdhhs.gov/covid-19-case-count-nc","Source")</f>
        <v>Source</v>
      </c>
      <c r="H24" s="36"/>
      <c r="I24" s="20"/>
      <c r="J24" s="2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30.0" customHeight="1">
      <c r="A25" s="30" t="s">
        <v>58</v>
      </c>
      <c r="B25" s="32">
        <v>125.0</v>
      </c>
      <c r="C25" s="32">
        <v>3.0</v>
      </c>
      <c r="D25" s="37"/>
      <c r="E25" s="57"/>
      <c r="F25" s="57"/>
      <c r="G25" s="43" t="str">
        <f>HYPERLINK("https://www.scdhec.gov/news-releases/state-south-carolina-reports-two-covid-19-related-deaths","Source")</f>
        <v>Source</v>
      </c>
      <c r="H25" s="36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27.75" customHeight="1">
      <c r="A26" s="39" t="s">
        <v>59</v>
      </c>
      <c r="B26" s="41">
        <v>114.0</v>
      </c>
      <c r="C26" s="44">
        <v>3.0</v>
      </c>
      <c r="D26" s="50"/>
      <c r="E26" s="47"/>
      <c r="F26" s="47"/>
      <c r="G26" s="52" t="str">
        <f>HYPERLINK("https://govstatus.egov.com/OR-OHA-COVID-19","Source")</f>
        <v>Source</v>
      </c>
      <c r="H26" s="36"/>
      <c r="I26" s="20"/>
      <c r="J26" s="2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27.75" customHeight="1">
      <c r="A27" s="39" t="s">
        <v>61</v>
      </c>
      <c r="B27" s="41">
        <v>149.0</v>
      </c>
      <c r="C27" s="44">
        <v>1.0</v>
      </c>
      <c r="D27" s="50"/>
      <c r="E27" s="50"/>
      <c r="F27" s="50">
        <v>0.0</v>
      </c>
      <c r="G27" s="52" t="str">
        <f>HYPERLINK("https://coronavirus.maryland.gov/","Source")</f>
        <v>Source</v>
      </c>
      <c r="H27" s="36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30.0" customHeight="1">
      <c r="A28" s="30" t="s">
        <v>63</v>
      </c>
      <c r="B28" s="32">
        <v>115.0</v>
      </c>
      <c r="C28" s="32">
        <v>0.0</v>
      </c>
      <c r="D28" s="37"/>
      <c r="E28" s="40">
        <v>1.0</v>
      </c>
      <c r="F28" s="40"/>
      <c r="G28" s="43" t="str">
        <f>HYPERLINK("https://www.health.state.mn.us/diseases/coronavirus/situation.html","Source")</f>
        <v>Source</v>
      </c>
      <c r="H28" s="36"/>
      <c r="I28" s="20"/>
      <c r="J28" s="2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30.0" customHeight="1">
      <c r="A29" s="30" t="s">
        <v>66</v>
      </c>
      <c r="B29" s="32">
        <v>114.0</v>
      </c>
      <c r="C29" s="32">
        <v>2.0</v>
      </c>
      <c r="D29" s="37"/>
      <c r="E29" s="57"/>
      <c r="F29" s="57"/>
      <c r="G29" s="43" t="str">
        <f>HYPERLINK("http://www.vdh.virginia.gov/coronavirus/","Source")</f>
        <v>Source</v>
      </c>
      <c r="H29" s="36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30.0" customHeight="1">
      <c r="A30" s="30" t="s">
        <v>68</v>
      </c>
      <c r="B30" s="32">
        <v>112.0</v>
      </c>
      <c r="C30" s="32">
        <v>0.0</v>
      </c>
      <c r="D30" s="37"/>
      <c r="E30" s="57"/>
      <c r="F30" s="57"/>
      <c r="G30" s="43" t="str">
        <f>HYPERLINK("https://coronavirus.utah.gov/case-counts/","Source")</f>
        <v>Source</v>
      </c>
      <c r="H30" s="36"/>
      <c r="I30" s="20"/>
      <c r="J30" s="20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27.75" customHeight="1">
      <c r="A31" s="39" t="s">
        <v>71</v>
      </c>
      <c r="B31" s="41">
        <v>106.0</v>
      </c>
      <c r="C31" s="44">
        <v>0.0</v>
      </c>
      <c r="D31" s="50"/>
      <c r="E31" s="47"/>
      <c r="F31" s="47"/>
      <c r="G31" s="52" t="str">
        <f>HYPERLINK("http://alabamapublichealth.gov/infectiousdiseases/2019-coronavirus.html","Source")</f>
        <v>Source</v>
      </c>
      <c r="H31" s="36"/>
      <c r="I31" s="20"/>
      <c r="J31" s="2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27.75" customHeight="1">
      <c r="A32" s="39" t="s">
        <v>73</v>
      </c>
      <c r="B32" s="41">
        <v>100.0</v>
      </c>
      <c r="C32" s="44">
        <v>0.0</v>
      </c>
      <c r="D32" s="50"/>
      <c r="E32" s="47"/>
      <c r="F32" s="47"/>
      <c r="G32" s="52" t="str">
        <f>HYPERLINK("https://www.healthy.arkansas.gov/programs-services/topics/novel-coronavirus","Source")</f>
        <v>Source</v>
      </c>
      <c r="H32" s="36"/>
      <c r="I32" s="20"/>
      <c r="J32" s="2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27.75" customHeight="1">
      <c r="A33" s="39" t="s">
        <v>77</v>
      </c>
      <c r="B33" s="41">
        <v>80.0</v>
      </c>
      <c r="C33" s="44">
        <v>1.0</v>
      </c>
      <c r="D33" s="50"/>
      <c r="E33" s="47"/>
      <c r="F33" s="47"/>
      <c r="G33" s="52" t="str">
        <f>HYPERLINK("https://msdh.ms.gov/msdhsite/_static/14,0,420.html","Source")</f>
        <v>Source</v>
      </c>
      <c r="H33" s="36"/>
      <c r="I33" s="20"/>
      <c r="J33" s="2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30.0" customHeight="1">
      <c r="A34" s="30" t="s">
        <v>79</v>
      </c>
      <c r="B34" s="32">
        <v>79.0</v>
      </c>
      <c r="C34" s="32">
        <v>3.0</v>
      </c>
      <c r="D34" s="37"/>
      <c r="E34" s="57"/>
      <c r="F34" s="57"/>
      <c r="G34" s="43" t="str">
        <f>HYPERLINK("https://www.in.gov/coronavirus/","Source")</f>
        <v>Source</v>
      </c>
      <c r="H34" s="36"/>
      <c r="I34" s="20"/>
      <c r="J34" s="2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27.75" customHeight="1">
      <c r="A35" s="39" t="s">
        <v>82</v>
      </c>
      <c r="B35" s="41">
        <v>77.0</v>
      </c>
      <c r="C35" s="44">
        <v>1.0</v>
      </c>
      <c r="D35" s="50"/>
      <c r="E35" s="47"/>
      <c r="F35" s="47"/>
      <c r="G35" s="52" t="str">
        <f>HYPERLINK("https://coronavirus.dc.gov/page/coronavirus-data","Source")</f>
        <v>Source</v>
      </c>
      <c r="H35" s="36"/>
      <c r="I35" s="20"/>
      <c r="J35" s="2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27.75" customHeight="1">
      <c r="A36" s="39" t="s">
        <v>85</v>
      </c>
      <c r="B36" s="41">
        <v>63.0</v>
      </c>
      <c r="C36" s="44">
        <v>0.0</v>
      </c>
      <c r="D36" s="50"/>
      <c r="E36" s="47"/>
      <c r="F36" s="50">
        <v>1.0</v>
      </c>
      <c r="G36" s="52" t="str">
        <f>HYPERLINK("https://www.azdhs.gov/preparedness/epidemiology-disease-control/infectious-disease-epidemiology/index.php#novel-coronavirus-home","Source")</f>
        <v>Source</v>
      </c>
      <c r="H36" s="36"/>
      <c r="I36" s="20"/>
      <c r="J36" s="2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27.75" customHeight="1">
      <c r="A37" s="39" t="s">
        <v>87</v>
      </c>
      <c r="B37" s="41">
        <v>56.0</v>
      </c>
      <c r="C37" s="44">
        <v>0.0</v>
      </c>
      <c r="D37" s="50"/>
      <c r="E37" s="47"/>
      <c r="F37" s="47"/>
      <c r="G37" s="52" t="str">
        <f>HYPERLINK("https://www.maine.gov/dhhs/mecdc/infectious-disease/epi/airborne/coronavirus.shtml","Source")</f>
        <v>Source</v>
      </c>
      <c r="H37" s="36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30.0" customHeight="1">
      <c r="A38" s="30" t="s">
        <v>90</v>
      </c>
      <c r="B38" s="32">
        <v>55.0</v>
      </c>
      <c r="C38" s="49">
        <v>0.0</v>
      </c>
      <c r="D38" s="40"/>
      <c r="E38" s="57"/>
      <c r="F38" s="57"/>
      <c r="G38" s="43" t="str">
        <f>HYPERLINK("https://www.nh.gov/covid19/","Source")</f>
        <v>Source</v>
      </c>
      <c r="H38" s="36"/>
      <c r="I38" s="20"/>
      <c r="J38" s="20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30.0" customHeight="1">
      <c r="A39" s="30" t="s">
        <v>92</v>
      </c>
      <c r="B39" s="32">
        <v>51.0</v>
      </c>
      <c r="C39" s="32">
        <v>1.0</v>
      </c>
      <c r="D39" s="37"/>
      <c r="E39" s="57"/>
      <c r="F39" s="57"/>
      <c r="G39" s="43" t="str">
        <f>HYPERLINK("https://coronavirus.health.ok.gov/","Source")</f>
        <v>Source</v>
      </c>
      <c r="H39" s="36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27.75" customHeight="1">
      <c r="A40" s="39" t="s">
        <v>95</v>
      </c>
      <c r="B40" s="41">
        <v>48.0</v>
      </c>
      <c r="C40" s="44">
        <v>2.0</v>
      </c>
      <c r="D40" s="50"/>
      <c r="E40" s="47"/>
      <c r="F40" s="47"/>
      <c r="G40" s="52" t="str">
        <f>HYPERLINK("https://govstatus.egov.com/kycovid19","Source")</f>
        <v>Source</v>
      </c>
      <c r="H40" s="36"/>
      <c r="I40" s="20"/>
      <c r="J40" s="2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33.0" customHeight="1">
      <c r="A41" s="39" t="s">
        <v>96</v>
      </c>
      <c r="B41" s="41">
        <v>46.0</v>
      </c>
      <c r="C41" s="44">
        <v>0.0</v>
      </c>
      <c r="D41" s="50"/>
      <c r="E41" s="47"/>
      <c r="F41" s="50">
        <v>2.0</v>
      </c>
      <c r="G41" s="52" t="str">
        <f>HYPERLINK("https://www.cdc.gov/coronavirus/2019-ncov/cases-in-us.html","Source")</f>
        <v>Source</v>
      </c>
      <c r="H41" s="20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27.75" customHeight="1">
      <c r="A42" s="39" t="s">
        <v>98</v>
      </c>
      <c r="B42" s="41">
        <v>45.0</v>
      </c>
      <c r="C42" s="44">
        <v>0.0</v>
      </c>
      <c r="D42" s="50"/>
      <c r="E42" s="47"/>
      <c r="F42" s="47"/>
      <c r="G42" s="52" t="str">
        <f>HYPERLINK("https://www.nytimes.com/interactive/2020/us/coronavirus-us-cases.html?action=click&amp;module=Spotlight&amp;pgtype=Homepage","Source")</f>
        <v>Source</v>
      </c>
      <c r="H42" s="36"/>
      <c r="I42" s="20"/>
      <c r="J42" s="20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27.75" customHeight="1">
      <c r="A43" s="39" t="s">
        <v>99</v>
      </c>
      <c r="B43" s="41">
        <v>45.0</v>
      </c>
      <c r="C43" s="44">
        <v>0.0</v>
      </c>
      <c r="D43" s="50"/>
      <c r="E43" s="47"/>
      <c r="F43" s="47"/>
      <c r="G43" s="52" t="str">
        <f>HYPERLINK("https://idph.iowa.gov/Emerging-Health-Issues/Novel-Coronavirus","Source")</f>
        <v>Source</v>
      </c>
      <c r="H43" s="36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27.75" customHeight="1">
      <c r="A44" s="39" t="s">
        <v>101</v>
      </c>
      <c r="B44" s="41">
        <v>44.0</v>
      </c>
      <c r="C44" s="44">
        <v>0.0</v>
      </c>
      <c r="D44" s="50"/>
      <c r="E44" s="47"/>
      <c r="F44" s="47"/>
      <c r="G44" s="52" t="str">
        <f>HYPERLINK("https://twitter.com/TedNesi/status/1240713490882576389","Source")</f>
        <v>Source</v>
      </c>
      <c r="H44" s="20"/>
      <c r="I44" s="20"/>
      <c r="J44" s="20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30.0" customHeight="1">
      <c r="A45" s="30" t="s">
        <v>102</v>
      </c>
      <c r="B45" s="32">
        <v>44.0</v>
      </c>
      <c r="C45" s="32">
        <v>1.0</v>
      </c>
      <c r="D45" s="37"/>
      <c r="E45" s="57"/>
      <c r="F45" s="57"/>
      <c r="G45" s="43" t="str">
        <f>HYPERLINK("https://govstatus.egov.com/coronavirus","Source")</f>
        <v>Source</v>
      </c>
      <c r="H45" s="36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27.75" customHeight="1">
      <c r="A46" s="39" t="s">
        <v>104</v>
      </c>
      <c r="B46" s="41">
        <v>43.0</v>
      </c>
      <c r="C46" s="44">
        <v>0.0</v>
      </c>
      <c r="D46" s="50"/>
      <c r="E46" s="47"/>
      <c r="F46" s="47"/>
      <c r="G46" s="52" t="str">
        <f>HYPERLINK("https://cv.nmhealth.org/","Source")</f>
        <v>Source</v>
      </c>
      <c r="H46" s="36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27.75" customHeight="1">
      <c r="A47" s="39" t="s">
        <v>105</v>
      </c>
      <c r="B47" s="41">
        <v>39.0</v>
      </c>
      <c r="C47" s="44">
        <v>0.0</v>
      </c>
      <c r="D47" s="50"/>
      <c r="E47" s="47"/>
      <c r="F47" s="47"/>
      <c r="G47" s="52" t="str">
        <f>HYPERLINK("https://coronavirus.delaware.gov/","Source")</f>
        <v>Source</v>
      </c>
      <c r="H47" s="36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27.75" customHeight="1">
      <c r="A48" s="39" t="s">
        <v>106</v>
      </c>
      <c r="B48" s="41">
        <v>37.0</v>
      </c>
      <c r="C48" s="44">
        <v>0.0</v>
      </c>
      <c r="D48" s="50"/>
      <c r="E48" s="47"/>
      <c r="F48" s="47"/>
      <c r="G48" s="52" t="str">
        <f>HYPERLINK("https://health.hawaii.gov/docd/advisories/novel-coronavirus-2019/","Source")</f>
        <v>Source</v>
      </c>
      <c r="H48" s="36"/>
      <c r="I48" s="20"/>
      <c r="J48" s="20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27.75" customHeight="1">
      <c r="A49" s="39" t="s">
        <v>108</v>
      </c>
      <c r="B49" s="41">
        <v>31.0</v>
      </c>
      <c r="C49" s="44">
        <v>0.0</v>
      </c>
      <c r="D49" s="50"/>
      <c r="E49" s="47"/>
      <c r="F49" s="47"/>
      <c r="G49" s="52" t="str">
        <f>HYPERLINK("https://coronavirus.idaho.gov/","Source")</f>
        <v>Source</v>
      </c>
      <c r="H49" s="36"/>
      <c r="I49" s="20"/>
      <c r="J49" s="20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30.0" customHeight="1">
      <c r="A50" s="30" t="s">
        <v>109</v>
      </c>
      <c r="B50" s="32">
        <v>29.0</v>
      </c>
      <c r="C50" s="32">
        <v>2.0</v>
      </c>
      <c r="D50" s="37"/>
      <c r="E50" s="57"/>
      <c r="F50" s="57"/>
      <c r="G50" s="43" t="str">
        <f>HYPERLINK("https://www.healthvermont.gov/response/infectious-disease/2019-novel-coronavirus","Source")</f>
        <v>Source</v>
      </c>
      <c r="H50" s="36"/>
      <c r="I50" s="20"/>
      <c r="J50" s="2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30.0" customHeight="1">
      <c r="A51" s="30" t="s">
        <v>111</v>
      </c>
      <c r="B51" s="32">
        <v>26.0</v>
      </c>
      <c r="C51" s="32">
        <v>1.0</v>
      </c>
      <c r="D51" s="37"/>
      <c r="E51" s="57"/>
      <c r="F51" s="57"/>
      <c r="G51" s="43" t="str">
        <f>HYPERLINK("https://health.mo.gov/living/healthcondiseases/communicable/novel-coronavirus/","Source")</f>
        <v>Source</v>
      </c>
      <c r="H51" s="36"/>
      <c r="I51" s="20"/>
      <c r="J51" s="20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27.75" customHeight="1">
      <c r="A52" s="39" t="s">
        <v>114</v>
      </c>
      <c r="B52" s="41">
        <v>26.0</v>
      </c>
      <c r="C52" s="44">
        <v>0.0</v>
      </c>
      <c r="D52" s="50"/>
      <c r="E52" s="47"/>
      <c r="F52" s="47"/>
      <c r="G52" s="52" t="str">
        <f>HYPERLINK("https://www.health.nd.gov/diseases-conditions/coronavirus/north-dakota-coronavirus-cases","Source")</f>
        <v>Source</v>
      </c>
      <c r="H52" s="36"/>
      <c r="I52" s="20"/>
      <c r="J52" s="20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27.75" customHeight="1">
      <c r="A53" s="39" t="s">
        <v>115</v>
      </c>
      <c r="B53" s="41">
        <v>21.0</v>
      </c>
      <c r="C53" s="44">
        <v>0.0</v>
      </c>
      <c r="D53" s="50"/>
      <c r="E53" s="47"/>
      <c r="F53" s="47"/>
      <c r="G53" s="52" t="str">
        <f>HYPERLINK("https://www.youtube.com/watch?v=pAsq7-_3XTI","Source")</f>
        <v>Source</v>
      </c>
      <c r="H53" s="20"/>
      <c r="I53" s="20"/>
      <c r="J53" s="20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27.75" customHeight="1">
      <c r="A54" s="39" t="s">
        <v>118</v>
      </c>
      <c r="B54" s="41">
        <v>20.0</v>
      </c>
      <c r="C54" s="44">
        <v>0.0</v>
      </c>
      <c r="D54" s="50"/>
      <c r="E54" s="47"/>
      <c r="F54" s="47"/>
      <c r="G54" s="52" t="str">
        <f>HYPERLINK("https://health.wyo.gov/publichealth/infectious-disease-epidemiology-unit/disease/novel-coronavirus/","Source")</f>
        <v>Source</v>
      </c>
      <c r="H54" s="36"/>
      <c r="I54" s="20"/>
      <c r="J54" s="20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27.75" customHeight="1">
      <c r="A55" s="39" t="s">
        <v>121</v>
      </c>
      <c r="B55" s="41">
        <v>14.0</v>
      </c>
      <c r="C55" s="44">
        <v>1.0</v>
      </c>
      <c r="D55" s="50"/>
      <c r="E55" s="47"/>
      <c r="F55" s="47"/>
      <c r="G55" s="52" t="str">
        <f>HYPERLINK("https://doh.sd.gov/news/coronavirus.aspx","Source")</f>
        <v>Source</v>
      </c>
      <c r="H55" s="36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27.75" customHeight="1">
      <c r="A56" s="39" t="s">
        <v>123</v>
      </c>
      <c r="B56" s="41">
        <v>15.0</v>
      </c>
      <c r="C56" s="44">
        <v>0.0</v>
      </c>
      <c r="D56" s="50"/>
      <c r="E56" s="47"/>
      <c r="F56" s="47"/>
      <c r="G56" s="52" t="str">
        <f>HYPERLINK("https://dphhs.mt.gov/publichealth/cdepi/diseases/coronavirusmt","Source")</f>
        <v>Source</v>
      </c>
      <c r="H56" s="36"/>
      <c r="I56" s="20"/>
      <c r="J56" s="20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27.75" customHeight="1">
      <c r="A57" s="39" t="s">
        <v>127</v>
      </c>
      <c r="B57" s="41">
        <v>14.0</v>
      </c>
      <c r="C57" s="44">
        <v>0.0</v>
      </c>
      <c r="D57" s="50"/>
      <c r="E57" s="47"/>
      <c r="F57" s="47"/>
      <c r="G57" s="52" t="str">
        <f>HYPERLINK("https://ghs.guam.gov/jic-release-no-18-two-positive-cases-covid-19","Source")</f>
        <v>Source</v>
      </c>
      <c r="H57" s="36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27.75" customHeight="1">
      <c r="A58" s="39" t="s">
        <v>129</v>
      </c>
      <c r="B58" s="41">
        <v>14.0</v>
      </c>
      <c r="C58" s="44">
        <v>0.0</v>
      </c>
      <c r="D58" s="50"/>
      <c r="E58" s="47"/>
      <c r="F58" s="47"/>
      <c r="G58" s="52" t="str">
        <f>HYPERLINK("http://www.salud.gov.pr/Pages/coronavirus.aspx","Source")</f>
        <v>Source</v>
      </c>
      <c r="H58" s="20"/>
      <c r="I58" s="20"/>
      <c r="J58" s="20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27.75" customHeight="1">
      <c r="A59" s="39" t="s">
        <v>132</v>
      </c>
      <c r="B59" s="41">
        <v>12.0</v>
      </c>
      <c r="C59" s="44">
        <v>0.0</v>
      </c>
      <c r="D59" s="50"/>
      <c r="E59" s="47"/>
      <c r="F59" s="47"/>
      <c r="G59" s="52" t="str">
        <f>HYPERLINK("http://dhss.alaska.gov/dph/Epi/id/Pages/COVID-19/default.aspx","Source")</f>
        <v>Source</v>
      </c>
      <c r="H59" s="36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27.75" customHeight="1">
      <c r="A60" s="39" t="s">
        <v>135</v>
      </c>
      <c r="B60" s="41">
        <v>8.0</v>
      </c>
      <c r="C60" s="44">
        <v>0.0</v>
      </c>
      <c r="D60" s="50"/>
      <c r="E60" s="47"/>
      <c r="F60" s="47"/>
      <c r="G60" s="52" t="str">
        <f>HYPERLINK("https://dhhr.wv.gov/COVID-19/Pages/default.aspx","Source")</f>
        <v>Source</v>
      </c>
      <c r="H60" s="36"/>
      <c r="I60" s="20"/>
      <c r="J60" s="2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27.75" customHeight="1">
      <c r="A61" s="39" t="s">
        <v>137</v>
      </c>
      <c r="B61" s="41">
        <v>3.0</v>
      </c>
      <c r="C61" s="44">
        <v>0.0</v>
      </c>
      <c r="D61" s="50"/>
      <c r="E61" s="47"/>
      <c r="F61" s="47"/>
      <c r="G61" s="79"/>
      <c r="H61" s="20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27.75" customHeight="1">
      <c r="A62" s="39" t="s">
        <v>140</v>
      </c>
      <c r="B62" s="41">
        <v>3.0</v>
      </c>
      <c r="C62" s="44">
        <v>0.0</v>
      </c>
      <c r="D62" s="50"/>
      <c r="E62" s="47"/>
      <c r="F62" s="47"/>
      <c r="G62" s="52" t="str">
        <f>HYPERLINK("https://doh.vi.gov/news/health-department-announces-third-confirmed-covid-19-case","Source")</f>
        <v>Source</v>
      </c>
      <c r="H62" s="36"/>
      <c r="I62" s="20"/>
      <c r="J62" s="20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27.75" customHeight="1">
      <c r="A63" s="39" t="s">
        <v>142</v>
      </c>
      <c r="B63" s="41">
        <v>0.0</v>
      </c>
      <c r="C63" s="44">
        <v>0.0</v>
      </c>
      <c r="D63" s="50"/>
      <c r="E63" s="47"/>
      <c r="F63" s="47"/>
      <c r="G63" s="80"/>
      <c r="H63" s="20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27.75" customHeight="1">
      <c r="A64" s="39" t="s">
        <v>143</v>
      </c>
      <c r="B64" s="41">
        <v>0.0</v>
      </c>
      <c r="C64" s="44">
        <v>0.0</v>
      </c>
      <c r="D64" s="50"/>
      <c r="E64" s="47"/>
      <c r="F64" s="47"/>
      <c r="G64" s="80"/>
      <c r="H64" s="20"/>
      <c r="I64" s="20"/>
      <c r="J64" s="2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82"/>
      <c r="B65" s="83">
        <v>403.0</v>
      </c>
      <c r="C65" s="84">
        <v>2.0</v>
      </c>
      <c r="D65" s="85"/>
      <c r="E65" s="86"/>
      <c r="F65" s="86"/>
      <c r="G65" s="8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ht="30.0" customHeight="1">
      <c r="A66" s="60" t="s">
        <v>146</v>
      </c>
      <c r="B66" s="62">
        <f t="shared" ref="B66:C66" si="2">SUM(B6:B65)</f>
        <v>19671</v>
      </c>
      <c r="C66" s="62">
        <f t="shared" si="2"/>
        <v>252</v>
      </c>
      <c r="D66" s="62">
        <f t="shared" ref="D66:F66" si="3">SUM(D6:D64)</f>
        <v>60</v>
      </c>
      <c r="E66" s="62">
        <f t="shared" si="3"/>
        <v>4</v>
      </c>
      <c r="F66" s="62">
        <f t="shared" si="3"/>
        <v>26</v>
      </c>
      <c r="G66" s="63"/>
      <c r="H66" s="20"/>
      <c r="I66" s="20"/>
      <c r="J66" s="2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60"/>
      <c r="B67" s="65"/>
      <c r="C67" s="65"/>
      <c r="D67" s="65"/>
      <c r="E67" s="65"/>
      <c r="F67" s="65"/>
      <c r="G67" s="63"/>
      <c r="H67" s="13"/>
      <c r="I67" s="13"/>
      <c r="J67" s="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8"/>
      <c r="B68" s="70"/>
      <c r="C68" s="71"/>
      <c r="D68" s="71"/>
      <c r="E68" s="71"/>
      <c r="F68" s="71"/>
      <c r="G68" s="4"/>
      <c r="H68" s="13"/>
      <c r="I68" s="13"/>
      <c r="J68" s="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73"/>
      <c r="B69" s="71"/>
      <c r="C69" s="71"/>
      <c r="D69" s="71"/>
      <c r="E69" s="71"/>
      <c r="F69" s="71"/>
      <c r="G69" s="4"/>
      <c r="H69" s="13"/>
      <c r="I69" s="13"/>
      <c r="J69" s="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73"/>
      <c r="B70" s="71"/>
      <c r="C70" s="71"/>
      <c r="D70" s="71"/>
      <c r="E70" s="71"/>
      <c r="F70" s="71"/>
      <c r="G70" s="4"/>
      <c r="H70" s="13"/>
      <c r="I70" s="1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SUM(B14, B15)</f>
        <v>80967</v>
      </c>
      <c r="B3" s="10">
        <f t="shared" si="1"/>
        <v>3248</v>
      </c>
      <c r="D3" s="12">
        <f>SUM(F14, F15)</f>
        <v>71150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4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6" t="s">
        <v>6</v>
      </c>
      <c r="B5" s="18" t="s">
        <v>8</v>
      </c>
      <c r="C5" s="18" t="s">
        <v>9</v>
      </c>
      <c r="D5" s="19" t="s">
        <v>10</v>
      </c>
      <c r="E5" s="19" t="s">
        <v>11</v>
      </c>
      <c r="F5" s="19" t="s">
        <v>12</v>
      </c>
      <c r="G5" s="18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30" t="s">
        <v>15</v>
      </c>
      <c r="B6" s="32">
        <v>67800.0</v>
      </c>
      <c r="C6" s="32">
        <v>3132.0</v>
      </c>
      <c r="D6" s="37">
        <v>2098.0</v>
      </c>
      <c r="E6" s="40" t="s">
        <v>22</v>
      </c>
      <c r="F6" s="37">
        <v>58381.0</v>
      </c>
      <c r="G6" s="43" t="str">
        <f>HYPERLINK("http://www.nhc.gov.cn/yjb/s7860/202003/0fc43d6804b04a4595a2eadd846c0a6e.shtml","Source")</f>
        <v>Source</v>
      </c>
      <c r="H6" s="20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4" t="s">
        <v>24</v>
      </c>
      <c r="B7" s="26">
        <v>1392.0</v>
      </c>
      <c r="C7" s="28">
        <v>8.0</v>
      </c>
      <c r="D7" s="31">
        <v>2.0</v>
      </c>
      <c r="E7" s="31">
        <v>11.0</v>
      </c>
      <c r="F7" s="46">
        <v>1322.0</v>
      </c>
      <c r="G7" s="34" t="str">
        <f>HYPERLINK("http://wsjkw.gd.gov.cn/zwyw_yqxx/content/post_2936393.html","Source")</f>
        <v>Source</v>
      </c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30" t="s">
        <v>25</v>
      </c>
      <c r="B8" s="32">
        <v>1272.0</v>
      </c>
      <c r="C8" s="49">
        <v>22.0</v>
      </c>
      <c r="D8" s="40">
        <v>0.0</v>
      </c>
      <c r="E8" s="40">
        <v>0.0</v>
      </c>
      <c r="F8" s="37">
        <v>1250.0</v>
      </c>
      <c r="G8" s="43" t="str">
        <f>HYPERLINK("https://m.weibo.cn/detail/4484105355396148","Source")</f>
        <v>Source</v>
      </c>
      <c r="H8" s="20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30" t="s">
        <v>26</v>
      </c>
      <c r="B9" s="32">
        <v>1234.0</v>
      </c>
      <c r="C9" s="49">
        <v>1.0</v>
      </c>
      <c r="D9" s="40">
        <v>1.0</v>
      </c>
      <c r="E9" s="40">
        <v>1.0</v>
      </c>
      <c r="F9" s="37">
        <v>1219.0</v>
      </c>
      <c r="G9" s="52" t="str">
        <f>HYPERLINK("https://www.zjwjw.gov.cn/art/2020/3/20/art_1202101_42332551.html","Source")</f>
        <v>Source</v>
      </c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30" t="s">
        <v>28</v>
      </c>
      <c r="B10" s="32">
        <v>1018.0</v>
      </c>
      <c r="C10" s="49">
        <v>4.0</v>
      </c>
      <c r="D10" s="40">
        <v>0.0</v>
      </c>
      <c r="E10" s="40">
        <v>0.0</v>
      </c>
      <c r="F10" s="37">
        <v>1014.0</v>
      </c>
      <c r="G10" s="43" t="str">
        <f>HYPERLINK("http://wjw.hunan.gov.cn/wjw/xxgk/gzdt/zyxw_1/202003/t20200320_11816493.html","Source")</f>
        <v>Source</v>
      </c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30" t="s">
        <v>30</v>
      </c>
      <c r="B11" s="32">
        <v>491.0</v>
      </c>
      <c r="C11" s="49">
        <v>8.0</v>
      </c>
      <c r="D11" s="40" t="s">
        <v>22</v>
      </c>
      <c r="E11" s="40" t="s">
        <v>22</v>
      </c>
      <c r="F11" s="40">
        <v>386.0</v>
      </c>
      <c r="G11" s="52" t="str">
        <f>HYPERLINK("https://m.weibo.cn/detail/4484532566822800","Source")</f>
        <v>Source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30" t="s">
        <v>33</v>
      </c>
      <c r="B12" s="32">
        <v>371.0</v>
      </c>
      <c r="C12" s="49">
        <v>3.0</v>
      </c>
      <c r="D12" s="40">
        <v>1.0</v>
      </c>
      <c r="E12" s="40">
        <v>8.0</v>
      </c>
      <c r="F12" s="40">
        <v>326.0</v>
      </c>
      <c r="G12" s="43" t="str">
        <f>HYPERLINK("https://m.weibo.cn/detail/4484460349025602","Source")</f>
        <v>Source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30" t="s">
        <v>35</v>
      </c>
      <c r="B13" s="32">
        <v>7389.0</v>
      </c>
      <c r="C13" s="49">
        <v>70.0</v>
      </c>
      <c r="D13" s="40" t="s">
        <v>37</v>
      </c>
      <c r="E13" s="40" t="s">
        <v>22</v>
      </c>
      <c r="F13" s="37">
        <v>7252.0</v>
      </c>
      <c r="G13" s="58"/>
      <c r="H13" s="59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60" t="s">
        <v>39</v>
      </c>
      <c r="B14" s="62">
        <f t="shared" ref="B14:C14" si="2">SUM(B6:B13)</f>
        <v>80967</v>
      </c>
      <c r="C14" s="62">
        <f t="shared" si="2"/>
        <v>3248</v>
      </c>
      <c r="D14" s="62">
        <v>2136.0</v>
      </c>
      <c r="E14" s="62"/>
      <c r="F14" s="62">
        <f>SUM(F6:F13)</f>
        <v>71150</v>
      </c>
      <c r="G14" s="63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60"/>
      <c r="B15" s="65"/>
      <c r="C15" s="65"/>
      <c r="D15" s="66"/>
      <c r="E15" s="67"/>
      <c r="F15" s="65"/>
      <c r="G15" s="63"/>
      <c r="H15" s="13"/>
      <c r="I15" s="1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8"/>
      <c r="B16" s="70"/>
      <c r="C16" s="71"/>
      <c r="D16" s="71"/>
      <c r="E16" s="71"/>
      <c r="F16" s="7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73"/>
      <c r="B17" s="71"/>
      <c r="C17" s="71"/>
      <c r="D17" s="71"/>
      <c r="E17" s="71"/>
      <c r="F17" s="7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73"/>
      <c r="B18" s="71"/>
      <c r="C18" s="71"/>
      <c r="D18" s="71"/>
      <c r="E18" s="71"/>
      <c r="F18" s="7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2</v>
      </c>
      <c r="B2" s="3" t="s">
        <v>3</v>
      </c>
      <c r="D2" s="5" t="s">
        <v>4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SUM(B19, B20)</f>
        <v>1075</v>
      </c>
      <c r="B3" s="10">
        <f t="shared" si="1"/>
        <v>13</v>
      </c>
      <c r="D3" s="12">
        <f>SUM(F19, F20)</f>
        <v>13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4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6" t="s">
        <v>62</v>
      </c>
      <c r="B5" s="18" t="s">
        <v>8</v>
      </c>
      <c r="C5" s="18" t="s">
        <v>9</v>
      </c>
      <c r="D5" s="19" t="s">
        <v>10</v>
      </c>
      <c r="E5" s="19" t="s">
        <v>11</v>
      </c>
      <c r="F5" s="19" t="s">
        <v>12</v>
      </c>
      <c r="G5" s="18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30" t="s">
        <v>64</v>
      </c>
      <c r="B6" s="32">
        <v>348.0</v>
      </c>
      <c r="C6" s="32">
        <v>9.0</v>
      </c>
      <c r="D6" s="37"/>
      <c r="E6" s="40">
        <v>7.0</v>
      </c>
      <c r="F6" s="40">
        <v>5.0</v>
      </c>
      <c r="G6" s="43" t="str">
        <f>HYPERLINK("http://www.bccdc.ca/health-info/diseases-conditions/covid-19/case-counts-press-statements","Source")</f>
        <v>Source</v>
      </c>
      <c r="H6" s="36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24" t="s">
        <v>67</v>
      </c>
      <c r="B7" s="26">
        <v>318.0</v>
      </c>
      <c r="C7" s="28">
        <v>2.0</v>
      </c>
      <c r="D7" s="31"/>
      <c r="E7" s="31"/>
      <c r="F7" s="31">
        <v>5.0</v>
      </c>
      <c r="G7" s="34" t="str">
        <f>HYPERLINK("https://www.ontario.ca/page/2019-novel-coronavirus","Source")</f>
        <v>Source</v>
      </c>
      <c r="H7" s="36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30" t="s">
        <v>69</v>
      </c>
      <c r="B8" s="32">
        <v>195.0</v>
      </c>
      <c r="C8" s="49">
        <v>1.0</v>
      </c>
      <c r="D8" s="40"/>
      <c r="E8" s="40"/>
      <c r="F8" s="40">
        <v>2.0</v>
      </c>
      <c r="G8" s="43" t="str">
        <f>HYPERLINK("https://www.alberta.ca/coronavirus-info-for-albertans.aspx","Source")</f>
        <v>Source</v>
      </c>
      <c r="H8" s="36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30" t="s">
        <v>72</v>
      </c>
      <c r="B9" s="32">
        <v>139.0</v>
      </c>
      <c r="C9" s="49">
        <v>1.0</v>
      </c>
      <c r="D9" s="40"/>
      <c r="E9" s="40"/>
      <c r="F9" s="40">
        <v>1.0</v>
      </c>
      <c r="G9" s="43" t="str">
        <f>HYPERLINK("https://www.quebec.ca/en/health/health-issues/a-z/2019-coronavirus/","Source")</f>
        <v>Source</v>
      </c>
      <c r="H9" s="36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30.0" customHeight="1">
      <c r="A10" s="30" t="s">
        <v>74</v>
      </c>
      <c r="B10" s="32">
        <v>26.0</v>
      </c>
      <c r="C10" s="49">
        <v>0.0</v>
      </c>
      <c r="D10" s="40"/>
      <c r="E10" s="40"/>
      <c r="F10" s="57"/>
      <c r="G10" s="43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36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30" t="s">
        <v>76</v>
      </c>
      <c r="B11" s="32">
        <v>17.0</v>
      </c>
      <c r="C11" s="49">
        <v>0.0</v>
      </c>
      <c r="D11" s="40"/>
      <c r="E11" s="40"/>
      <c r="F11" s="57"/>
      <c r="G11" s="43" t="str">
        <f>HYPERLINK("https://winnipeg.ctvnews.ca/two-new-presumptive-cases-of-covid-19-in-manitoba-1.4858707","Source")</f>
        <v>Source</v>
      </c>
      <c r="H11" s="36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30" t="s">
        <v>78</v>
      </c>
      <c r="B12" s="32">
        <v>15.0</v>
      </c>
      <c r="C12" s="49">
        <v>0.0</v>
      </c>
      <c r="D12" s="40"/>
      <c r="E12" s="40"/>
      <c r="F12" s="57"/>
      <c r="G12" s="43" t="str">
        <f>HYPERLINK("https://novascotia.ca/CoronaVirus/","Source")</f>
        <v>Source</v>
      </c>
      <c r="H12" s="36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30.0" customHeight="1">
      <c r="A13" s="30" t="s">
        <v>81</v>
      </c>
      <c r="B13" s="32">
        <v>11.0</v>
      </c>
      <c r="C13" s="49">
        <v>0.0</v>
      </c>
      <c r="D13" s="40"/>
      <c r="E13" s="40"/>
      <c r="F13" s="57"/>
      <c r="G13" s="43" t="str">
        <f>HYPERLINK("https://www2.gnb.ca/content/gnb/en/departments/health/news/news_release.2020.03.0136.html","Source")</f>
        <v>Source</v>
      </c>
      <c r="H13" s="36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30" t="s">
        <v>83</v>
      </c>
      <c r="B14" s="32">
        <v>4.0</v>
      </c>
      <c r="C14" s="49">
        <v>0.0</v>
      </c>
      <c r="D14" s="40"/>
      <c r="E14" s="40"/>
      <c r="F14" s="57"/>
      <c r="G14" s="43" t="str">
        <f>HYPERLINK("https://www.gov.nl.ca/covid-19/","Source")</f>
        <v>Source</v>
      </c>
      <c r="H14" s="36"/>
      <c r="I14" s="75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30" t="s">
        <v>86</v>
      </c>
      <c r="B15" s="32">
        <v>2.0</v>
      </c>
      <c r="C15" s="49">
        <v>0.0</v>
      </c>
      <c r="D15" s="40"/>
      <c r="E15" s="40"/>
      <c r="F15" s="57"/>
      <c r="G15" s="43" t="str">
        <f>HYPERLINK("https://www.princeedwardisland.ca/en/news/pei-confirms-first-positive-case-covid-19","Source")</f>
        <v>Source</v>
      </c>
      <c r="H15" s="36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30" t="s">
        <v>89</v>
      </c>
      <c r="B16" s="32">
        <v>0.0</v>
      </c>
      <c r="C16" s="49">
        <v>0.0</v>
      </c>
      <c r="D16" s="40"/>
      <c r="E16" s="40"/>
      <c r="F16" s="57"/>
      <c r="G16" s="43" t="str">
        <f>HYPERLINK("https://www.hss.gov.nt.ca/en/services/coronavirus-disease-covid-19","Source")</f>
        <v>Source</v>
      </c>
      <c r="H16" s="36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30.0" customHeight="1">
      <c r="A17" s="30" t="s">
        <v>91</v>
      </c>
      <c r="B17" s="32">
        <v>0.0</v>
      </c>
      <c r="C17" s="49">
        <v>0.0</v>
      </c>
      <c r="D17" s="40"/>
      <c r="E17" s="40"/>
      <c r="F17" s="57"/>
      <c r="G17" s="58"/>
      <c r="H17" s="36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30.0" customHeight="1">
      <c r="A18" s="30" t="s">
        <v>94</v>
      </c>
      <c r="B18" s="32">
        <v>0.0</v>
      </c>
      <c r="C18" s="49">
        <v>0.0</v>
      </c>
      <c r="D18" s="40"/>
      <c r="E18" s="40"/>
      <c r="F18" s="57"/>
      <c r="G18" s="58"/>
      <c r="H18" s="36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30.0" customHeight="1">
      <c r="A19" s="60" t="s">
        <v>39</v>
      </c>
      <c r="B19" s="62">
        <f t="shared" ref="B19:F19" si="2">SUM(B6:B18)</f>
        <v>1075</v>
      </c>
      <c r="C19" s="62">
        <f t="shared" si="2"/>
        <v>13</v>
      </c>
      <c r="D19" s="62">
        <f t="shared" si="2"/>
        <v>0</v>
      </c>
      <c r="E19" s="62">
        <f t="shared" si="2"/>
        <v>7</v>
      </c>
      <c r="F19" s="62">
        <f t="shared" si="2"/>
        <v>13</v>
      </c>
      <c r="G19" s="63"/>
      <c r="H19" s="22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>
      <c r="A20" s="73"/>
      <c r="B20" s="71"/>
      <c r="C20" s="71"/>
      <c r="D20" s="71"/>
      <c r="E20" s="71"/>
      <c r="F20" s="7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68"/>
      <c r="B21" s="70"/>
      <c r="C21" s="71"/>
      <c r="D21" s="71"/>
      <c r="E21" s="71"/>
      <c r="F21" s="7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73"/>
      <c r="B22" s="71"/>
      <c r="C22" s="71"/>
      <c r="D22" s="71"/>
      <c r="E22" s="71"/>
      <c r="F22" s="7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73"/>
      <c r="B23" s="71"/>
      <c r="C23" s="71"/>
      <c r="D23" s="71"/>
      <c r="E23" s="71"/>
      <c r="F23" s="7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0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2</v>
      </c>
      <c r="B2" s="3" t="s">
        <v>3</v>
      </c>
      <c r="D2" s="5" t="s">
        <v>4</v>
      </c>
      <c r="F2" s="6"/>
      <c r="G2" s="7"/>
      <c r="H2" s="13"/>
      <c r="I2" s="13"/>
      <c r="J2" s="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SUM(B17, B18)</f>
        <v>877</v>
      </c>
      <c r="B3" s="10">
        <f t="shared" si="1"/>
        <v>7</v>
      </c>
      <c r="D3" s="12">
        <f>SUM(F17, F18)</f>
        <v>52</v>
      </c>
      <c r="F3" s="6"/>
      <c r="G3" s="7"/>
      <c r="H3" s="13"/>
      <c r="I3" s="13"/>
      <c r="J3" s="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4"/>
      <c r="B4" s="7"/>
      <c r="C4" s="7"/>
      <c r="D4" s="6"/>
      <c r="E4" s="6"/>
      <c r="F4" s="6"/>
      <c r="G4" s="7"/>
      <c r="H4" s="13"/>
      <c r="I4" s="13"/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6" t="s">
        <v>112</v>
      </c>
      <c r="B5" s="18" t="s">
        <v>8</v>
      </c>
      <c r="C5" s="18" t="s">
        <v>9</v>
      </c>
      <c r="D5" s="19" t="s">
        <v>10</v>
      </c>
      <c r="E5" s="19" t="s">
        <v>11</v>
      </c>
      <c r="F5" s="19" t="s">
        <v>12</v>
      </c>
      <c r="G5" s="18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30" t="s">
        <v>113</v>
      </c>
      <c r="B6" s="32">
        <v>382.0</v>
      </c>
      <c r="C6" s="32">
        <v>6.0</v>
      </c>
      <c r="D6" s="37">
        <v>5.0</v>
      </c>
      <c r="E6" s="57"/>
      <c r="F6" s="40">
        <v>4.0</v>
      </c>
      <c r="G6" s="43" t="str">
        <f>HYPERLINK("https://www.health.nsw.gov.au/news/Pages/20200320_03.aspx","Source")</f>
        <v>Source</v>
      </c>
      <c r="H6" s="76"/>
      <c r="I6" s="77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4" t="s">
        <v>117</v>
      </c>
      <c r="B7" s="26">
        <v>184.0</v>
      </c>
      <c r="C7" s="28"/>
      <c r="D7" s="31"/>
      <c r="E7" s="31"/>
      <c r="F7" s="31">
        <v>8.0</v>
      </c>
      <c r="G7" s="34" t="str">
        <f>HYPERLINK("https://twitter.com/9NewsQueensland/status/1240878315050803200","Source")</f>
        <v>Source</v>
      </c>
      <c r="H7" s="76"/>
      <c r="I7" s="77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30" t="s">
        <v>119</v>
      </c>
      <c r="B8" s="32">
        <v>178.0</v>
      </c>
      <c r="C8" s="49"/>
      <c r="D8" s="40"/>
      <c r="E8" s="40"/>
      <c r="F8" s="40">
        <v>7.0</v>
      </c>
      <c r="G8" s="43" t="str">
        <f>HYPERLINK("https://www.dhhs.vic.gov.au/coronavirus-covid-19-daily-update","Source")</f>
        <v>Source</v>
      </c>
      <c r="H8" s="76"/>
      <c r="I8" s="77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30" t="s">
        <v>122</v>
      </c>
      <c r="B9" s="32">
        <v>64.0</v>
      </c>
      <c r="C9" s="49">
        <v>1.0</v>
      </c>
      <c r="D9" s="40"/>
      <c r="E9" s="40"/>
      <c r="F9" s="40">
        <v>1.0</v>
      </c>
      <c r="G9" s="43" t="str">
        <f>HYPERLINK("https://ww2.health.wa.gov.au/~/media/Files/Corporate/general%20documents/Infectious%20diseases/PDF/Coronavirus/COVID19-daily-snapshot.pdf","Source")</f>
        <v>Source</v>
      </c>
      <c r="H9" s="76"/>
      <c r="I9" s="77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30" t="s">
        <v>124</v>
      </c>
      <c r="B10" s="32">
        <v>50.0</v>
      </c>
      <c r="C10" s="49"/>
      <c r="D10" s="40"/>
      <c r="E10" s="40"/>
      <c r="F10" s="40">
        <v>6.0</v>
      </c>
      <c r="G10" s="43" t="str">
        <f>HYPERLINK("https://www.sahealth.sa.gov.au/wps/wcm/connect/public+content/sa+health+internet/about+us/news+and+media/all+media+releases/covid-19+coronavirus+update+19+march+2020","Source")</f>
        <v>Source</v>
      </c>
      <c r="H10" s="76"/>
      <c r="I10" s="77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30" t="s">
        <v>126</v>
      </c>
      <c r="B11" s="32">
        <v>10.0</v>
      </c>
      <c r="C11" s="49"/>
      <c r="D11" s="40"/>
      <c r="E11" s="40"/>
      <c r="F11" s="40">
        <v>3.0</v>
      </c>
      <c r="G11" s="43" t="str">
        <f>HYPERLINK("https://www.dhhs.tas.gov.au/news/2020/coronavirus_update_18_march_2020","Source")</f>
        <v>Source</v>
      </c>
      <c r="H11" s="76"/>
      <c r="I11" s="77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30" t="s">
        <v>130</v>
      </c>
      <c r="B12" s="32">
        <v>6.0</v>
      </c>
      <c r="C12" s="49"/>
      <c r="D12" s="40"/>
      <c r="E12" s="40"/>
      <c r="F12" s="40"/>
      <c r="G12" s="43" t="str">
        <f>HYPERLINK("https://health.act.gov.au/about-our-health-system/novel-coronavirus-covid-19/latest-news","Source")</f>
        <v>Source</v>
      </c>
      <c r="H12" s="76"/>
      <c r="I12" s="77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30" t="s">
        <v>131</v>
      </c>
      <c r="B13" s="32">
        <v>3.0</v>
      </c>
      <c r="C13" s="49"/>
      <c r="D13" s="40"/>
      <c r="E13" s="40"/>
      <c r="F13" s="40"/>
      <c r="G13" s="43" t="str">
        <f>HYPERLINK("http://mediareleases.nt.gov.au/mediaRelease/32109","Source")</f>
        <v>Source</v>
      </c>
      <c r="H13" s="76"/>
      <c r="I13" s="77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30" t="s">
        <v>134</v>
      </c>
      <c r="B14" s="32">
        <v>0.0</v>
      </c>
      <c r="C14" s="49"/>
      <c r="D14" s="40"/>
      <c r="E14" s="40"/>
      <c r="F14" s="40"/>
      <c r="G14" s="58"/>
      <c r="H14" s="36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30.0" customHeight="1">
      <c r="A15" s="30" t="s">
        <v>136</v>
      </c>
      <c r="B15" s="32">
        <v>0.0</v>
      </c>
      <c r="C15" s="49"/>
      <c r="D15" s="40"/>
      <c r="E15" s="40"/>
      <c r="F15" s="40"/>
      <c r="G15" s="58"/>
      <c r="H15" s="36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30.0" customHeight="1">
      <c r="A16" s="30" t="s">
        <v>138</v>
      </c>
      <c r="B16" s="32"/>
      <c r="C16" s="49"/>
      <c r="D16" s="40"/>
      <c r="E16" s="40"/>
      <c r="F16" s="40">
        <v>23.0</v>
      </c>
      <c r="G16" s="58"/>
      <c r="H16" s="36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ht="30.0" customHeight="1">
      <c r="A17" s="60" t="s">
        <v>39</v>
      </c>
      <c r="B17" s="62">
        <f t="shared" ref="B17:F17" si="2">SUM(B6:B16)</f>
        <v>877</v>
      </c>
      <c r="C17" s="62">
        <f t="shared" si="2"/>
        <v>7</v>
      </c>
      <c r="D17" s="62">
        <f t="shared" si="2"/>
        <v>5</v>
      </c>
      <c r="E17" s="62">
        <f t="shared" si="2"/>
        <v>0</v>
      </c>
      <c r="F17" s="62">
        <f t="shared" si="2"/>
        <v>52</v>
      </c>
      <c r="G17" s="63"/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>
      <c r="A18" s="60"/>
      <c r="B18" s="65"/>
      <c r="C18" s="65"/>
      <c r="D18" s="66"/>
      <c r="E18" s="67"/>
      <c r="F18" s="65"/>
      <c r="G18" s="6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8"/>
      <c r="B19" s="70"/>
      <c r="C19" s="71"/>
      <c r="D19" s="71"/>
      <c r="E19" s="71"/>
      <c r="F19" s="7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73"/>
      <c r="B20" s="71"/>
      <c r="C20" s="71"/>
      <c r="D20" s="71"/>
      <c r="E20" s="71"/>
      <c r="F20" s="7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73"/>
      <c r="B21" s="71"/>
      <c r="C21" s="71"/>
      <c r="D21" s="71"/>
      <c r="E21" s="71"/>
      <c r="F21" s="7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1" t="s">
        <v>148</v>
      </c>
      <c r="H1" s="4"/>
      <c r="I1" s="4"/>
      <c r="J1" s="4"/>
    </row>
    <row r="2">
      <c r="A2" s="3" t="s">
        <v>149</v>
      </c>
      <c r="B2" s="3" t="s">
        <v>150</v>
      </c>
      <c r="D2" s="5" t="s">
        <v>151</v>
      </c>
      <c r="F2" s="6"/>
      <c r="G2" s="7"/>
      <c r="H2" s="4"/>
      <c r="I2" s="4"/>
      <c r="J2" s="4"/>
    </row>
    <row r="3">
      <c r="A3" s="10">
        <f t="shared" ref="A3:B3" si="1">SUM(B21, B22)</f>
        <v>5507</v>
      </c>
      <c r="B3" s="10">
        <f t="shared" si="1"/>
        <v>135</v>
      </c>
      <c r="D3" s="12">
        <f>SUM(F21, F22)</f>
        <v>4</v>
      </c>
      <c r="F3" s="6"/>
      <c r="G3" s="7"/>
      <c r="H3" s="4"/>
      <c r="I3" s="4"/>
      <c r="J3" s="4"/>
    </row>
    <row r="4">
      <c r="A4" s="14"/>
      <c r="B4" s="7"/>
      <c r="C4" s="7"/>
      <c r="D4" s="6"/>
      <c r="E4" s="6"/>
      <c r="F4" s="6"/>
      <c r="G4" s="7"/>
      <c r="H4" s="4"/>
      <c r="I4" s="4"/>
      <c r="J4" s="4"/>
    </row>
    <row r="5" ht="30.0" customHeight="1">
      <c r="A5" s="16" t="s">
        <v>153</v>
      </c>
      <c r="B5" s="18" t="s">
        <v>154</v>
      </c>
      <c r="C5" s="18" t="s">
        <v>155</v>
      </c>
      <c r="D5" s="19" t="s">
        <v>156</v>
      </c>
      <c r="E5" s="19" t="s">
        <v>157</v>
      </c>
      <c r="F5" s="19" t="s">
        <v>158</v>
      </c>
      <c r="G5" s="18" t="s">
        <v>159</v>
      </c>
      <c r="H5" s="22"/>
      <c r="I5" s="22"/>
      <c r="J5" s="22"/>
    </row>
    <row r="6" ht="30.0" customHeight="1">
      <c r="A6" s="24" t="s">
        <v>160</v>
      </c>
      <c r="B6" s="26">
        <v>5232.0</v>
      </c>
      <c r="C6" s="28">
        <v>133.0</v>
      </c>
      <c r="D6" s="31"/>
      <c r="E6" s="31"/>
      <c r="F6" s="88"/>
      <c r="G6" s="34" t="str">
        <f>HYPERLINK("https://www.rtve.es/noticias/20200309/mapa-del-coronavirus-espana/2004681.shtml","Fuente")</f>
        <v>Fuente</v>
      </c>
      <c r="H6" s="22"/>
      <c r="I6" s="22"/>
      <c r="J6" s="22"/>
    </row>
    <row r="7" ht="30.0" customHeight="1">
      <c r="A7" s="30" t="s">
        <v>162</v>
      </c>
      <c r="B7" s="32">
        <v>98.0</v>
      </c>
      <c r="C7" s="49">
        <v>0.0</v>
      </c>
      <c r="D7" s="40">
        <v>1.0</v>
      </c>
      <c r="E7" s="40"/>
      <c r="F7" s="57"/>
      <c r="G7" s="43" t="str">
        <f>HYPERLINK("http://plataforma.saude.gov.br/novocoronavirus/","Fuente")</f>
        <v>Fuente</v>
      </c>
      <c r="H7" s="22"/>
      <c r="I7" s="22"/>
      <c r="J7" s="22"/>
    </row>
    <row r="8" ht="30.0" customHeight="1">
      <c r="A8" s="30" t="s">
        <v>147</v>
      </c>
      <c r="B8" s="32">
        <v>43.0</v>
      </c>
      <c r="C8" s="49">
        <v>0.0</v>
      </c>
      <c r="D8" s="40"/>
      <c r="E8" s="40"/>
      <c r="F8" s="57"/>
      <c r="G8" s="43" t="str">
        <f>HYPERLINK("https://www.t13.cl/noticia/nacional/covid-19-aumentan-43-casos-confirmados-chile","Fuente")</f>
        <v>Fuente</v>
      </c>
      <c r="H8" s="22"/>
      <c r="I8" s="22"/>
      <c r="J8" s="22"/>
    </row>
    <row r="9" ht="30.0" customHeight="1">
      <c r="A9" s="30" t="s">
        <v>164</v>
      </c>
      <c r="B9" s="32">
        <v>26.0</v>
      </c>
      <c r="C9" s="49">
        <v>0.0</v>
      </c>
      <c r="D9" s="40"/>
      <c r="E9" s="40"/>
      <c r="F9" s="57"/>
      <c r="G9" s="43" t="str">
        <f>HYPERLINK("https://www.ministeriodesalud.go.cr/index.php/centro-de-prensa/noticias/741-noticias-2020/1567-se-activa-la-linea-1322-para-atencion-de-consultas-sobre-covid-19","Fuente")</f>
        <v>Fuente</v>
      </c>
      <c r="H9" s="22"/>
      <c r="I9" s="22"/>
      <c r="J9" s="22"/>
    </row>
    <row r="10" ht="30.0" customHeight="1">
      <c r="A10" s="30" t="s">
        <v>165</v>
      </c>
      <c r="B10" s="32">
        <v>21.0</v>
      </c>
      <c r="C10" s="49">
        <v>1.0</v>
      </c>
      <c r="D10" s="40"/>
      <c r="E10" s="40"/>
      <c r="F10" s="57"/>
      <c r="G10" s="43" t="str">
        <f>HYPERLINK("https://www.clarin.com/sociedad/coronavirus-argentina-confirmaron-casos-importados-21-contagiados_0_ZU0WjVc-.html","Fuente")</f>
        <v>Fuente</v>
      </c>
      <c r="H10" s="22"/>
      <c r="I10" s="22"/>
      <c r="J10" s="22"/>
    </row>
    <row r="11" ht="30.0" customHeight="1">
      <c r="A11" s="30" t="s">
        <v>161</v>
      </c>
      <c r="B11" s="32">
        <v>17.0</v>
      </c>
      <c r="C11" s="32">
        <v>0.0</v>
      </c>
      <c r="D11" s="37"/>
      <c r="E11" s="57"/>
      <c r="F11" s="40"/>
      <c r="G11" s="43" t="str">
        <f>HYPERLINK("https://twitter.com/Salud_Ec/status/1237506194740109313","Fuente")</f>
        <v>Fuente</v>
      </c>
      <c r="H11" s="22"/>
      <c r="I11" s="22"/>
      <c r="J11" s="22"/>
    </row>
    <row r="12" ht="30.0" customHeight="1">
      <c r="A12" s="30" t="s">
        <v>167</v>
      </c>
      <c r="B12" s="32">
        <v>17.0</v>
      </c>
      <c r="C12" s="49">
        <v>0.0</v>
      </c>
      <c r="D12" s="40"/>
      <c r="E12" s="40"/>
      <c r="F12" s="57"/>
      <c r="G12" s="43" t="str">
        <f>HYPERLINK("https://twitter.com/Minsa_Peru/status/1237916429975945217","Fuente")</f>
        <v>Fuente</v>
      </c>
      <c r="H12" s="22"/>
      <c r="I12" s="22"/>
      <c r="J12" s="22"/>
    </row>
    <row r="13" ht="30.0" customHeight="1">
      <c r="A13" s="30" t="s">
        <v>168</v>
      </c>
      <c r="B13" s="32">
        <v>14.0</v>
      </c>
      <c r="C13" s="49">
        <v>1.0</v>
      </c>
      <c r="D13" s="40"/>
      <c r="E13" s="40"/>
      <c r="F13" s="57"/>
      <c r="G13" s="43" t="str">
        <f>HYPERLINK("https://www.prensa.com/sociedad/coronavirus-10-mujeres-y-4-hombres-contagiados-en-panama/","Fuente")</f>
        <v>Fuente</v>
      </c>
      <c r="H13" s="22"/>
      <c r="I13" s="22"/>
      <c r="J13" s="22"/>
    </row>
    <row r="14" ht="30.0" customHeight="1">
      <c r="A14" s="30" t="s">
        <v>169</v>
      </c>
      <c r="B14" s="32">
        <v>13.0</v>
      </c>
      <c r="C14" s="49">
        <v>0.0</v>
      </c>
      <c r="D14" s="40">
        <v>1.0</v>
      </c>
      <c r="E14" s="40"/>
      <c r="F14" s="40">
        <v>4.0</v>
      </c>
      <c r="G14" s="43" t="str">
        <f>HYPERLINK("https://www.infobae.com/america/mexico/2020/03/11/coronavirus-se-confirmo-el-primer-caso-en-queretaro-suman-9-en-todo-el-pais/","Fuente")</f>
        <v>Fuente</v>
      </c>
      <c r="H14" s="22"/>
      <c r="I14" s="22"/>
      <c r="J14" s="22"/>
    </row>
    <row r="15" ht="30.0" customHeight="1">
      <c r="A15" s="30" t="s">
        <v>170</v>
      </c>
      <c r="B15" s="32">
        <v>9.0</v>
      </c>
      <c r="C15" s="49">
        <v>0.0</v>
      </c>
      <c r="D15" s="40"/>
      <c r="E15" s="40"/>
      <c r="F15" s="57"/>
      <c r="G15" s="43" t="str">
        <f>HYPERLINK("https://www.eltiempo.com/colombia/cali/estado-de-salud-de-colombiano-con-coronavirus-hospitalizado-en-buga-470598","Fuente")</f>
        <v>Fuente</v>
      </c>
      <c r="H15" s="22"/>
      <c r="I15" s="22"/>
      <c r="J15" s="22"/>
    </row>
    <row r="16" ht="30.0" customHeight="1">
      <c r="A16" s="30" t="s">
        <v>171</v>
      </c>
      <c r="B16" s="32">
        <v>5.0</v>
      </c>
      <c r="C16" s="49">
        <v>0.0</v>
      </c>
      <c r="D16" s="40"/>
      <c r="E16" s="40"/>
      <c r="F16" s="57"/>
      <c r="G16" s="43" t="str">
        <f>HYPERLINK("https://listindiario.com/la-republica/2020/03/09/607425/ya-suman-cinco-los-casos-de-coronavirus-en-el-pais","Fuente")</f>
        <v>Fuente</v>
      </c>
      <c r="H16" s="22"/>
      <c r="I16" s="22"/>
      <c r="J16" s="22"/>
    </row>
    <row r="17" ht="30.0" customHeight="1">
      <c r="A17" s="30" t="s">
        <v>172</v>
      </c>
      <c r="B17" s="32">
        <v>5.0</v>
      </c>
      <c r="C17" s="49">
        <v>0.0</v>
      </c>
      <c r="D17" s="40">
        <v>1.0</v>
      </c>
      <c r="E17" s="40"/>
      <c r="F17" s="57"/>
      <c r="G17" s="43" t="str">
        <f>HYPERLINK("https://twitter.com/MazzoleniJulio/status/1237530868287041536","Fuente")</f>
        <v>Fuente</v>
      </c>
      <c r="H17" s="22"/>
      <c r="I17" s="22"/>
      <c r="J17" s="22"/>
    </row>
    <row r="18" ht="30.0" customHeight="1">
      <c r="A18" s="30" t="s">
        <v>174</v>
      </c>
      <c r="B18" s="32">
        <v>3.0</v>
      </c>
      <c r="C18" s="49">
        <v>0.0</v>
      </c>
      <c r="D18" s="40"/>
      <c r="E18" s="40"/>
      <c r="F18" s="57"/>
      <c r="G18" s="43" t="str">
        <f>HYPERLINK("https://twitter.com/DeItaOne/status/1237904234206711808","Fuente")</f>
        <v>Fuente</v>
      </c>
      <c r="H18" s="22"/>
      <c r="I18" s="22"/>
      <c r="J18" s="22"/>
    </row>
    <row r="19" ht="30.0" customHeight="1">
      <c r="A19" s="30" t="s">
        <v>175</v>
      </c>
      <c r="B19" s="32">
        <v>2.0</v>
      </c>
      <c r="C19" s="49">
        <v>0.0</v>
      </c>
      <c r="D19" s="40"/>
      <c r="E19" s="40"/>
      <c r="F19" s="57"/>
      <c r="G19" s="43" t="str">
        <f>HYPERLINK("https://www.minsalud.gob.bo/3967-ministro-de-salud-reporta-dos-casos-confirmados-de-coronavirus-y-pide-calma-a-la-poblacion","Fuente")</f>
        <v>Fuente</v>
      </c>
      <c r="H19" s="22"/>
      <c r="I19" s="22"/>
      <c r="J19" s="22"/>
    </row>
    <row r="20" ht="30.0" customHeight="1">
      <c r="A20" s="30" t="s">
        <v>176</v>
      </c>
      <c r="B20" s="32">
        <v>2.0</v>
      </c>
      <c r="C20" s="49">
        <v>0.0</v>
      </c>
      <c r="D20" s="40"/>
      <c r="E20" s="40"/>
      <c r="F20" s="57"/>
      <c r="G20" s="43" t="str">
        <f>HYPERLINK("https://twitter.com/saludhn/status/1237652409687724034","Fuente")</f>
        <v>Fuente</v>
      </c>
      <c r="H20" s="22"/>
      <c r="I20" s="22"/>
      <c r="J20" s="22"/>
    </row>
    <row r="21" ht="30.0" customHeight="1">
      <c r="A21" s="60" t="s">
        <v>39</v>
      </c>
      <c r="B21" s="62">
        <f t="shared" ref="B21:C21" si="2">SUM(B6:B20)</f>
        <v>5507</v>
      </c>
      <c r="C21" s="62">
        <f t="shared" si="2"/>
        <v>135</v>
      </c>
      <c r="D21" s="62">
        <f t="shared" ref="D21:F21" si="3">SUM(D6:D16)</f>
        <v>2</v>
      </c>
      <c r="E21" s="62">
        <f t="shared" si="3"/>
        <v>0</v>
      </c>
      <c r="F21" s="62">
        <f t="shared" si="3"/>
        <v>4</v>
      </c>
      <c r="G21" s="63"/>
      <c r="H21" s="22"/>
      <c r="I21" s="22"/>
      <c r="J21" s="22"/>
    </row>
    <row r="22">
      <c r="A22" s="73"/>
      <c r="B22" s="71"/>
      <c r="C22" s="71"/>
      <c r="D22" s="71"/>
      <c r="E22" s="71"/>
      <c r="F22" s="71"/>
      <c r="G22" s="4"/>
      <c r="H22" s="4"/>
      <c r="I22" s="4"/>
      <c r="J22" s="4"/>
    </row>
    <row r="23">
      <c r="A23" s="68"/>
      <c r="B23" s="70"/>
      <c r="C23" s="71"/>
      <c r="D23" s="71"/>
      <c r="E23" s="71"/>
      <c r="F23" s="71"/>
      <c r="G23" s="4"/>
      <c r="H23" s="4"/>
      <c r="I23" s="4"/>
      <c r="J23" s="4"/>
    </row>
    <row r="24">
      <c r="A24" s="73"/>
      <c r="B24" s="71"/>
      <c r="C24" s="71"/>
      <c r="D24" s="71"/>
      <c r="E24" s="71"/>
      <c r="F24" s="71"/>
      <c r="G24" s="4"/>
      <c r="H24" s="4"/>
      <c r="I24" s="4"/>
      <c r="J24" s="4"/>
    </row>
    <row r="25">
      <c r="A25" s="73"/>
      <c r="B25" s="71"/>
      <c r="C25" s="71"/>
      <c r="D25" s="71"/>
      <c r="E25" s="71"/>
      <c r="F25" s="71"/>
      <c r="G25" s="4"/>
      <c r="H25" s="4"/>
      <c r="I25" s="4"/>
      <c r="J25" s="4"/>
    </row>
  </sheetData>
  <mergeCells count="5">
    <mergeCell ref="A1:G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