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jamesvalles/Desktop/covid19daily/"/>
    </mc:Choice>
  </mc:AlternateContent>
  <xr:revisionPtr revIDLastSave="0" documentId="8_{1CC81131-CC41-3749-8F8D-7F1EF6A897B4}" xr6:coauthVersionLast="40" xr6:coauthVersionMax="40" xr10:uidLastSave="{00000000-0000-0000-0000-000000000000}"/>
  <bookViews>
    <workbookView xWindow="0" yWindow="460" windowWidth="33600" windowHeight="19700" xr2:uid="{00000000-000D-0000-FFFF-FFFF00000000}"/>
  </bookViews>
  <sheets>
    <sheet name="World" sheetId="1" r:id="rId1"/>
    <sheet name="USA" sheetId="2" r:id="rId2"/>
    <sheet name="Previous" sheetId="3" r:id="rId3"/>
    <sheet name="China" sheetId="4" r:id="rId4"/>
    <sheet name="Canada" sheetId="5" r:id="rId5"/>
    <sheet name="Australia" sheetId="6" r:id="rId6"/>
    <sheet name="América Latina y España" sheetId="7" r:id="rId7"/>
    <sheet name="Cases" sheetId="10" r:id="rId8"/>
    <sheet name="Deaths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7" l="1"/>
  <c r="E21" i="7"/>
  <c r="D21" i="7"/>
  <c r="C21" i="7"/>
  <c r="B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D3" i="7"/>
  <c r="B3" i="7"/>
  <c r="A3" i="7"/>
  <c r="F17" i="6"/>
  <c r="E17" i="6"/>
  <c r="D17" i="6"/>
  <c r="C17" i="6"/>
  <c r="B17" i="6"/>
  <c r="G13" i="6"/>
  <c r="G12" i="6"/>
  <c r="G11" i="6"/>
  <c r="G10" i="6"/>
  <c r="G9" i="6"/>
  <c r="G8" i="6"/>
  <c r="G7" i="6"/>
  <c r="G6" i="6"/>
  <c r="D3" i="6"/>
  <c r="B3" i="6"/>
  <c r="A3" i="6"/>
  <c r="F19" i="5"/>
  <c r="E19" i="5"/>
  <c r="D19" i="5"/>
  <c r="C19" i="5"/>
  <c r="B19" i="5"/>
  <c r="G15" i="5"/>
  <c r="G14" i="5"/>
  <c r="G13" i="5"/>
  <c r="G12" i="5"/>
  <c r="G11" i="5"/>
  <c r="G10" i="5"/>
  <c r="G9" i="5"/>
  <c r="G8" i="5"/>
  <c r="G7" i="5"/>
  <c r="G6" i="5"/>
  <c r="D3" i="5"/>
  <c r="B3" i="5"/>
  <c r="A3" i="5"/>
  <c r="F14" i="4"/>
  <c r="C14" i="4"/>
  <c r="B14" i="4"/>
  <c r="G12" i="4"/>
  <c r="G11" i="4"/>
  <c r="G10" i="4"/>
  <c r="G9" i="4"/>
  <c r="G8" i="4"/>
  <c r="G7" i="4"/>
  <c r="G6" i="4"/>
  <c r="D3" i="4"/>
  <c r="B3" i="4"/>
  <c r="A3" i="4"/>
  <c r="F66" i="2"/>
  <c r="D3" i="2" s="1"/>
  <c r="E66" i="2"/>
  <c r="D66" i="2"/>
  <c r="C66" i="2"/>
  <c r="B66" i="2"/>
  <c r="G62" i="2"/>
  <c r="G61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B3" i="2"/>
  <c r="A3" i="2"/>
  <c r="F173" i="1"/>
  <c r="E173" i="1"/>
  <c r="D173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C12" i="1"/>
  <c r="C173" i="1" s="1"/>
  <c r="B4" i="1" s="1"/>
  <c r="F4" i="1" s="1"/>
  <c r="B12" i="1"/>
  <c r="B173" i="1" s="1"/>
  <c r="A4" i="1" s="1"/>
  <c r="G11" i="1"/>
  <c r="G10" i="1"/>
  <c r="G9" i="1"/>
  <c r="G8" i="1"/>
  <c r="G7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600-000001000000}">
      <text>
        <r>
          <rPr>
            <sz val="10"/>
            <color rgb="FF000000"/>
            <rFont val="Arial"/>
          </rPr>
          <t>2,955</t>
        </r>
      </text>
    </comment>
    <comment ref="C6" authorId="0" shapeId="0" xr:uid="{00000000-0006-0000-0600-000002000000}">
      <text>
        <r>
          <rPr>
            <sz val="10"/>
            <color rgb="FF000000"/>
            <rFont val="Arial"/>
          </rPr>
          <t>78</t>
        </r>
      </text>
    </comment>
    <comment ref="B7" authorId="0" shapeId="0" xr:uid="{00000000-0006-0000-0600-000003000000}">
      <text>
        <r>
          <rPr>
            <sz val="10"/>
            <color rgb="FF000000"/>
            <rFont val="Arial"/>
          </rPr>
          <t>29</t>
        </r>
      </text>
    </comment>
    <comment ref="B8" authorId="0" shapeId="0" xr:uid="{00000000-0006-0000-0600-000004000000}">
      <text>
        <r>
          <rPr>
            <sz val="10"/>
            <color rgb="FF000000"/>
            <rFont val="Arial"/>
          </rPr>
          <t>20</t>
        </r>
      </text>
    </comment>
    <comment ref="B9" authorId="0" shapeId="0" xr:uid="{00000000-0006-0000-0600-000005000000}">
      <text>
        <r>
          <rPr>
            <sz val="10"/>
            <color rgb="FF000000"/>
            <rFont val="Arial"/>
          </rPr>
          <t>4</t>
        </r>
      </text>
    </comment>
  </commentList>
</comments>
</file>

<file path=xl/sharedStrings.xml><?xml version="1.0" encoding="utf-8"?>
<sst xmlns="http://schemas.openxmlformats.org/spreadsheetml/2006/main" count="580" uniqueCount="293">
  <si>
    <t>Updated throughout the day</t>
  </si>
  <si>
    <t>CASES</t>
  </si>
  <si>
    <t>DEATHS</t>
  </si>
  <si>
    <t>RECOVERED</t>
  </si>
  <si>
    <t>OTHER PLACES</t>
  </si>
  <si>
    <t>Cases</t>
  </si>
  <si>
    <t>Deaths</t>
  </si>
  <si>
    <t>China</t>
  </si>
  <si>
    <t>UNRESOLVED</t>
  </si>
  <si>
    <t>Italy</t>
  </si>
  <si>
    <t>Iran</t>
  </si>
  <si>
    <t>Spain</t>
  </si>
  <si>
    <t>South Korea</t>
  </si>
  <si>
    <t>Germany</t>
  </si>
  <si>
    <t>France</t>
  </si>
  <si>
    <t>United States</t>
  </si>
  <si>
    <t>Switzerland</t>
  </si>
  <si>
    <t>United Kingdom</t>
  </si>
  <si>
    <t>Netherlands</t>
  </si>
  <si>
    <t>Norway</t>
  </si>
  <si>
    <t>Belgium</t>
  </si>
  <si>
    <t>Sweden</t>
  </si>
  <si>
    <t>Austria</t>
  </si>
  <si>
    <t>Denmark</t>
  </si>
  <si>
    <t>UNITED STATES</t>
  </si>
  <si>
    <t>Japan</t>
  </si>
  <si>
    <t>Diamond Princess</t>
  </si>
  <si>
    <t>Malaysia</t>
  </si>
  <si>
    <t>Qatar</t>
  </si>
  <si>
    <t>Canada</t>
  </si>
  <si>
    <t>Australia</t>
  </si>
  <si>
    <t>Serious</t>
  </si>
  <si>
    <t>Greece</t>
  </si>
  <si>
    <t>Portugal</t>
  </si>
  <si>
    <t>Critical</t>
  </si>
  <si>
    <t>Recovered</t>
  </si>
  <si>
    <t>Links</t>
  </si>
  <si>
    <t>Czech Republic</t>
  </si>
  <si>
    <t>Israel</t>
  </si>
  <si>
    <t>Finland</t>
  </si>
  <si>
    <t>Brazil</t>
  </si>
  <si>
    <t>Singapore</t>
  </si>
  <si>
    <t>Ireland</t>
  </si>
  <si>
    <t>New York</t>
  </si>
  <si>
    <t>Bahrain</t>
  </si>
  <si>
    <t>Slovenia</t>
  </si>
  <si>
    <t>Iceland</t>
  </si>
  <si>
    <t>Pakistan</t>
  </si>
  <si>
    <t>Poland</t>
  </si>
  <si>
    <t>Estonia</t>
  </si>
  <si>
    <t>Romania</t>
  </si>
  <si>
    <t>Egypt</t>
  </si>
  <si>
    <t>Chile</t>
  </si>
  <si>
    <t>Hong Kong</t>
  </si>
  <si>
    <t>Thailand</t>
  </si>
  <si>
    <t>Philippines</t>
  </si>
  <si>
    <t>Indonesia</t>
  </si>
  <si>
    <t>Saudi Arabia</t>
  </si>
  <si>
    <t>Iraq</t>
  </si>
  <si>
    <t>India</t>
  </si>
  <si>
    <t>Kuwait</t>
  </si>
  <si>
    <t>San Marino</t>
  </si>
  <si>
    <t>Lebanon</t>
  </si>
  <si>
    <t>United Arab Emirates</t>
  </si>
  <si>
    <t>Russia</t>
  </si>
  <si>
    <t>Peru</t>
  </si>
  <si>
    <t>Luxembourg</t>
  </si>
  <si>
    <t>Taiwan</t>
  </si>
  <si>
    <t>South Africa</t>
  </si>
  <si>
    <t>Slovakia</t>
  </si>
  <si>
    <t>Algeria</t>
  </si>
  <si>
    <t>Vietnam</t>
  </si>
  <si>
    <t>Argentina</t>
  </si>
  <si>
    <t>Croatia</t>
  </si>
  <si>
    <t>Serbia</t>
  </si>
  <si>
    <t>Panama</t>
  </si>
  <si>
    <t>Mexico</t>
  </si>
  <si>
    <t>Bulgaria</t>
  </si>
  <si>
    <t>Brunei</t>
  </si>
  <si>
    <t>Turkey</t>
  </si>
  <si>
    <t>Colombia</t>
  </si>
  <si>
    <t>Albania</t>
  </si>
  <si>
    <t>Palestine</t>
  </si>
  <si>
    <t>Ecuador</t>
  </si>
  <si>
    <t>Morocco</t>
  </si>
  <si>
    <t>Costa Rica</t>
  </si>
  <si>
    <t>Georgia</t>
  </si>
  <si>
    <t>Hungary</t>
  </si>
  <si>
    <t>Washington</t>
  </si>
  <si>
    <t>Cyprus</t>
  </si>
  <si>
    <t>Latvia</t>
  </si>
  <si>
    <t>-</t>
  </si>
  <si>
    <t>Armenia</t>
  </si>
  <si>
    <t>Jordan</t>
  </si>
  <si>
    <t>Belarus</t>
  </si>
  <si>
    <t>Senegal</t>
  </si>
  <si>
    <t>Azerbaijan</t>
  </si>
  <si>
    <t>Oman</t>
  </si>
  <si>
    <t>Bosnia</t>
  </si>
  <si>
    <t>Moldova</t>
  </si>
  <si>
    <t>Afghanistan</t>
  </si>
  <si>
    <t>Malta</t>
  </si>
  <si>
    <t>Tunisia</t>
  </si>
  <si>
    <t>North Macedonia</t>
  </si>
  <si>
    <t>Sri Lanka</t>
  </si>
  <si>
    <t>Venezuela</t>
  </si>
  <si>
    <t>Lithuania</t>
  </si>
  <si>
    <t>Jamaica</t>
  </si>
  <si>
    <t>Andorra</t>
  </si>
  <si>
    <t>Maldives</t>
  </si>
  <si>
    <t>Cambodia</t>
  </si>
  <si>
    <t>Dominican Republic</t>
  </si>
  <si>
    <t>Macau</t>
  </si>
  <si>
    <t>Bolivia</t>
  </si>
  <si>
    <t>New Zealand</t>
  </si>
  <si>
    <t>Kazakhstan</t>
  </si>
  <si>
    <t>Paraguay</t>
  </si>
  <si>
    <t>Bangladesh</t>
  </si>
  <si>
    <t>Liechtenstein</t>
  </si>
  <si>
    <t>Burkina Faso</t>
  </si>
  <si>
    <t>Rwanda</t>
  </si>
  <si>
    <t>Ghana</t>
  </si>
  <si>
    <t>Uzbekistan</t>
  </si>
  <si>
    <t>Honduras</t>
  </si>
  <si>
    <t>Guatemala</t>
  </si>
  <si>
    <t>Cameroon</t>
  </si>
  <si>
    <t>Ivory Coast</t>
  </si>
  <si>
    <t>Ethiopia</t>
  </si>
  <si>
    <t>Ukraine</t>
  </si>
  <si>
    <t>Seychelles</t>
  </si>
  <si>
    <t>DR Congo</t>
  </si>
  <si>
    <t>Gibraltar</t>
  </si>
  <si>
    <t>Kenya</t>
  </si>
  <si>
    <t>Nigeria</t>
  </si>
  <si>
    <t>California</t>
  </si>
  <si>
    <t>Monaco</t>
  </si>
  <si>
    <t>Namibia</t>
  </si>
  <si>
    <t>Bahamas</t>
  </si>
  <si>
    <t>Liberia</t>
  </si>
  <si>
    <t>Eswatini</t>
  </si>
  <si>
    <t>Equatorial Guinea</t>
  </si>
  <si>
    <t>Gabon</t>
  </si>
  <si>
    <t>Congo Republic</t>
  </si>
  <si>
    <t>Sudan</t>
  </si>
  <si>
    <t>Mauritania</t>
  </si>
  <si>
    <t>Central African Republic</t>
  </si>
  <si>
    <t>Guinea</t>
  </si>
  <si>
    <t>Togo</t>
  </si>
  <si>
    <t>Nepal</t>
  </si>
  <si>
    <t>Bhutan</t>
  </si>
  <si>
    <t>Vatican City</t>
  </si>
  <si>
    <t>Queue</t>
  </si>
  <si>
    <t>New Jersey</t>
  </si>
  <si>
    <t>Louisiana</t>
  </si>
  <si>
    <t>Florida</t>
  </si>
  <si>
    <t>TOTAL</t>
  </si>
  <si>
    <t>Illinois</t>
  </si>
  <si>
    <t>Michigan</t>
  </si>
  <si>
    <t>Massachusetts</t>
  </si>
  <si>
    <t>Colorado</t>
  </si>
  <si>
    <t>Texas</t>
  </si>
  <si>
    <t>Pennsylvania</t>
  </si>
  <si>
    <t>Connecticut</t>
  </si>
  <si>
    <t>Wisconsin</t>
  </si>
  <si>
    <t>Tennessee</t>
  </si>
  <si>
    <t>MAINLAND CHINA</t>
  </si>
  <si>
    <t>Ohio</t>
  </si>
  <si>
    <t>Hubei province (includes Wuhan)</t>
  </si>
  <si>
    <t>Maryland</t>
  </si>
  <si>
    <t>North Carolina</t>
  </si>
  <si>
    <t>Guangdong province</t>
  </si>
  <si>
    <t>Nevada</t>
  </si>
  <si>
    <t>Henan province</t>
  </si>
  <si>
    <t>Virginia</t>
  </si>
  <si>
    <t>Zhejiang province</t>
  </si>
  <si>
    <t>Minnesota</t>
  </si>
  <si>
    <t>Oregon</t>
  </si>
  <si>
    <t>Hunan province</t>
  </si>
  <si>
    <t>South Carolina</t>
  </si>
  <si>
    <t>Beijing</t>
  </si>
  <si>
    <t>Alabama</t>
  </si>
  <si>
    <t>Shanghai</t>
  </si>
  <si>
    <t>Utah</t>
  </si>
  <si>
    <t>Other regions</t>
  </si>
  <si>
    <t>&lt;16</t>
  </si>
  <si>
    <t>Arkansas</t>
  </si>
  <si>
    <t>Indiana</t>
  </si>
  <si>
    <t>Maine</t>
  </si>
  <si>
    <t>Mississippi</t>
  </si>
  <si>
    <t>Diamond Princess (repatriated)</t>
  </si>
  <si>
    <t>Oklahoma</t>
  </si>
  <si>
    <t>Nebraska</t>
  </si>
  <si>
    <t>New Hampshire</t>
  </si>
  <si>
    <t>Iowa</t>
  </si>
  <si>
    <t>Rhode Island</t>
  </si>
  <si>
    <t>Kentucky</t>
  </si>
  <si>
    <t>District of Columbia</t>
  </si>
  <si>
    <t>New Mexico</t>
  </si>
  <si>
    <t>Kansas</t>
  </si>
  <si>
    <t>Delaware</t>
  </si>
  <si>
    <t>Arizona</t>
  </si>
  <si>
    <t>Hawaii</t>
  </si>
  <si>
    <t>Missouri</t>
  </si>
  <si>
    <t>CANADA</t>
  </si>
  <si>
    <t>Idaho</t>
  </si>
  <si>
    <t>British Columbia</t>
  </si>
  <si>
    <t>Vermont</t>
  </si>
  <si>
    <t>Ontario</t>
  </si>
  <si>
    <t>Grand Princess</t>
  </si>
  <si>
    <t>Wyoming</t>
  </si>
  <si>
    <t>Alberta</t>
  </si>
  <si>
    <t>South Dakota</t>
  </si>
  <si>
    <t>Quebec</t>
  </si>
  <si>
    <t>Montana</t>
  </si>
  <si>
    <t>Manitoba</t>
  </si>
  <si>
    <t>Guam</t>
  </si>
  <si>
    <t>Nova Scotia</t>
  </si>
  <si>
    <t>North Dakota</t>
  </si>
  <si>
    <t>Saskatchewan</t>
  </si>
  <si>
    <t>Alaska</t>
  </si>
  <si>
    <t>Puerto Rico</t>
  </si>
  <si>
    <t>New Brunswick</t>
  </si>
  <si>
    <t>Wuhan (repatriated)</t>
  </si>
  <si>
    <t>Newfoundland &amp; Labrador</t>
  </si>
  <si>
    <t>U.S. Virgin Islands</t>
  </si>
  <si>
    <t>Prince Edward Island</t>
  </si>
  <si>
    <t>West Virginia</t>
  </si>
  <si>
    <t>Northwest Territories</t>
  </si>
  <si>
    <t>American Samoa</t>
  </si>
  <si>
    <t>Nunavut</t>
  </si>
  <si>
    <t>Yukon</t>
  </si>
  <si>
    <t>Northern Mariana Islands</t>
  </si>
  <si>
    <t>U.S. TOTAL</t>
  </si>
  <si>
    <t>Última actualización: 11 de Marzo de 2020 a las 7:40 p.m. (hora del centro)</t>
  </si>
  <si>
    <t>CASOS</t>
  </si>
  <si>
    <t>MUERTES</t>
  </si>
  <si>
    <t>RECUPERADOS</t>
  </si>
  <si>
    <t>AUSTRALIA</t>
  </si>
  <si>
    <t>New South Wales</t>
  </si>
  <si>
    <t>Mundo Hispano</t>
  </si>
  <si>
    <t>Casos</t>
  </si>
  <si>
    <t>Muertes</t>
  </si>
  <si>
    <t>Serios</t>
  </si>
  <si>
    <t>Criticos</t>
  </si>
  <si>
    <t>Recuperados</t>
  </si>
  <si>
    <t>Fuente</t>
  </si>
  <si>
    <t>España</t>
  </si>
  <si>
    <t>Queensland</t>
  </si>
  <si>
    <t>Victoria</t>
  </si>
  <si>
    <t>Brasil</t>
  </si>
  <si>
    <t>South Australia</t>
  </si>
  <si>
    <t>Western Australia</t>
  </si>
  <si>
    <t>Tasmania</t>
  </si>
  <si>
    <t>Canberra (ACT)</t>
  </si>
  <si>
    <t>Panamá</t>
  </si>
  <si>
    <t>Northern Territory</t>
  </si>
  <si>
    <t>México</t>
  </si>
  <si>
    <t>External territories</t>
  </si>
  <si>
    <t>Jervis Bay Territory</t>
  </si>
  <si>
    <t>Rep. Dominicana</t>
  </si>
  <si>
    <t>TBD</t>
  </si>
  <si>
    <t>Cuba</t>
  </si>
  <si>
    <t>Uruguay</t>
  </si>
  <si>
    <t>Northern Cyprus</t>
  </si>
  <si>
    <t>Kosovo</t>
  </si>
  <si>
    <t>Trinidad and Tobago</t>
  </si>
  <si>
    <t>Montenegro</t>
  </si>
  <si>
    <t>Jersey</t>
  </si>
  <si>
    <t>Mongolia</t>
  </si>
  <si>
    <t>French Polynesia</t>
  </si>
  <si>
    <t>Tanzania</t>
  </si>
  <si>
    <t>Guyana</t>
  </si>
  <si>
    <t>Aruba</t>
  </si>
  <si>
    <t>Kyrgyzstan</t>
  </si>
  <si>
    <t>Curaçao</t>
  </si>
  <si>
    <t>Mauritius</t>
  </si>
  <si>
    <t>Barbados</t>
  </si>
  <si>
    <t>Saint Lucia</t>
  </si>
  <si>
    <t>Greenland</t>
  </si>
  <si>
    <t>Zambia</t>
  </si>
  <si>
    <t>Benin</t>
  </si>
  <si>
    <t>El Salvador</t>
  </si>
  <si>
    <t>Saint Vincent and the Grenadines</t>
  </si>
  <si>
    <t>Suriname</t>
  </si>
  <si>
    <t>Guernsey</t>
  </si>
  <si>
    <t>Cayman Islands</t>
  </si>
  <si>
    <t>Nicaragua</t>
  </si>
  <si>
    <t>Djibouti</t>
  </si>
  <si>
    <t>Antigua and Barbuda</t>
  </si>
  <si>
    <t>Montserrat</t>
  </si>
  <si>
    <t>Gambia</t>
  </si>
  <si>
    <t>Somalia</t>
  </si>
  <si>
    <t>MARCH 19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</si>
</sst>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31">
    <font>
      <sz val="10"/>
      <color rgb="FF000000"/>
      <name val="Arial"/>
    </font>
    <font>
      <b/>
      <i/>
      <sz val="12"/>
      <color rgb="FF000000"/>
      <name val="Roboto"/>
    </font>
    <font>
      <b/>
      <i/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b/>
      <sz val="13"/>
      <color rgb="FF000000"/>
      <name val="Roboto"/>
    </font>
    <font>
      <b/>
      <sz val="13"/>
      <color theme="1"/>
      <name val="Roboto"/>
    </font>
    <font>
      <b/>
      <sz val="13"/>
      <color rgb="FFFF0000"/>
      <name val="Roboto"/>
    </font>
    <font>
      <b/>
      <sz val="11"/>
      <color theme="1"/>
      <name val="Roboto"/>
    </font>
    <font>
      <b/>
      <sz val="11"/>
      <color rgb="FF000000"/>
      <name val="Roboto"/>
    </font>
    <font>
      <sz val="11"/>
      <color rgb="FF000000"/>
      <name val="Roboto"/>
    </font>
    <font>
      <b/>
      <sz val="13"/>
      <color rgb="FF6AA84F"/>
      <name val="Roboto"/>
    </font>
    <font>
      <b/>
      <sz val="13"/>
      <color rgb="FFE69138"/>
      <name val="Roboto"/>
    </font>
    <font>
      <sz val="11"/>
      <name val="Arial"/>
    </font>
    <font>
      <u/>
      <sz val="11"/>
      <color rgb="FF0A0A0A"/>
      <name val="Roboto"/>
    </font>
    <font>
      <u/>
      <sz val="11"/>
      <color rgb="FF0A0A0A"/>
      <name val="Roboto"/>
    </font>
    <font>
      <u/>
      <sz val="11"/>
      <color rgb="FF0A0A0A"/>
      <name val="Roboto"/>
    </font>
    <font>
      <u/>
      <sz val="11"/>
      <color rgb="FF0A0A0A"/>
      <name val="Roboto"/>
    </font>
    <font>
      <sz val="11"/>
      <color rgb="FFFFFFFF"/>
      <name val="Roboto"/>
    </font>
    <font>
      <b/>
      <sz val="11"/>
      <color rgb="FFFF0000"/>
      <name val="Arial"/>
    </font>
    <font>
      <b/>
      <sz val="11"/>
      <color rgb="FFFF0000"/>
      <name val="Roboto"/>
    </font>
    <font>
      <sz val="11"/>
      <color rgb="FF0A0A0A"/>
      <name val="Roboto"/>
    </font>
    <font>
      <b/>
      <sz val="11"/>
      <color theme="1"/>
      <name val="Arial"/>
    </font>
    <font>
      <sz val="11"/>
      <color rgb="FF999999"/>
      <name val="Arial"/>
    </font>
    <font>
      <b/>
      <i/>
      <sz val="11"/>
      <color rgb="FF000000"/>
      <name val="Roboto"/>
    </font>
    <font>
      <sz val="11"/>
      <color rgb="FF000000"/>
      <name val="Arial"/>
    </font>
    <font>
      <sz val="10"/>
      <name val="Arial"/>
    </font>
    <font>
      <sz val="11"/>
      <color rgb="FFFFFFFF"/>
      <name val="Arial"/>
    </font>
    <font>
      <sz val="11"/>
      <color rgb="FFFFFFFF"/>
      <name val="Arial"/>
    </font>
    <font>
      <b/>
      <sz val="11"/>
      <color rgb="FF38761D"/>
      <name val="Roboto"/>
    </font>
    <font>
      <sz val="12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Alignment="1"/>
    <xf numFmtId="0" fontId="6" fillId="0" borderId="0" xfId="0" applyFont="1" applyAlignment="1">
      <alignment horizontal="left"/>
    </xf>
    <xf numFmtId="3" fontId="7" fillId="0" borderId="0" xfId="0" applyNumberFormat="1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/>
    <xf numFmtId="0" fontId="9" fillId="2" borderId="0" xfId="0" applyFont="1" applyFill="1" applyAlignment="1">
      <alignment horizontal="center"/>
    </xf>
    <xf numFmtId="0" fontId="10" fillId="3" borderId="0" xfId="0" applyFont="1" applyFill="1" applyAlignment="1"/>
    <xf numFmtId="3" fontId="7" fillId="0" borderId="0" xfId="0" applyNumberFormat="1" applyFont="1" applyAlignment="1">
      <alignment horizontal="left"/>
    </xf>
    <xf numFmtId="3" fontId="10" fillId="3" borderId="0" xfId="0" applyNumberFormat="1" applyFont="1" applyFill="1" applyAlignment="1">
      <alignment horizontal="center"/>
    </xf>
    <xf numFmtId="0" fontId="3" fillId="0" borderId="0" xfId="0" applyFont="1" applyAlignment="1"/>
    <xf numFmtId="0" fontId="10" fillId="4" borderId="0" xfId="0" applyFont="1" applyFill="1" applyAlignment="1"/>
    <xf numFmtId="3" fontId="10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3" fillId="3" borderId="0" xfId="0" applyFont="1" applyFill="1"/>
    <xf numFmtId="0" fontId="10" fillId="4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3" fontId="11" fillId="3" borderId="0" xfId="0" applyNumberFormat="1" applyFont="1" applyFill="1" applyAlignment="1">
      <alignment horizontal="left"/>
    </xf>
    <xf numFmtId="0" fontId="3" fillId="3" borderId="0" xfId="0" applyFont="1" applyFill="1" applyAlignment="1"/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9" fillId="0" borderId="2" xfId="0" applyFont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3" fontId="10" fillId="4" borderId="0" xfId="0" applyNumberFormat="1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4" fillId="4" borderId="0" xfId="0" applyFont="1" applyFill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/>
    </xf>
    <xf numFmtId="0" fontId="13" fillId="5" borderId="0" xfId="0" applyFont="1" applyFill="1" applyAlignment="1">
      <alignment vertical="center"/>
    </xf>
    <xf numFmtId="3" fontId="3" fillId="0" borderId="2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3" fontId="10" fillId="2" borderId="0" xfId="0" applyNumberFormat="1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4" fillId="3" borderId="0" xfId="0" applyFont="1" applyFill="1"/>
    <xf numFmtId="3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/>
    <xf numFmtId="0" fontId="10" fillId="0" borderId="2" xfId="0" applyFont="1" applyBorder="1" applyAlignment="1">
      <alignment horizontal="center" vertical="center"/>
    </xf>
    <xf numFmtId="0" fontId="18" fillId="3" borderId="0" xfId="0" applyFont="1" applyFill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8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9" fillId="4" borderId="0" xfId="0" applyFont="1" applyFill="1" applyAlignment="1"/>
    <xf numFmtId="3" fontId="19" fillId="4" borderId="0" xfId="0" applyNumberFormat="1" applyFont="1" applyFill="1" applyAlignment="1">
      <alignment horizontal="center"/>
    </xf>
    <xf numFmtId="3" fontId="20" fillId="4" borderId="0" xfId="0" applyNumberFormat="1" applyFont="1" applyFill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3" fontId="3" fillId="0" borderId="0" xfId="0" applyNumberFormat="1" applyFont="1" applyAlignment="1">
      <alignment horizontal="center" vertical="center" wrapText="1"/>
    </xf>
    <xf numFmtId="3" fontId="3" fillId="4" borderId="0" xfId="0" applyNumberFormat="1" applyFont="1" applyFill="1" applyAlignment="1">
      <alignment horizontal="center" vertical="center" wrapText="1"/>
    </xf>
    <xf numFmtId="0" fontId="23" fillId="5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3" fillId="3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/>
    </xf>
    <xf numFmtId="3" fontId="2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4" fillId="0" borderId="0" xfId="0" applyFont="1" applyAlignment="1"/>
    <xf numFmtId="164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3" fillId="6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 wrapText="1"/>
    </xf>
    <xf numFmtId="0" fontId="26" fillId="3" borderId="0" xfId="0" applyFont="1" applyFill="1"/>
    <xf numFmtId="0" fontId="21" fillId="2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left" vertical="center" wrapText="1"/>
    </xf>
    <xf numFmtId="3" fontId="18" fillId="3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28" fillId="3" borderId="0" xfId="0" applyFont="1" applyFill="1" applyAlignment="1">
      <alignment vertical="center"/>
    </xf>
    <xf numFmtId="0" fontId="27" fillId="3" borderId="0" xfId="0" applyFont="1" applyFill="1" applyAlignment="1">
      <alignment vertical="center"/>
    </xf>
    <xf numFmtId="0" fontId="13" fillId="3" borderId="0" xfId="0" applyFont="1" applyFill="1"/>
    <xf numFmtId="3" fontId="13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3" fontId="19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3" fontId="7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/>
    </xf>
    <xf numFmtId="0" fontId="30" fillId="0" borderId="0" xfId="0" applyFont="1" applyAlignment="1">
      <alignment horizontal="left"/>
    </xf>
  </cellXfs>
  <cellStyles count="1">
    <cellStyle name="Normal" xfId="0" builtinId="0"/>
  </cellStyles>
  <dxfs count="1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</dxfs>
  <tableStyles count="6">
    <tableStyle name="China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Canada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USA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América Latina y España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Australia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World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/>
              <a:t>Overall cases per country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A73-6B4A-B696-C56F0C2B977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A73-6B4A-B696-C56F0C2B977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A73-6B4A-B696-C56F0C2B9779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FA73-6B4A-B696-C56F0C2B9779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FA73-6B4A-B696-C56F0C2B9779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FA73-6B4A-B696-C56F0C2B9779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FA73-6B4A-B696-C56F0C2B9779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FA73-6B4A-B696-C56F0C2B9779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FA73-6B4A-B696-C56F0C2B9779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FA73-6B4A-B696-C56F0C2B9779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FA73-6B4A-B696-C56F0C2B9779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FA73-6B4A-B696-C56F0C2B9779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FA73-6B4A-B696-C56F0C2B9779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FA73-6B4A-B696-C56F0C2B9779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FA73-6B4A-B696-C56F0C2B9779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FA73-6B4A-B696-C56F0C2B9779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FA73-6B4A-B696-C56F0C2B9779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FA73-6B4A-B696-C56F0C2B9779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FA73-6B4A-B696-C56F0C2B9779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FA73-6B4A-B696-C56F0C2B9779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FA73-6B4A-B696-C56F0C2B9779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FA73-6B4A-B696-C56F0C2B9779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FA73-6B4A-B696-C56F0C2B9779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FA73-6B4A-B696-C56F0C2B9779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FA73-6B4A-B696-C56F0C2B9779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FA73-6B4A-B696-C56F0C2B9779}"/>
              </c:ext>
            </c:extLst>
          </c:dPt>
          <c:dPt>
            <c:idx val="26"/>
            <c:bubble3D val="0"/>
            <c:spPr>
              <a:solidFill>
                <a:srgbClr val="010D31"/>
              </a:solidFill>
            </c:spPr>
            <c:extLst>
              <c:ext xmlns:c16="http://schemas.microsoft.com/office/drawing/2014/chart" uri="{C3380CC4-5D6E-409C-BE32-E72D297353CC}">
                <c16:uniqueId val="{00000035-FA73-6B4A-B696-C56F0C2B9779}"/>
              </c:ext>
            </c:extLst>
          </c:dPt>
          <c:dPt>
            <c:idx val="27"/>
            <c:bubble3D val="0"/>
            <c:spPr>
              <a:solidFill>
                <a:srgbClr val="291121"/>
              </a:solidFill>
            </c:spPr>
            <c:extLst>
              <c:ext xmlns:c16="http://schemas.microsoft.com/office/drawing/2014/chart" uri="{C3380CC4-5D6E-409C-BE32-E72D297353CC}">
                <c16:uniqueId val="{00000037-FA73-6B4A-B696-C56F0C2B9779}"/>
              </c:ext>
            </c:extLst>
          </c:dPt>
          <c:dPt>
            <c:idx val="28"/>
            <c:bubble3D val="0"/>
            <c:spPr>
              <a:solidFill>
                <a:srgbClr val="FF1D32"/>
              </a:solidFill>
            </c:spPr>
            <c:extLst>
              <c:ext xmlns:c16="http://schemas.microsoft.com/office/drawing/2014/chart" uri="{C3380CC4-5D6E-409C-BE32-E72D297353CC}">
                <c16:uniqueId val="{00000039-FA73-6B4A-B696-C56F0C2B9779}"/>
              </c:ext>
            </c:extLst>
          </c:dPt>
          <c:dPt>
            <c:idx val="29"/>
            <c:bubble3D val="0"/>
            <c:spPr>
              <a:solidFill>
                <a:srgbClr val="250D0A"/>
              </a:solidFill>
            </c:spPr>
            <c:extLst>
              <c:ext xmlns:c16="http://schemas.microsoft.com/office/drawing/2014/chart" uri="{C3380CC4-5D6E-409C-BE32-E72D297353CC}">
                <c16:uniqueId val="{0000003B-FA73-6B4A-B696-C56F0C2B9779}"/>
              </c:ext>
            </c:extLst>
          </c:dPt>
          <c:dPt>
            <c:idx val="30"/>
            <c:bubble3D val="0"/>
            <c:spPr>
              <a:solidFill>
                <a:srgbClr val="5F3D05"/>
              </a:solidFill>
            </c:spPr>
            <c:extLst>
              <c:ext xmlns:c16="http://schemas.microsoft.com/office/drawing/2014/chart" uri="{C3380CC4-5D6E-409C-BE32-E72D297353CC}">
                <c16:uniqueId val="{0000003D-FA73-6B4A-B696-C56F0C2B9779}"/>
              </c:ext>
            </c:extLst>
          </c:dPt>
          <c:dPt>
            <c:idx val="31"/>
            <c:bubble3D val="0"/>
            <c:spPr>
              <a:solidFill>
                <a:srgbClr val="0B5D64"/>
              </a:solidFill>
            </c:spPr>
            <c:extLst>
              <c:ext xmlns:c16="http://schemas.microsoft.com/office/drawing/2014/chart" uri="{C3380CC4-5D6E-409C-BE32-E72D297353CC}">
                <c16:uniqueId val="{0000003F-FA73-6B4A-B696-C56F0C2B9779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FA73-6B4A-B696-C56F0C2B9779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FA73-6B4A-B696-C56F0C2B9779}"/>
              </c:ext>
            </c:extLst>
          </c:dPt>
          <c:dPt>
            <c:idx val="34"/>
            <c:bubble3D val="0"/>
            <c:spPr>
              <a:solidFill>
                <a:srgbClr val="FF497E"/>
              </a:solidFill>
            </c:spPr>
            <c:extLst>
              <c:ext xmlns:c16="http://schemas.microsoft.com/office/drawing/2014/chart" uri="{C3380CC4-5D6E-409C-BE32-E72D297353CC}">
                <c16:uniqueId val="{00000045-FA73-6B4A-B696-C56F0C2B9779}"/>
              </c:ext>
            </c:extLst>
          </c:dPt>
          <c:dPt>
            <c:idx val="35"/>
            <c:bubble3D val="0"/>
            <c:spPr>
              <a:solidFill>
                <a:srgbClr val="5D211C"/>
              </a:solidFill>
            </c:spPr>
            <c:extLst>
              <c:ext xmlns:c16="http://schemas.microsoft.com/office/drawing/2014/chart" uri="{C3380CC4-5D6E-409C-BE32-E72D297353CC}">
                <c16:uniqueId val="{00000047-FA73-6B4A-B696-C56F0C2B9779}"/>
              </c:ext>
            </c:extLst>
          </c:dPt>
          <c:dPt>
            <c:idx val="36"/>
            <c:bubble3D val="0"/>
            <c:spPr>
              <a:solidFill>
                <a:srgbClr val="976108"/>
              </a:solidFill>
            </c:spPr>
            <c:extLst>
              <c:ext xmlns:c16="http://schemas.microsoft.com/office/drawing/2014/chart" uri="{C3380CC4-5D6E-409C-BE32-E72D297353CC}">
                <c16:uniqueId val="{00000049-FA73-6B4A-B696-C56F0C2B9779}"/>
              </c:ext>
            </c:extLst>
          </c:dPt>
          <c:dPt>
            <c:idx val="37"/>
            <c:bubble3D val="0"/>
            <c:spPr>
              <a:solidFill>
                <a:srgbClr val="1195A1"/>
              </a:solidFill>
            </c:spPr>
            <c:extLst>
              <c:ext xmlns:c16="http://schemas.microsoft.com/office/drawing/2014/chart" uri="{C3380CC4-5D6E-409C-BE32-E72D297353CC}">
                <c16:uniqueId val="{0000004B-FA73-6B4A-B696-C56F0C2B9779}"/>
              </c:ext>
            </c:extLst>
          </c:dPt>
          <c:dPt>
            <c:idx val="38"/>
            <c:bubble3D val="0"/>
            <c:spPr>
              <a:solidFill>
                <a:srgbClr val="0335C8"/>
              </a:solidFill>
            </c:spPr>
            <c:extLst>
              <c:ext xmlns:c16="http://schemas.microsoft.com/office/drawing/2014/chart" uri="{C3380CC4-5D6E-409C-BE32-E72D297353CC}">
                <c16:uniqueId val="{0000004D-FA73-6B4A-B696-C56F0C2B9779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FA73-6B4A-B696-C56F0C2B9779}"/>
              </c:ext>
            </c:extLst>
          </c:dPt>
          <c:dPt>
            <c:idx val="40"/>
            <c:bubble3D val="0"/>
            <c:spPr>
              <a:solidFill>
                <a:srgbClr val="FF75CA"/>
              </a:solidFill>
            </c:spPr>
            <c:extLst>
              <c:ext xmlns:c16="http://schemas.microsoft.com/office/drawing/2014/chart" uri="{C3380CC4-5D6E-409C-BE32-E72D297353CC}">
                <c16:uniqueId val="{00000051-FA73-6B4A-B696-C56F0C2B9779}"/>
              </c:ext>
            </c:extLst>
          </c:dPt>
          <c:dPt>
            <c:idx val="41"/>
            <c:bubble3D val="0"/>
            <c:spPr>
              <a:solidFill>
                <a:srgbClr val="93352D"/>
              </a:solidFill>
            </c:spPr>
            <c:extLst>
              <c:ext xmlns:c16="http://schemas.microsoft.com/office/drawing/2014/chart" uri="{C3380CC4-5D6E-409C-BE32-E72D297353CC}">
                <c16:uniqueId val="{00000053-FA73-6B4A-B696-C56F0C2B9779}"/>
              </c:ext>
            </c:extLst>
          </c:dPt>
          <c:dPt>
            <c:idx val="42"/>
            <c:bubble3D val="0"/>
            <c:spPr>
              <a:solidFill>
                <a:srgbClr val="CF850B"/>
              </a:solidFill>
            </c:spPr>
            <c:extLst>
              <c:ext xmlns:c16="http://schemas.microsoft.com/office/drawing/2014/chart" uri="{C3380CC4-5D6E-409C-BE32-E72D297353CC}">
                <c16:uniqueId val="{00000055-FA73-6B4A-B696-C56F0C2B9779}"/>
              </c:ext>
            </c:extLst>
          </c:dPt>
          <c:dPt>
            <c:idx val="43"/>
            <c:bubble3D val="0"/>
            <c:spPr>
              <a:solidFill>
                <a:srgbClr val="17CFDD"/>
              </a:solidFill>
            </c:spPr>
            <c:extLst>
              <c:ext xmlns:c16="http://schemas.microsoft.com/office/drawing/2014/chart" uri="{C3380CC4-5D6E-409C-BE32-E72D297353CC}">
                <c16:uniqueId val="{00000057-FA73-6B4A-B696-C56F0C2B9779}"/>
              </c:ext>
            </c:extLst>
          </c:dPt>
          <c:dPt>
            <c:idx val="44"/>
            <c:bubble3D val="0"/>
            <c:spPr>
              <a:solidFill>
                <a:srgbClr val="034B13"/>
              </a:solidFill>
            </c:spPr>
            <c:extLst>
              <c:ext xmlns:c16="http://schemas.microsoft.com/office/drawing/2014/chart" uri="{C3380CC4-5D6E-409C-BE32-E72D297353CC}">
                <c16:uniqueId val="{00000059-FA73-6B4A-B696-C56F0C2B9779}"/>
              </c:ext>
            </c:extLst>
          </c:dPt>
          <c:dPt>
            <c:idx val="45"/>
            <c:bubble3D val="0"/>
            <c:spPr>
              <a:solidFill>
                <a:srgbClr val="DF5FBC"/>
              </a:solidFill>
            </c:spPr>
            <c:extLst>
              <c:ext xmlns:c16="http://schemas.microsoft.com/office/drawing/2014/chart" uri="{C3380CC4-5D6E-409C-BE32-E72D297353CC}">
                <c16:uniqueId val="{0000005B-FA73-6B4A-B696-C56F0C2B9779}"/>
              </c:ext>
            </c:extLst>
          </c:dPt>
          <c:dPt>
            <c:idx val="46"/>
            <c:bubble3D val="0"/>
            <c:spPr>
              <a:solidFill>
                <a:srgbClr val="FFA216"/>
              </a:solidFill>
            </c:spPr>
            <c:extLst>
              <c:ext xmlns:c16="http://schemas.microsoft.com/office/drawing/2014/chart" uri="{C3380CC4-5D6E-409C-BE32-E72D297353CC}">
                <c16:uniqueId val="{0000005D-FA73-6B4A-B696-C56F0C2B9779}"/>
              </c:ext>
            </c:extLst>
          </c:dPt>
          <c:dPt>
            <c:idx val="47"/>
            <c:bubble3D val="0"/>
            <c:spPr>
              <a:solidFill>
                <a:srgbClr val="CB493E"/>
              </a:solidFill>
            </c:spPr>
            <c:extLst>
              <c:ext xmlns:c16="http://schemas.microsoft.com/office/drawing/2014/chart" uri="{C3380CC4-5D6E-409C-BE32-E72D297353CC}">
                <c16:uniqueId val="{0000005F-FA73-6B4A-B696-C56F0C2B9779}"/>
              </c:ext>
            </c:extLst>
          </c:dPt>
          <c:dPt>
            <c:idx val="48"/>
            <c:bubble3D val="0"/>
            <c:spPr>
              <a:solidFill>
                <a:srgbClr val="09AB0E"/>
              </a:solidFill>
            </c:spPr>
            <c:extLst>
              <c:ext xmlns:c16="http://schemas.microsoft.com/office/drawing/2014/chart" uri="{C3380CC4-5D6E-409C-BE32-E72D297353CC}">
                <c16:uniqueId val="{00000061-FA73-6B4A-B696-C56F0C2B9779}"/>
              </c:ext>
            </c:extLst>
          </c:dPt>
          <c:dPt>
            <c:idx val="49"/>
            <c:bubble3D val="0"/>
            <c:spPr>
              <a:solidFill>
                <a:srgbClr val="1E061A"/>
              </a:solidFill>
            </c:spPr>
            <c:extLst>
              <c:ext xmlns:c16="http://schemas.microsoft.com/office/drawing/2014/chart" uri="{C3380CC4-5D6E-409C-BE32-E72D297353CC}">
                <c16:uniqueId val="{00000063-FA73-6B4A-B696-C56F0C2B9779}"/>
              </c:ext>
            </c:extLst>
          </c:dPt>
          <c:dPt>
            <c:idx val="50"/>
            <c:bubble3D val="0"/>
            <c:spPr>
              <a:solidFill>
                <a:srgbClr val="055F5E"/>
              </a:solidFill>
            </c:spPr>
            <c:extLst>
              <c:ext xmlns:c16="http://schemas.microsoft.com/office/drawing/2014/chart" uri="{C3380CC4-5D6E-409C-BE32-E72D297353CC}">
                <c16:uniqueId val="{00000065-FA73-6B4A-B696-C56F0C2B9779}"/>
              </c:ext>
            </c:extLst>
          </c:dPt>
          <c:dPt>
            <c:idx val="51"/>
            <c:bubble3D val="0"/>
            <c:spPr>
              <a:solidFill>
                <a:srgbClr val="1B79F0"/>
              </a:solidFill>
            </c:spPr>
            <c:extLst>
              <c:ext xmlns:c16="http://schemas.microsoft.com/office/drawing/2014/chart" uri="{C3380CC4-5D6E-409C-BE32-E72D297353CC}">
                <c16:uniqueId val="{00000067-FA73-6B4A-B696-C56F0C2B9779}"/>
              </c:ext>
            </c:extLst>
          </c:dPt>
          <c:dPt>
            <c:idx val="52"/>
            <c:bubble3D val="0"/>
            <c:spPr>
              <a:solidFill>
                <a:srgbClr val="FFCB63"/>
              </a:solidFill>
            </c:spPr>
            <c:extLst>
              <c:ext xmlns:c16="http://schemas.microsoft.com/office/drawing/2014/chart" uri="{C3380CC4-5D6E-409C-BE32-E72D297353CC}">
                <c16:uniqueId val="{00000069-FA73-6B4A-B696-C56F0C2B9779}"/>
              </c:ext>
            </c:extLst>
          </c:dPt>
          <c:dPt>
            <c:idx val="53"/>
            <c:bubble3D val="0"/>
            <c:spPr>
              <a:solidFill>
                <a:srgbClr val="035B4F"/>
              </a:solidFill>
            </c:spPr>
            <c:extLst>
              <c:ext xmlns:c16="http://schemas.microsoft.com/office/drawing/2014/chart" uri="{C3380CC4-5D6E-409C-BE32-E72D297353CC}">
                <c16:uniqueId val="{0000006B-FA73-6B4A-B696-C56F0C2B9779}"/>
              </c:ext>
            </c:extLst>
          </c:dPt>
          <c:dPt>
            <c:idx val="54"/>
            <c:bubble3D val="0"/>
            <c:spPr>
              <a:solidFill>
                <a:srgbClr val="41CF12"/>
              </a:solidFill>
            </c:spPr>
            <c:extLst>
              <c:ext xmlns:c16="http://schemas.microsoft.com/office/drawing/2014/chart" uri="{C3380CC4-5D6E-409C-BE32-E72D297353CC}">
                <c16:uniqueId val="{0000006D-FA73-6B4A-B696-C56F0C2B9779}"/>
              </c:ext>
            </c:extLst>
          </c:dPt>
          <c:dPt>
            <c:idx val="55"/>
            <c:bubble3D val="0"/>
            <c:spPr>
              <a:solidFill>
                <a:srgbClr val="233F56"/>
              </a:solidFill>
            </c:spPr>
            <c:extLst>
              <c:ext xmlns:c16="http://schemas.microsoft.com/office/drawing/2014/chart" uri="{C3380CC4-5D6E-409C-BE32-E72D297353CC}">
                <c16:uniqueId val="{0000006F-FA73-6B4A-B696-C56F0C2B9779}"/>
              </c:ext>
            </c:extLst>
          </c:dPt>
          <c:dPt>
            <c:idx val="56"/>
            <c:bubble3D val="0"/>
            <c:spPr>
              <a:solidFill>
                <a:srgbClr val="0773AA"/>
              </a:solidFill>
            </c:spPr>
            <c:extLst>
              <c:ext xmlns:c16="http://schemas.microsoft.com/office/drawing/2014/chart" uri="{C3380CC4-5D6E-409C-BE32-E72D297353CC}">
                <c16:uniqueId val="{00000071-FA73-6B4A-B696-C56F0C2B9779}"/>
              </c:ext>
            </c:extLst>
          </c:dPt>
          <c:dPt>
            <c:idx val="57"/>
            <c:bubble3D val="0"/>
            <c:spPr>
              <a:solidFill>
                <a:srgbClr val="599323"/>
              </a:solidFill>
            </c:spPr>
            <c:extLst>
              <c:ext xmlns:c16="http://schemas.microsoft.com/office/drawing/2014/chart" uri="{C3380CC4-5D6E-409C-BE32-E72D297353CC}">
                <c16:uniqueId val="{00000073-FA73-6B4A-B696-C56F0C2B9779}"/>
              </c:ext>
            </c:extLst>
          </c:dPt>
          <c:dPt>
            <c:idx val="58"/>
            <c:bubble3D val="0"/>
            <c:spPr>
              <a:solidFill>
                <a:srgbClr val="FFF7AF"/>
              </a:solidFill>
            </c:spPr>
            <c:extLst>
              <c:ext xmlns:c16="http://schemas.microsoft.com/office/drawing/2014/chart" uri="{C3380CC4-5D6E-409C-BE32-E72D297353CC}">
                <c16:uniqueId val="{00000075-FA73-6B4A-B696-C56F0C2B9779}"/>
              </c:ext>
            </c:extLst>
          </c:dPt>
          <c:dPt>
            <c:idx val="59"/>
            <c:bubble3D val="0"/>
            <c:spPr>
              <a:solidFill>
                <a:srgbClr val="3B6F60"/>
              </a:solidFill>
            </c:spPr>
            <c:extLst>
              <c:ext xmlns:c16="http://schemas.microsoft.com/office/drawing/2014/chart" uri="{C3380CC4-5D6E-409C-BE32-E72D297353CC}">
                <c16:uniqueId val="{00000077-FA73-6B4A-B696-C56F0C2B9779}"/>
              </c:ext>
            </c:extLst>
          </c:dPt>
          <c:dPt>
            <c:idx val="60"/>
            <c:bubble3D val="0"/>
            <c:spPr>
              <a:solidFill>
                <a:srgbClr val="79F315"/>
              </a:solidFill>
            </c:spPr>
            <c:extLst>
              <c:ext xmlns:c16="http://schemas.microsoft.com/office/drawing/2014/chart" uri="{C3380CC4-5D6E-409C-BE32-E72D297353CC}">
                <c16:uniqueId val="{00000079-FA73-6B4A-B696-C56F0C2B9779}"/>
              </c:ext>
            </c:extLst>
          </c:dPt>
          <c:dPt>
            <c:idx val="61"/>
            <c:bubble3D val="0"/>
            <c:spPr>
              <a:solidFill>
                <a:srgbClr val="2B7793"/>
              </a:solidFill>
            </c:spPr>
            <c:extLst>
              <c:ext xmlns:c16="http://schemas.microsoft.com/office/drawing/2014/chart" uri="{C3380CC4-5D6E-409C-BE32-E72D297353CC}">
                <c16:uniqueId val="{0000007B-FA73-6B4A-B696-C56F0C2B9779}"/>
              </c:ext>
            </c:extLst>
          </c:dPt>
          <c:dPt>
            <c:idx val="62"/>
            <c:bubble3D val="0"/>
            <c:spPr>
              <a:solidFill>
                <a:srgbClr val="0787F5"/>
              </a:solidFill>
            </c:spPr>
            <c:extLst>
              <c:ext xmlns:c16="http://schemas.microsoft.com/office/drawing/2014/chart" uri="{C3380CC4-5D6E-409C-BE32-E72D297353CC}">
                <c16:uniqueId val="{0000007D-FA73-6B4A-B696-C56F0C2B9779}"/>
              </c:ext>
            </c:extLst>
          </c:dPt>
          <c:dPt>
            <c:idx val="63"/>
            <c:bubble3D val="0"/>
            <c:spPr>
              <a:solidFill>
                <a:srgbClr val="95AF57"/>
              </a:solidFill>
            </c:spPr>
            <c:extLst>
              <c:ext xmlns:c16="http://schemas.microsoft.com/office/drawing/2014/chart" uri="{C3380CC4-5D6E-409C-BE32-E72D297353CC}">
                <c16:uniqueId val="{0000007F-FA73-6B4A-B696-C56F0C2B9779}"/>
              </c:ext>
            </c:extLst>
          </c:dPt>
          <c:dPt>
            <c:idx val="64"/>
            <c:bubble3D val="0"/>
            <c:spPr>
              <a:solidFill>
                <a:srgbClr val="FF23FB"/>
              </a:solidFill>
            </c:spPr>
            <c:extLst>
              <c:ext xmlns:c16="http://schemas.microsoft.com/office/drawing/2014/chart" uri="{C3380CC4-5D6E-409C-BE32-E72D297353CC}">
                <c16:uniqueId val="{00000081-FA73-6B4A-B696-C56F0C2B9779}"/>
              </c:ext>
            </c:extLst>
          </c:dPt>
          <c:dPt>
            <c:idx val="65"/>
            <c:bubble3D val="0"/>
            <c:spPr>
              <a:solidFill>
                <a:srgbClr val="718371"/>
              </a:solidFill>
            </c:spPr>
            <c:extLst>
              <c:ext xmlns:c16="http://schemas.microsoft.com/office/drawing/2014/chart" uri="{C3380CC4-5D6E-409C-BE32-E72D297353CC}">
                <c16:uniqueId val="{00000083-FA73-6B4A-B696-C56F0C2B9779}"/>
              </c:ext>
            </c:extLst>
          </c:dPt>
          <c:dPt>
            <c:idx val="66"/>
            <c:bubble3D val="0"/>
            <c:spPr>
              <a:solidFill>
                <a:srgbClr val="B21918"/>
              </a:solidFill>
            </c:spPr>
            <c:extLst>
              <c:ext xmlns:c16="http://schemas.microsoft.com/office/drawing/2014/chart" uri="{C3380CC4-5D6E-409C-BE32-E72D297353CC}">
                <c16:uniqueId val="{00000085-FA73-6B4A-B696-C56F0C2B9779}"/>
              </c:ext>
            </c:extLst>
          </c:dPt>
          <c:dPt>
            <c:idx val="67"/>
            <c:bubble3D val="0"/>
            <c:spPr>
              <a:solidFill>
                <a:srgbClr val="2FAFD0"/>
              </a:solidFill>
            </c:spPr>
            <c:extLst>
              <c:ext xmlns:c16="http://schemas.microsoft.com/office/drawing/2014/chart" uri="{C3380CC4-5D6E-409C-BE32-E72D297353CC}">
                <c16:uniqueId val="{00000087-FA73-6B4A-B696-C56F0C2B9779}"/>
              </c:ext>
            </c:extLst>
          </c:dPt>
          <c:dPt>
            <c:idx val="68"/>
            <c:bubble3D val="0"/>
            <c:spPr>
              <a:solidFill>
                <a:srgbClr val="099B40"/>
              </a:solidFill>
            </c:spPr>
            <c:extLst>
              <c:ext xmlns:c16="http://schemas.microsoft.com/office/drawing/2014/chart" uri="{C3380CC4-5D6E-409C-BE32-E72D297353CC}">
                <c16:uniqueId val="{00000089-FA73-6B4A-B696-C56F0C2B9779}"/>
              </c:ext>
            </c:extLst>
          </c:dPt>
          <c:dPt>
            <c:idx val="69"/>
            <c:bubble3D val="0"/>
            <c:spPr>
              <a:solidFill>
                <a:srgbClr val="D3C78B"/>
              </a:solidFill>
            </c:spPr>
            <c:extLst>
              <c:ext xmlns:c16="http://schemas.microsoft.com/office/drawing/2014/chart" uri="{C3380CC4-5D6E-409C-BE32-E72D297353CC}">
                <c16:uniqueId val="{0000008B-FA73-6B4A-B696-C56F0C2B9779}"/>
              </c:ext>
            </c:extLst>
          </c:dPt>
          <c:dPt>
            <c:idx val="70"/>
            <c:bubble3D val="0"/>
            <c:spPr>
              <a:solidFill>
                <a:srgbClr val="FF4F47"/>
              </a:solidFill>
            </c:spPr>
            <c:extLst>
              <c:ext xmlns:c16="http://schemas.microsoft.com/office/drawing/2014/chart" uri="{C3380CC4-5D6E-409C-BE32-E72D297353CC}">
                <c16:uniqueId val="{0000008D-FA73-6B4A-B696-C56F0C2B9779}"/>
              </c:ext>
            </c:extLst>
          </c:dPt>
          <c:dPt>
            <c:idx val="71"/>
            <c:bubble3D val="0"/>
            <c:spPr>
              <a:solidFill>
                <a:srgbClr val="A99782"/>
              </a:solidFill>
            </c:spPr>
            <c:extLst>
              <c:ext xmlns:c16="http://schemas.microsoft.com/office/drawing/2014/chart" uri="{C3380CC4-5D6E-409C-BE32-E72D297353CC}">
                <c16:uniqueId val="{0000008F-FA73-6B4A-B696-C56F0C2B9779}"/>
              </c:ext>
            </c:extLst>
          </c:dPt>
          <c:dPt>
            <c:idx val="72"/>
            <c:bubble3D val="0"/>
            <c:spPr>
              <a:solidFill>
                <a:srgbClr val="EA3D1C"/>
              </a:solidFill>
            </c:spPr>
            <c:extLst>
              <c:ext xmlns:c16="http://schemas.microsoft.com/office/drawing/2014/chart" uri="{C3380CC4-5D6E-409C-BE32-E72D297353CC}">
                <c16:uniqueId val="{00000091-FA73-6B4A-B696-C56F0C2B9779}"/>
              </c:ext>
            </c:extLst>
          </c:dPt>
          <c:dPt>
            <c:idx val="73"/>
            <c:bubble3D val="0"/>
            <c:spPr>
              <a:solidFill>
                <a:srgbClr val="36EB0C"/>
              </a:solidFill>
            </c:spPr>
            <c:extLst>
              <c:ext xmlns:c16="http://schemas.microsoft.com/office/drawing/2014/chart" uri="{C3380CC4-5D6E-409C-BE32-E72D297353CC}">
                <c16:uniqueId val="{00000093-FA73-6B4A-B696-C56F0C2B9779}"/>
              </c:ext>
            </c:extLst>
          </c:dPt>
          <c:dPt>
            <c:idx val="74"/>
            <c:bubble3D val="0"/>
            <c:spPr>
              <a:solidFill>
                <a:srgbClr val="09AF8C"/>
              </a:solidFill>
            </c:spPr>
            <c:extLst>
              <c:ext xmlns:c16="http://schemas.microsoft.com/office/drawing/2014/chart" uri="{C3380CC4-5D6E-409C-BE32-E72D297353CC}">
                <c16:uniqueId val="{00000095-FA73-6B4A-B696-C56F0C2B9779}"/>
              </c:ext>
            </c:extLst>
          </c:dPt>
          <c:dPt>
            <c:idx val="75"/>
            <c:bubble3D val="0"/>
            <c:spPr>
              <a:solidFill>
                <a:srgbClr val="0FE3BE"/>
              </a:solidFill>
            </c:spPr>
            <c:extLst>
              <c:ext xmlns:c16="http://schemas.microsoft.com/office/drawing/2014/chart" uri="{C3380CC4-5D6E-409C-BE32-E72D297353CC}">
                <c16:uniqueId val="{00000097-FA73-6B4A-B696-C56F0C2B9779}"/>
              </c:ext>
            </c:extLst>
          </c:dPt>
          <c:dPt>
            <c:idx val="76"/>
            <c:bubble3D val="0"/>
            <c:spPr>
              <a:solidFill>
                <a:srgbClr val="FF7B93"/>
              </a:solidFill>
            </c:spPr>
            <c:extLst>
              <c:ext xmlns:c16="http://schemas.microsoft.com/office/drawing/2014/chart" uri="{C3380CC4-5D6E-409C-BE32-E72D297353CC}">
                <c16:uniqueId val="{00000099-FA73-6B4A-B696-C56F0C2B9779}"/>
              </c:ext>
            </c:extLst>
          </c:dPt>
          <c:dPt>
            <c:idx val="77"/>
            <c:bubble3D val="0"/>
            <c:spPr>
              <a:solidFill>
                <a:srgbClr val="E1AB93"/>
              </a:solidFill>
            </c:spPr>
            <c:extLst>
              <c:ext xmlns:c16="http://schemas.microsoft.com/office/drawing/2014/chart" uri="{C3380CC4-5D6E-409C-BE32-E72D297353CC}">
                <c16:uniqueId val="{0000009B-FA73-6B4A-B696-C56F0C2B9779}"/>
              </c:ext>
            </c:extLst>
          </c:dPt>
          <c:dPt>
            <c:idx val="78"/>
            <c:bubble3D val="0"/>
            <c:spPr>
              <a:solidFill>
                <a:srgbClr val="23611F"/>
              </a:solidFill>
            </c:spPr>
            <c:extLst>
              <c:ext xmlns:c16="http://schemas.microsoft.com/office/drawing/2014/chart" uri="{C3380CC4-5D6E-409C-BE32-E72D297353CC}">
                <c16:uniqueId val="{0000009D-FA73-6B4A-B696-C56F0C2B9779}"/>
              </c:ext>
            </c:extLst>
          </c:dPt>
          <c:dPt>
            <c:idx val="79"/>
            <c:bubble3D val="0"/>
            <c:spPr>
              <a:solidFill>
                <a:srgbClr val="3F2349"/>
              </a:solidFill>
            </c:spPr>
            <c:extLst>
              <c:ext xmlns:c16="http://schemas.microsoft.com/office/drawing/2014/chart" uri="{C3380CC4-5D6E-409C-BE32-E72D297353CC}">
                <c16:uniqueId val="{0000009F-FA73-6B4A-B696-C56F0C2B9779}"/>
              </c:ext>
            </c:extLst>
          </c:dPt>
          <c:dPt>
            <c:idx val="80"/>
            <c:bubble3D val="0"/>
            <c:spPr>
              <a:solidFill>
                <a:srgbClr val="0BC3D7"/>
              </a:solidFill>
            </c:spPr>
            <c:extLst>
              <c:ext xmlns:c16="http://schemas.microsoft.com/office/drawing/2014/chart" uri="{C3380CC4-5D6E-409C-BE32-E72D297353CC}">
                <c16:uniqueId val="{000000A1-FA73-6B4A-B696-C56F0C2B9779}"/>
              </c:ext>
            </c:extLst>
          </c:dPt>
          <c:dPt>
            <c:idx val="81"/>
            <c:bubble3D val="0"/>
            <c:spPr>
              <a:solidFill>
                <a:srgbClr val="4DFBF2"/>
              </a:solidFill>
            </c:spPr>
            <c:extLst>
              <c:ext xmlns:c16="http://schemas.microsoft.com/office/drawing/2014/chart" uri="{C3380CC4-5D6E-409C-BE32-E72D297353CC}">
                <c16:uniqueId val="{000000A3-FA73-6B4A-B696-C56F0C2B9779}"/>
              </c:ext>
            </c:extLst>
          </c:dPt>
          <c:dPt>
            <c:idx val="82"/>
            <c:bubble3D val="0"/>
            <c:spPr>
              <a:solidFill>
                <a:srgbClr val="FFA7E0"/>
              </a:solidFill>
            </c:spPr>
            <c:extLst>
              <c:ext xmlns:c16="http://schemas.microsoft.com/office/drawing/2014/chart" uri="{C3380CC4-5D6E-409C-BE32-E72D297353CC}">
                <c16:uniqueId val="{000000A5-FA73-6B4A-B696-C56F0C2B9779}"/>
              </c:ext>
            </c:extLst>
          </c:dPt>
          <c:dPt>
            <c:idx val="83"/>
            <c:bubble3D val="0"/>
            <c:spPr>
              <a:solidFill>
                <a:srgbClr val="19BFA4"/>
              </a:solidFill>
            </c:spPr>
            <c:extLst>
              <c:ext xmlns:c16="http://schemas.microsoft.com/office/drawing/2014/chart" uri="{C3380CC4-5D6E-409C-BE32-E72D297353CC}">
                <c16:uniqueId val="{000000A7-FA73-6B4A-B696-C56F0C2B9779}"/>
              </c:ext>
            </c:extLst>
          </c:dPt>
          <c:dPt>
            <c:idx val="84"/>
            <c:bubble3D val="0"/>
            <c:spPr>
              <a:solidFill>
                <a:srgbClr val="5E8522"/>
              </a:solidFill>
            </c:spPr>
            <c:extLst>
              <c:ext xmlns:c16="http://schemas.microsoft.com/office/drawing/2014/chart" uri="{C3380CC4-5D6E-409C-BE32-E72D297353CC}">
                <c16:uniqueId val="{000000A9-FA73-6B4A-B696-C56F0C2B9779}"/>
              </c:ext>
            </c:extLst>
          </c:dPt>
          <c:dPt>
            <c:idx val="85"/>
            <c:bubble3D val="0"/>
            <c:spPr>
              <a:solidFill>
                <a:srgbClr val="435B85"/>
              </a:solidFill>
            </c:spPr>
            <c:extLst>
              <c:ext xmlns:c16="http://schemas.microsoft.com/office/drawing/2014/chart" uri="{C3380CC4-5D6E-409C-BE32-E72D297353CC}">
                <c16:uniqueId val="{000000AB-FA73-6B4A-B696-C56F0C2B9779}"/>
              </c:ext>
            </c:extLst>
          </c:dPt>
          <c:dPt>
            <c:idx val="86"/>
            <c:bubble3D val="0"/>
            <c:spPr>
              <a:solidFill>
                <a:srgbClr val="0DD522"/>
              </a:solidFill>
            </c:spPr>
            <c:extLst>
              <c:ext xmlns:c16="http://schemas.microsoft.com/office/drawing/2014/chart" uri="{C3380CC4-5D6E-409C-BE32-E72D297353CC}">
                <c16:uniqueId val="{000000AD-FA73-6B4A-B696-C56F0C2B9779}"/>
              </c:ext>
            </c:extLst>
          </c:dPt>
          <c:dPt>
            <c:idx val="87"/>
            <c:bubble3D val="0"/>
            <c:spPr>
              <a:solidFill>
                <a:srgbClr val="8B1725"/>
              </a:solidFill>
            </c:spPr>
            <c:extLst>
              <c:ext xmlns:c16="http://schemas.microsoft.com/office/drawing/2014/chart" uri="{C3380CC4-5D6E-409C-BE32-E72D297353CC}">
                <c16:uniqueId val="{000000AF-FA73-6B4A-B696-C56F0C2B9779}"/>
              </c:ext>
            </c:extLst>
          </c:dPt>
          <c:dPt>
            <c:idx val="88"/>
            <c:bubble3D val="0"/>
            <c:spPr>
              <a:solidFill>
                <a:srgbClr val="FFD62C"/>
              </a:solidFill>
            </c:spPr>
            <c:extLst>
              <c:ext xmlns:c16="http://schemas.microsoft.com/office/drawing/2014/chart" uri="{C3380CC4-5D6E-409C-BE32-E72D297353CC}">
                <c16:uniqueId val="{000000B1-FA73-6B4A-B696-C56F0C2B9779}"/>
              </c:ext>
            </c:extLst>
          </c:dPt>
          <c:dPt>
            <c:idx val="89"/>
            <c:bubble3D val="0"/>
            <c:spPr>
              <a:solidFill>
                <a:srgbClr val="4FD3B5"/>
              </a:solidFill>
            </c:spPr>
            <c:extLst>
              <c:ext xmlns:c16="http://schemas.microsoft.com/office/drawing/2014/chart" uri="{C3380CC4-5D6E-409C-BE32-E72D297353CC}">
                <c16:uniqueId val="{000000B3-FA73-6B4A-B696-C56F0C2B9779}"/>
              </c:ext>
            </c:extLst>
          </c:dPt>
          <c:dPt>
            <c:idx val="90"/>
            <c:bubble3D val="0"/>
            <c:spPr>
              <a:solidFill>
                <a:srgbClr val="97AB26"/>
              </a:solidFill>
            </c:spPr>
            <c:extLst>
              <c:ext xmlns:c16="http://schemas.microsoft.com/office/drawing/2014/chart" uri="{C3380CC4-5D6E-409C-BE32-E72D297353CC}">
                <c16:uniqueId val="{000000B5-FA73-6B4A-B696-C56F0C2B9779}"/>
              </c:ext>
            </c:extLst>
          </c:dPt>
          <c:dPt>
            <c:idx val="91"/>
            <c:bubble3D val="0"/>
            <c:spPr>
              <a:solidFill>
                <a:srgbClr val="4B93C2"/>
              </a:solidFill>
            </c:spPr>
            <c:extLst>
              <c:ext xmlns:c16="http://schemas.microsoft.com/office/drawing/2014/chart" uri="{C3380CC4-5D6E-409C-BE32-E72D297353CC}">
                <c16:uniqueId val="{000000B7-FA73-6B4A-B696-C56F0C2B9779}"/>
              </c:ext>
            </c:extLst>
          </c:dPt>
          <c:dPt>
            <c:idx val="92"/>
            <c:bubble3D val="0"/>
            <c:spPr>
              <a:solidFill>
                <a:srgbClr val="0DEE6E"/>
              </a:solidFill>
            </c:spPr>
            <c:extLst>
              <c:ext xmlns:c16="http://schemas.microsoft.com/office/drawing/2014/chart" uri="{C3380CC4-5D6E-409C-BE32-E72D297353CC}">
                <c16:uniqueId val="{000000B9-FA73-6B4A-B696-C56F0C2B9779}"/>
              </c:ext>
            </c:extLst>
          </c:dPt>
          <c:dPt>
            <c:idx val="93"/>
            <c:bubble3D val="0"/>
            <c:spPr>
              <a:solidFill>
                <a:srgbClr val="C63359"/>
              </a:solidFill>
            </c:spPr>
            <c:extLst>
              <c:ext xmlns:c16="http://schemas.microsoft.com/office/drawing/2014/chart" uri="{C3380CC4-5D6E-409C-BE32-E72D297353CC}">
                <c16:uniqueId val="{000000BB-FA73-6B4A-B696-C56F0C2B9779}"/>
              </c:ext>
            </c:extLst>
          </c:dPt>
          <c:dPt>
            <c:idx val="94"/>
            <c:bubble3D val="0"/>
            <c:spPr>
              <a:solidFill>
                <a:srgbClr val="FFFE78"/>
              </a:solidFill>
            </c:spPr>
            <c:extLst>
              <c:ext xmlns:c16="http://schemas.microsoft.com/office/drawing/2014/chart" uri="{C3380CC4-5D6E-409C-BE32-E72D297353CC}">
                <c16:uniqueId val="{000000BD-FA73-6B4A-B696-C56F0C2B9779}"/>
              </c:ext>
            </c:extLst>
          </c:dPt>
          <c:dPt>
            <c:idx val="95"/>
            <c:bubble3D val="0"/>
            <c:spPr>
              <a:solidFill>
                <a:srgbClr val="87E7C7"/>
              </a:solidFill>
            </c:spPr>
            <c:extLst>
              <c:ext xmlns:c16="http://schemas.microsoft.com/office/drawing/2014/chart" uri="{C3380CC4-5D6E-409C-BE32-E72D297353CC}">
                <c16:uniqueId val="{000000BF-FA73-6B4A-B696-C56F0C2B9779}"/>
              </c:ext>
            </c:extLst>
          </c:dPt>
          <c:dPt>
            <c:idx val="96"/>
            <c:bubble3D val="0"/>
            <c:spPr>
              <a:solidFill>
                <a:srgbClr val="CFCF29"/>
              </a:solidFill>
            </c:spPr>
            <c:extLst>
              <c:ext xmlns:c16="http://schemas.microsoft.com/office/drawing/2014/chart" uri="{C3380CC4-5D6E-409C-BE32-E72D297353CC}">
                <c16:uniqueId val="{000000C1-FA73-6B4A-B696-C56F0C2B9779}"/>
              </c:ext>
            </c:extLst>
          </c:dPt>
          <c:dPt>
            <c:idx val="97"/>
            <c:bubble3D val="0"/>
            <c:spPr>
              <a:solidFill>
                <a:srgbClr val="4FCBFF"/>
              </a:solidFill>
            </c:spPr>
            <c:extLst>
              <c:ext xmlns:c16="http://schemas.microsoft.com/office/drawing/2014/chart" uri="{C3380CC4-5D6E-409C-BE32-E72D297353CC}">
                <c16:uniqueId val="{000000C3-FA73-6B4A-B696-C56F0C2B9779}"/>
              </c:ext>
            </c:extLst>
          </c:dPt>
          <c:dPt>
            <c:idx val="98"/>
            <c:bubble3D val="0"/>
            <c:spPr>
              <a:solidFill>
                <a:srgbClr val="0FFEB9"/>
              </a:solidFill>
            </c:spPr>
            <c:extLst>
              <c:ext xmlns:c16="http://schemas.microsoft.com/office/drawing/2014/chart" uri="{C3380CC4-5D6E-409C-BE32-E72D297353CC}">
                <c16:uniqueId val="{000000C5-FA73-6B4A-B696-C56F0C2B9779}"/>
              </c:ext>
            </c:extLst>
          </c:dPt>
          <c:dPt>
            <c:idx val="99"/>
            <c:bubble3D val="0"/>
            <c:spPr>
              <a:solidFill>
                <a:srgbClr val="024B8D"/>
              </a:solidFill>
            </c:spPr>
            <c:extLst>
              <c:ext xmlns:c16="http://schemas.microsoft.com/office/drawing/2014/chart" uri="{C3380CC4-5D6E-409C-BE32-E72D297353CC}">
                <c16:uniqueId val="{000000C7-FA73-6B4A-B696-C56F0C2B9779}"/>
              </c:ext>
            </c:extLst>
          </c:dPt>
          <c:dPt>
            <c:idx val="100"/>
            <c:bubble3D val="0"/>
            <c:spPr>
              <a:solidFill>
                <a:srgbClr val="FF2EC4"/>
              </a:solidFill>
            </c:spPr>
            <c:extLst>
              <c:ext xmlns:c16="http://schemas.microsoft.com/office/drawing/2014/chart" uri="{C3380CC4-5D6E-409C-BE32-E72D297353CC}">
                <c16:uniqueId val="{000000C9-FA73-6B4A-B696-C56F0C2B9779}"/>
              </c:ext>
            </c:extLst>
          </c:dPt>
          <c:dPt>
            <c:idx val="101"/>
            <c:bubble3D val="0"/>
            <c:spPr>
              <a:solidFill>
                <a:srgbClr val="BFFBD8"/>
              </a:solidFill>
            </c:spPr>
            <c:extLst>
              <c:ext xmlns:c16="http://schemas.microsoft.com/office/drawing/2014/chart" uri="{C3380CC4-5D6E-409C-BE32-E72D297353CC}">
                <c16:uniqueId val="{000000CB-FA73-6B4A-B696-C56F0C2B9779}"/>
              </c:ext>
            </c:extLst>
          </c:dPt>
          <c:dPt>
            <c:idx val="102"/>
            <c:bubble3D val="0"/>
            <c:spPr>
              <a:solidFill>
                <a:srgbClr val="06F32C"/>
              </a:solidFill>
            </c:spPr>
            <c:extLst>
              <c:ext xmlns:c16="http://schemas.microsoft.com/office/drawing/2014/chart" uri="{C3380CC4-5D6E-409C-BE32-E72D297353CC}">
                <c16:uniqueId val="{000000CD-FA73-6B4A-B696-C56F0C2B9779}"/>
              </c:ext>
            </c:extLst>
          </c:dPt>
          <c:dPt>
            <c:idx val="103"/>
            <c:bubble3D val="0"/>
            <c:spPr>
              <a:solidFill>
                <a:srgbClr val="55063B"/>
              </a:solidFill>
            </c:spPr>
            <c:extLst>
              <c:ext xmlns:c16="http://schemas.microsoft.com/office/drawing/2014/chart" uri="{C3380CC4-5D6E-409C-BE32-E72D297353CC}">
                <c16:uniqueId val="{000000CF-FA73-6B4A-B696-C56F0C2B9779}"/>
              </c:ext>
            </c:extLst>
          </c:dPt>
          <c:dPt>
            <c:idx val="104"/>
            <c:bubble3D val="0"/>
            <c:spPr>
              <a:solidFill>
                <a:srgbClr val="0F1704"/>
              </a:solidFill>
            </c:spPr>
            <c:extLst>
              <c:ext xmlns:c16="http://schemas.microsoft.com/office/drawing/2014/chart" uri="{C3380CC4-5D6E-409C-BE32-E72D297353CC}">
                <c16:uniqueId val="{000000D1-FA73-6B4A-B696-C56F0C2B9779}"/>
              </c:ext>
            </c:extLst>
          </c:dPt>
          <c:dPt>
            <c:idx val="105"/>
            <c:bubble3D val="0"/>
            <c:spPr>
              <a:solidFill>
                <a:srgbClr val="3F67C0"/>
              </a:solidFill>
            </c:spPr>
            <c:extLst>
              <c:ext xmlns:c16="http://schemas.microsoft.com/office/drawing/2014/chart" uri="{C3380CC4-5D6E-409C-BE32-E72D297353CC}">
                <c16:uniqueId val="{000000D3-FA73-6B4A-B696-C56F0C2B9779}"/>
              </c:ext>
            </c:extLst>
          </c:dPt>
          <c:dPt>
            <c:idx val="106"/>
            <c:bubble3D val="0"/>
            <c:spPr>
              <a:solidFill>
                <a:srgbClr val="FF5710"/>
              </a:solidFill>
            </c:spPr>
            <c:extLst>
              <c:ext xmlns:c16="http://schemas.microsoft.com/office/drawing/2014/chart" uri="{C3380CC4-5D6E-409C-BE32-E72D297353CC}">
                <c16:uniqueId val="{000000D5-FA73-6B4A-B696-C56F0C2B9779}"/>
              </c:ext>
            </c:extLst>
          </c:dPt>
          <c:dPt>
            <c:idx val="107"/>
            <c:bubble3D val="0"/>
            <c:spPr>
              <a:solidFill>
                <a:srgbClr val="F60FE9"/>
              </a:solidFill>
            </c:spPr>
            <c:extLst>
              <c:ext xmlns:c16="http://schemas.microsoft.com/office/drawing/2014/chart" uri="{C3380CC4-5D6E-409C-BE32-E72D297353CC}">
                <c16:uniqueId val="{000000D7-FA73-6B4A-B696-C56F0C2B9779}"/>
              </c:ext>
            </c:extLst>
          </c:dPt>
          <c:dPt>
            <c:idx val="108"/>
            <c:bubble3D val="0"/>
            <c:spPr>
              <a:solidFill>
                <a:srgbClr val="3F192F"/>
              </a:solidFill>
            </c:spPr>
            <c:extLst>
              <c:ext xmlns:c16="http://schemas.microsoft.com/office/drawing/2014/chart" uri="{C3380CC4-5D6E-409C-BE32-E72D297353CC}">
                <c16:uniqueId val="{000000D9-FA73-6B4A-B696-C56F0C2B9779}"/>
              </c:ext>
            </c:extLst>
          </c:dPt>
          <c:dPt>
            <c:idx val="109"/>
            <c:bubble3D val="0"/>
            <c:spPr>
              <a:solidFill>
                <a:srgbClr val="5F3E78"/>
              </a:solidFill>
            </c:spPr>
            <c:extLst>
              <c:ext xmlns:c16="http://schemas.microsoft.com/office/drawing/2014/chart" uri="{C3380CC4-5D6E-409C-BE32-E72D297353CC}">
                <c16:uniqueId val="{000000DB-FA73-6B4A-B696-C56F0C2B9779}"/>
              </c:ext>
            </c:extLst>
          </c:dPt>
          <c:dPt>
            <c:idx val="110"/>
            <c:bubble3D val="0"/>
            <c:spPr>
              <a:solidFill>
                <a:srgbClr val="13274F"/>
              </a:solidFill>
            </c:spPr>
            <c:extLst>
              <c:ext xmlns:c16="http://schemas.microsoft.com/office/drawing/2014/chart" uri="{C3380CC4-5D6E-409C-BE32-E72D297353CC}">
                <c16:uniqueId val="{000000DD-FA73-6B4A-B696-C56F0C2B9779}"/>
              </c:ext>
            </c:extLst>
          </c:dPt>
          <c:dPt>
            <c:idx val="111"/>
            <c:bubble3D val="0"/>
            <c:spPr>
              <a:solidFill>
                <a:srgbClr val="7E7FF4"/>
              </a:solidFill>
            </c:spPr>
            <c:extLst>
              <c:ext xmlns:c16="http://schemas.microsoft.com/office/drawing/2014/chart" uri="{C3380CC4-5D6E-409C-BE32-E72D297353CC}">
                <c16:uniqueId val="{000000DF-FA73-6B4A-B696-C56F0C2B9779}"/>
              </c:ext>
            </c:extLst>
          </c:dPt>
          <c:dPt>
            <c:idx val="112"/>
            <c:bubble3D val="0"/>
            <c:spPr>
              <a:solidFill>
                <a:srgbClr val="FF855D"/>
              </a:solidFill>
            </c:spPr>
            <c:extLst>
              <c:ext xmlns:c16="http://schemas.microsoft.com/office/drawing/2014/chart" uri="{C3380CC4-5D6E-409C-BE32-E72D297353CC}">
                <c16:uniqueId val="{000000E1-FA73-6B4A-B696-C56F0C2B9779}"/>
              </c:ext>
            </c:extLst>
          </c:dPt>
          <c:dPt>
            <c:idx val="113"/>
            <c:bubble3D val="0"/>
            <c:spPr>
              <a:solidFill>
                <a:srgbClr val="2F21FA"/>
              </a:solidFill>
            </c:spPr>
            <c:extLst>
              <c:ext xmlns:c16="http://schemas.microsoft.com/office/drawing/2014/chart" uri="{C3380CC4-5D6E-409C-BE32-E72D297353CC}">
                <c16:uniqueId val="{000000E3-FA73-6B4A-B696-C56F0C2B9779}"/>
              </c:ext>
            </c:extLst>
          </c:dPt>
          <c:dPt>
            <c:idx val="114"/>
            <c:bubble3D val="0"/>
            <c:spPr>
              <a:solidFill>
                <a:srgbClr val="773D33"/>
              </a:solidFill>
            </c:spPr>
            <c:extLst>
              <c:ext xmlns:c16="http://schemas.microsoft.com/office/drawing/2014/chart" uri="{C3380CC4-5D6E-409C-BE32-E72D297353CC}">
                <c16:uniqueId val="{000000E5-FA73-6B4A-B696-C56F0C2B9779}"/>
              </c:ext>
            </c:extLst>
          </c:dPt>
          <c:dPt>
            <c:idx val="115"/>
            <c:bubble3D val="0"/>
            <c:spPr>
              <a:solidFill>
                <a:srgbClr val="6677B4"/>
              </a:solidFill>
            </c:spPr>
            <c:extLst>
              <c:ext xmlns:c16="http://schemas.microsoft.com/office/drawing/2014/chart" uri="{C3380CC4-5D6E-409C-BE32-E72D297353CC}">
                <c16:uniqueId val="{000000E7-FA73-6B4A-B696-C56F0C2B9779}"/>
              </c:ext>
            </c:extLst>
          </c:dPt>
          <c:dPt>
            <c:idx val="116"/>
            <c:bubble3D val="0"/>
            <c:spPr>
              <a:solidFill>
                <a:srgbClr val="123F9B"/>
              </a:solidFill>
            </c:spPr>
            <c:extLst>
              <c:ext xmlns:c16="http://schemas.microsoft.com/office/drawing/2014/chart" uri="{C3380CC4-5D6E-409C-BE32-E72D297353CC}">
                <c16:uniqueId val="{000000E9-FA73-6B4A-B696-C56F0C2B9779}"/>
              </c:ext>
            </c:extLst>
          </c:dPt>
          <c:dPt>
            <c:idx val="117"/>
            <c:bubble3D val="0"/>
            <c:spPr>
              <a:solidFill>
                <a:srgbClr val="BB9C27"/>
              </a:solidFill>
            </c:spPr>
            <c:extLst>
              <c:ext xmlns:c16="http://schemas.microsoft.com/office/drawing/2014/chart" uri="{C3380CC4-5D6E-409C-BE32-E72D297353CC}">
                <c16:uniqueId val="{000000EB-FA73-6B4A-B696-C56F0C2B9779}"/>
              </c:ext>
            </c:extLst>
          </c:dPt>
          <c:dPt>
            <c:idx val="118"/>
            <c:bubble3D val="0"/>
            <c:spPr>
              <a:solidFill>
                <a:srgbClr val="FFADA9"/>
              </a:solidFill>
            </c:spPr>
            <c:extLst>
              <c:ext xmlns:c16="http://schemas.microsoft.com/office/drawing/2014/chart" uri="{C3380CC4-5D6E-409C-BE32-E72D297353CC}">
                <c16:uniqueId val="{000000ED-FA73-6B4A-B696-C56F0C2B9779}"/>
              </c:ext>
            </c:extLst>
          </c:dPt>
          <c:dPt>
            <c:idx val="119"/>
            <c:bubble3D val="0"/>
            <c:spPr>
              <a:solidFill>
                <a:srgbClr val="67370B"/>
              </a:solidFill>
            </c:spPr>
            <c:extLst>
              <c:ext xmlns:c16="http://schemas.microsoft.com/office/drawing/2014/chart" uri="{C3380CC4-5D6E-409C-BE32-E72D297353CC}">
                <c16:uniqueId val="{000000EF-FA73-6B4A-B696-C56F0C2B9779}"/>
              </c:ext>
            </c:extLst>
          </c:dPt>
          <c:dPt>
            <c:idx val="120"/>
            <c:bubble3D val="0"/>
            <c:spPr>
              <a:solidFill>
                <a:srgbClr val="B36136"/>
              </a:solidFill>
            </c:spPr>
            <c:extLst>
              <c:ext xmlns:c16="http://schemas.microsoft.com/office/drawing/2014/chart" uri="{C3380CC4-5D6E-409C-BE32-E72D297353CC}">
                <c16:uniqueId val="{000000F1-FA73-6B4A-B696-C56F0C2B9779}"/>
              </c:ext>
            </c:extLst>
          </c:dPt>
          <c:dPt>
            <c:idx val="121"/>
            <c:bubble3D val="0"/>
            <c:spPr>
              <a:solidFill>
                <a:srgbClr val="6CAFF1"/>
              </a:solidFill>
            </c:spPr>
            <c:extLst>
              <c:ext xmlns:c16="http://schemas.microsoft.com/office/drawing/2014/chart" uri="{C3380CC4-5D6E-409C-BE32-E72D297353CC}">
                <c16:uniqueId val="{000000F3-FA73-6B4A-B696-C56F0C2B9779}"/>
              </c:ext>
            </c:extLst>
          </c:dPt>
          <c:dPt>
            <c:idx val="122"/>
            <c:bubble3D val="0"/>
            <c:spPr>
              <a:solidFill>
                <a:srgbClr val="134FE6"/>
              </a:solidFill>
            </c:spPr>
            <c:extLst>
              <c:ext xmlns:c16="http://schemas.microsoft.com/office/drawing/2014/chart" uri="{C3380CC4-5D6E-409C-BE32-E72D297353CC}">
                <c16:uniqueId val="{000000F5-FA73-6B4A-B696-C56F0C2B9779}"/>
              </c:ext>
            </c:extLst>
          </c:dPt>
          <c:dPt>
            <c:idx val="123"/>
            <c:bubble3D val="0"/>
            <c:spPr>
              <a:solidFill>
                <a:srgbClr val="F6B65B"/>
              </a:solidFill>
            </c:spPr>
            <c:extLst>
              <c:ext xmlns:c16="http://schemas.microsoft.com/office/drawing/2014/chart" uri="{C3380CC4-5D6E-409C-BE32-E72D297353CC}">
                <c16:uniqueId val="{000000F7-FA73-6B4A-B696-C56F0C2B9779}"/>
              </c:ext>
            </c:extLst>
          </c:dPt>
          <c:dPt>
            <c:idx val="124"/>
            <c:bubble3D val="0"/>
            <c:spPr>
              <a:solidFill>
                <a:srgbClr val="FFDDF5"/>
              </a:solidFill>
            </c:spPr>
            <c:extLst>
              <c:ext xmlns:c16="http://schemas.microsoft.com/office/drawing/2014/chart" uri="{C3380CC4-5D6E-409C-BE32-E72D297353CC}">
                <c16:uniqueId val="{000000F9-FA73-6B4A-B696-C56F0C2B9779}"/>
              </c:ext>
            </c:extLst>
          </c:dPt>
          <c:dPt>
            <c:idx val="125"/>
            <c:bubble3D val="0"/>
            <c:spPr>
              <a:solidFill>
                <a:srgbClr val="9E4B1C"/>
              </a:solidFill>
            </c:spPr>
            <c:extLst>
              <c:ext xmlns:c16="http://schemas.microsoft.com/office/drawing/2014/chart" uri="{C3380CC4-5D6E-409C-BE32-E72D297353CC}">
                <c16:uniqueId val="{000000FB-FA73-6B4A-B696-C56F0C2B9779}"/>
              </c:ext>
            </c:extLst>
          </c:dPt>
          <c:dPt>
            <c:idx val="126"/>
            <c:bubble3D val="0"/>
            <c:spPr>
              <a:solidFill>
                <a:srgbClr val="EB8739"/>
              </a:solidFill>
            </c:spPr>
            <c:extLst>
              <c:ext xmlns:c16="http://schemas.microsoft.com/office/drawing/2014/chart" uri="{C3380CC4-5D6E-409C-BE32-E72D297353CC}">
                <c16:uniqueId val="{000000FD-FA73-6B4A-B696-C56F0C2B9779}"/>
              </c:ext>
            </c:extLst>
          </c:dPt>
          <c:dPt>
            <c:idx val="127"/>
            <c:bubble3D val="0"/>
            <c:spPr>
              <a:solidFill>
                <a:srgbClr val="6EE72E"/>
              </a:solidFill>
            </c:spPr>
            <c:extLst>
              <c:ext xmlns:c16="http://schemas.microsoft.com/office/drawing/2014/chart" uri="{C3380CC4-5D6E-409C-BE32-E72D297353CC}">
                <c16:uniqueId val="{000000FF-FA73-6B4A-B696-C56F0C2B9779}"/>
              </c:ext>
            </c:extLst>
          </c:dPt>
          <c:dPt>
            <c:idx val="128"/>
            <c:bubble3D val="0"/>
            <c:spPr>
              <a:solidFill>
                <a:srgbClr val="166631"/>
              </a:solidFill>
            </c:spPr>
            <c:extLst>
              <c:ext xmlns:c16="http://schemas.microsoft.com/office/drawing/2014/chart" uri="{C3380CC4-5D6E-409C-BE32-E72D297353CC}">
                <c16:uniqueId val="{00000101-FA73-6B4A-B696-C56F0C2B9779}"/>
              </c:ext>
            </c:extLst>
          </c:dPt>
          <c:dPt>
            <c:idx val="129"/>
            <c:bubble3D val="0"/>
            <c:spPr>
              <a:solidFill>
                <a:srgbClr val="33CC8F"/>
              </a:solidFill>
            </c:spPr>
            <c:extLst>
              <c:ext xmlns:c16="http://schemas.microsoft.com/office/drawing/2014/chart" uri="{C3380CC4-5D6E-409C-BE32-E72D297353CC}">
                <c16:uniqueId val="{00000103-FA73-6B4A-B696-C56F0C2B9779}"/>
              </c:ext>
            </c:extLst>
          </c:dPt>
          <c:dPt>
            <c:idx val="130"/>
            <c:bubble3D val="0"/>
            <c:spPr>
              <a:solidFill>
                <a:srgbClr val="FF0741"/>
              </a:solidFill>
            </c:spPr>
            <c:extLst>
              <c:ext xmlns:c16="http://schemas.microsoft.com/office/drawing/2014/chart" uri="{C3380CC4-5D6E-409C-BE32-E72D297353CC}">
                <c16:uniqueId val="{00000105-FA73-6B4A-B696-C56F0C2B9779}"/>
              </c:ext>
            </c:extLst>
          </c:dPt>
          <c:dPt>
            <c:idx val="131"/>
            <c:bubble3D val="0"/>
            <c:spPr>
              <a:solidFill>
                <a:srgbClr val="D65F2D"/>
              </a:solidFill>
            </c:spPr>
            <c:extLst>
              <c:ext xmlns:c16="http://schemas.microsoft.com/office/drawing/2014/chart" uri="{C3380CC4-5D6E-409C-BE32-E72D297353CC}">
                <c16:uniqueId val="{00000107-FA73-6B4A-B696-C56F0C2B9779}"/>
              </c:ext>
            </c:extLst>
          </c:dPt>
          <c:dPt>
            <c:idx val="132"/>
            <c:bubble3D val="0"/>
            <c:spPr>
              <a:solidFill>
                <a:srgbClr val="23AB3D"/>
              </a:solidFill>
            </c:spPr>
            <c:extLst>
              <c:ext xmlns:c16="http://schemas.microsoft.com/office/drawing/2014/chart" uri="{C3380CC4-5D6E-409C-BE32-E72D297353CC}">
                <c16:uniqueId val="{00000109-FA73-6B4A-B696-C56F0C2B9779}"/>
              </c:ext>
            </c:extLst>
          </c:dPt>
          <c:dPt>
            <c:idx val="133"/>
            <c:bubble3D val="0"/>
            <c:spPr>
              <a:solidFill>
                <a:srgbClr val="751D6A"/>
              </a:solidFill>
            </c:spPr>
            <c:extLst>
              <c:ext xmlns:c16="http://schemas.microsoft.com/office/drawing/2014/chart" uri="{C3380CC4-5D6E-409C-BE32-E72D297353CC}">
                <c16:uniqueId val="{0000010B-FA73-6B4A-B696-C56F0C2B9779}"/>
              </c:ext>
            </c:extLst>
          </c:dPt>
          <c:dPt>
            <c:idx val="134"/>
            <c:bubble3D val="0"/>
            <c:spPr>
              <a:solidFill>
                <a:srgbClr val="17767D"/>
              </a:solidFill>
            </c:spPr>
            <c:extLst>
              <c:ext xmlns:c16="http://schemas.microsoft.com/office/drawing/2014/chart" uri="{C3380CC4-5D6E-409C-BE32-E72D297353CC}">
                <c16:uniqueId val="{0000010D-FA73-6B4A-B696-C56F0C2B9779}"/>
              </c:ext>
            </c:extLst>
          </c:dPt>
          <c:dPt>
            <c:idx val="135"/>
            <c:bubble3D val="0"/>
            <c:spPr>
              <a:solidFill>
                <a:srgbClr val="72E6C2"/>
              </a:solidFill>
            </c:spPr>
            <c:extLst>
              <c:ext xmlns:c16="http://schemas.microsoft.com/office/drawing/2014/chart" uri="{C3380CC4-5D6E-409C-BE32-E72D297353CC}">
                <c16:uniqueId val="{0000010F-FA73-6B4A-B696-C56F0C2B9779}"/>
              </c:ext>
            </c:extLst>
          </c:dPt>
          <c:dPt>
            <c:idx val="136"/>
            <c:bubble3D val="0"/>
            <c:spPr>
              <a:solidFill>
                <a:srgbClr val="FF378D"/>
              </a:solidFill>
            </c:spPr>
            <c:extLst>
              <c:ext xmlns:c16="http://schemas.microsoft.com/office/drawing/2014/chart" uri="{C3380CC4-5D6E-409C-BE32-E72D297353CC}">
                <c16:uniqueId val="{00000111-FA73-6B4A-B696-C56F0C2B9779}"/>
              </c:ext>
            </c:extLst>
          </c:dPt>
          <c:dPt>
            <c:idx val="137"/>
            <c:bubble3D val="0"/>
            <c:spPr>
              <a:solidFill>
                <a:srgbClr val="0B733E"/>
              </a:solidFill>
            </c:spPr>
            <c:extLst>
              <c:ext xmlns:c16="http://schemas.microsoft.com/office/drawing/2014/chart" uri="{C3380CC4-5D6E-409C-BE32-E72D297353CC}">
                <c16:uniqueId val="{00000113-FA73-6B4A-B696-C56F0C2B9779}"/>
              </c:ext>
            </c:extLst>
          </c:dPt>
          <c:dPt>
            <c:idx val="138"/>
            <c:bubble3D val="0"/>
            <c:spPr>
              <a:solidFill>
                <a:srgbClr val="5BCF40"/>
              </a:solidFill>
            </c:spPr>
            <c:extLst>
              <c:ext xmlns:c16="http://schemas.microsoft.com/office/drawing/2014/chart" uri="{C3380CC4-5D6E-409C-BE32-E72D297353CC}">
                <c16:uniqueId val="{00000115-FA73-6B4A-B696-C56F0C2B9779}"/>
              </c:ext>
            </c:extLst>
          </c:dPt>
          <c:dPt>
            <c:idx val="139"/>
            <c:bubble3D val="0"/>
            <c:spPr>
              <a:solidFill>
                <a:srgbClr val="7F55A7"/>
              </a:solidFill>
            </c:spPr>
            <c:extLst>
              <c:ext xmlns:c16="http://schemas.microsoft.com/office/drawing/2014/chart" uri="{C3380CC4-5D6E-409C-BE32-E72D297353CC}">
                <c16:uniqueId val="{00000117-FA73-6B4A-B696-C56F0C2B9779}"/>
              </c:ext>
            </c:extLst>
          </c:dPt>
          <c:dPt>
            <c:idx val="140"/>
            <c:bubble3D val="0"/>
            <c:spPr>
              <a:solidFill>
                <a:srgbClr val="178EC8"/>
              </a:solidFill>
            </c:spPr>
            <c:extLst>
              <c:ext xmlns:c16="http://schemas.microsoft.com/office/drawing/2014/chart" uri="{C3380CC4-5D6E-409C-BE32-E72D297353CC}">
                <c16:uniqueId val="{00000119-FA73-6B4A-B696-C56F0C2B9779}"/>
              </c:ext>
            </c:extLst>
          </c:dPt>
          <c:dPt>
            <c:idx val="141"/>
            <c:bubble3D val="0"/>
            <c:spPr>
              <a:solidFill>
                <a:srgbClr val="AF04F6"/>
              </a:solidFill>
            </c:spPr>
            <c:extLst>
              <c:ext xmlns:c16="http://schemas.microsoft.com/office/drawing/2014/chart" uri="{C3380CC4-5D6E-409C-BE32-E72D297353CC}">
                <c16:uniqueId val="{0000011B-FA73-6B4A-B696-C56F0C2B9779}"/>
              </c:ext>
            </c:extLst>
          </c:dPt>
          <c:dPt>
            <c:idx val="142"/>
            <c:bubble3D val="0"/>
            <c:spPr>
              <a:solidFill>
                <a:srgbClr val="FF5EDA"/>
              </a:solidFill>
            </c:spPr>
            <c:extLst>
              <c:ext xmlns:c16="http://schemas.microsoft.com/office/drawing/2014/chart" uri="{C3380CC4-5D6E-409C-BE32-E72D297353CC}">
                <c16:uniqueId val="{0000011D-FA73-6B4A-B696-C56F0C2B9779}"/>
              </c:ext>
            </c:extLst>
          </c:dPt>
          <c:dPt>
            <c:idx val="143"/>
            <c:bubble3D val="0"/>
            <c:spPr>
              <a:solidFill>
                <a:srgbClr val="43864F"/>
              </a:solidFill>
            </c:spPr>
            <c:extLst>
              <c:ext xmlns:c16="http://schemas.microsoft.com/office/drawing/2014/chart" uri="{C3380CC4-5D6E-409C-BE32-E72D297353CC}">
                <c16:uniqueId val="{0000011F-FA73-6B4A-B696-C56F0C2B9779}"/>
              </c:ext>
            </c:extLst>
          </c:dPt>
          <c:dPt>
            <c:idx val="144"/>
            <c:bubble3D val="0"/>
            <c:spPr>
              <a:solidFill>
                <a:srgbClr val="93F343"/>
              </a:solidFill>
            </c:spPr>
            <c:extLst>
              <c:ext xmlns:c16="http://schemas.microsoft.com/office/drawing/2014/chart" uri="{C3380CC4-5D6E-409C-BE32-E72D297353CC}">
                <c16:uniqueId val="{00000121-FA73-6B4A-B696-C56F0C2B9779}"/>
              </c:ext>
            </c:extLst>
          </c:dPt>
          <c:dPt>
            <c:idx val="145"/>
            <c:bubble3D val="0"/>
            <c:spPr>
              <a:solidFill>
                <a:srgbClr val="858DE3"/>
              </a:solidFill>
            </c:spPr>
            <c:extLst>
              <c:ext xmlns:c16="http://schemas.microsoft.com/office/drawing/2014/chart" uri="{C3380CC4-5D6E-409C-BE32-E72D297353CC}">
                <c16:uniqueId val="{00000123-FA73-6B4A-B696-C56F0C2B9779}"/>
              </c:ext>
            </c:extLst>
          </c:dPt>
          <c:dPt>
            <c:idx val="146"/>
            <c:bubble3D val="0"/>
            <c:spPr>
              <a:solidFill>
                <a:srgbClr val="1A9F13"/>
              </a:solidFill>
            </c:spPr>
            <c:extLst>
              <c:ext xmlns:c16="http://schemas.microsoft.com/office/drawing/2014/chart" uri="{C3380CC4-5D6E-409C-BE32-E72D297353CC}">
                <c16:uniqueId val="{00000125-FA73-6B4A-B696-C56F0C2B9779}"/>
              </c:ext>
            </c:extLst>
          </c:dPt>
          <c:dPt>
            <c:idx val="147"/>
            <c:bubble3D val="0"/>
            <c:spPr>
              <a:solidFill>
                <a:srgbClr val="EB1F29"/>
              </a:solidFill>
            </c:spPr>
            <c:extLst>
              <c:ext xmlns:c16="http://schemas.microsoft.com/office/drawing/2014/chart" uri="{C3380CC4-5D6E-409C-BE32-E72D297353CC}">
                <c16:uniqueId val="{00000127-FA73-6B4A-B696-C56F0C2B9779}"/>
              </c:ext>
            </c:extLst>
          </c:dPt>
          <c:dPt>
            <c:idx val="148"/>
            <c:bubble3D val="0"/>
            <c:spPr>
              <a:solidFill>
                <a:srgbClr val="FF8F26"/>
              </a:solidFill>
            </c:spPr>
            <c:extLst>
              <c:ext xmlns:c16="http://schemas.microsoft.com/office/drawing/2014/chart" uri="{C3380CC4-5D6E-409C-BE32-E72D297353CC}">
                <c16:uniqueId val="{00000129-FA73-6B4A-B696-C56F0C2B9779}"/>
              </c:ext>
            </c:extLst>
          </c:dPt>
          <c:dPt>
            <c:idx val="149"/>
            <c:bubble3D val="0"/>
            <c:spPr>
              <a:solidFill>
                <a:srgbClr val="7A9A60"/>
              </a:solidFill>
            </c:spPr>
            <c:extLst>
              <c:ext xmlns:c16="http://schemas.microsoft.com/office/drawing/2014/chart" uri="{C3380CC4-5D6E-409C-BE32-E72D297353CC}">
                <c16:uniqueId val="{0000012B-FA73-6B4A-B696-C56F0C2B9779}"/>
              </c:ext>
            </c:extLst>
          </c:dPt>
          <c:dPt>
            <c:idx val="150"/>
            <c:bubble3D val="0"/>
            <c:spPr>
              <a:solidFill>
                <a:srgbClr val="CC1947"/>
              </a:solidFill>
            </c:spPr>
            <c:extLst>
              <c:ext xmlns:c16="http://schemas.microsoft.com/office/drawing/2014/chart" uri="{C3380CC4-5D6E-409C-BE32-E72D297353CC}">
                <c16:uniqueId val="{0000012D-FA73-6B4A-B696-C56F0C2B9779}"/>
              </c:ext>
            </c:extLst>
          </c:dPt>
          <c:dPt>
            <c:idx val="151"/>
            <c:bubble3D val="0"/>
            <c:spPr>
              <a:solidFill>
                <a:srgbClr val="8DC720"/>
              </a:solidFill>
            </c:spPr>
            <c:extLst>
              <c:ext xmlns:c16="http://schemas.microsoft.com/office/drawing/2014/chart" uri="{C3380CC4-5D6E-409C-BE32-E72D297353CC}">
                <c16:uniqueId val="{0000012F-FA73-6B4A-B696-C56F0C2B9779}"/>
              </c:ext>
            </c:extLst>
          </c:dPt>
          <c:dPt>
            <c:idx val="152"/>
            <c:bubble3D val="0"/>
            <c:spPr>
              <a:solidFill>
                <a:srgbClr val="1BB75F"/>
              </a:solidFill>
            </c:spPr>
            <c:extLst>
              <c:ext xmlns:c16="http://schemas.microsoft.com/office/drawing/2014/chart" uri="{C3380CC4-5D6E-409C-BE32-E72D297353CC}">
                <c16:uniqueId val="{00000131-FA73-6B4A-B696-C56F0C2B9779}"/>
              </c:ext>
            </c:extLst>
          </c:dPt>
          <c:dPt>
            <c:idx val="153"/>
            <c:bubble3D val="0"/>
            <c:spPr>
              <a:solidFill>
                <a:srgbClr val="27355D"/>
              </a:solidFill>
            </c:spPr>
            <c:extLst>
              <c:ext xmlns:c16="http://schemas.microsoft.com/office/drawing/2014/chart" uri="{C3380CC4-5D6E-409C-BE32-E72D297353CC}">
                <c16:uniqueId val="{00000133-FA73-6B4A-B696-C56F0C2B9779}"/>
              </c:ext>
            </c:extLst>
          </c:dPt>
          <c:dPt>
            <c:idx val="154"/>
            <c:bubble3D val="0"/>
            <c:spPr>
              <a:solidFill>
                <a:srgbClr val="FFB772"/>
              </a:solidFill>
            </c:spPr>
            <c:extLst>
              <c:ext xmlns:c16="http://schemas.microsoft.com/office/drawing/2014/chart" uri="{C3380CC4-5D6E-409C-BE32-E72D297353CC}">
                <c16:uniqueId val="{00000135-FA73-6B4A-B696-C56F0C2B9779}"/>
              </c:ext>
            </c:extLst>
          </c:dPt>
          <c:dPt>
            <c:idx val="155"/>
            <c:bubble3D val="0"/>
            <c:spPr>
              <a:solidFill>
                <a:srgbClr val="B2AE72"/>
              </a:solidFill>
            </c:spPr>
            <c:extLst>
              <c:ext xmlns:c16="http://schemas.microsoft.com/office/drawing/2014/chart" uri="{C3380CC4-5D6E-409C-BE32-E72D297353CC}">
                <c16:uniqueId val="{00000137-FA73-6B4A-B696-C56F0C2B9779}"/>
              </c:ext>
            </c:extLst>
          </c:dPt>
          <c:dPt>
            <c:idx val="156"/>
            <c:bubble3D val="0"/>
            <c:spPr>
              <a:solidFill>
                <a:srgbClr val="043D4A"/>
              </a:solidFill>
            </c:spPr>
            <c:extLst>
              <c:ext xmlns:c16="http://schemas.microsoft.com/office/drawing/2014/chart" uri="{C3380CC4-5D6E-409C-BE32-E72D297353CC}">
                <c16:uniqueId val="{00000139-FA73-6B4A-B696-C56F0C2B9779}"/>
              </c:ext>
            </c:extLst>
          </c:dPt>
          <c:dPt>
            <c:idx val="157"/>
            <c:bubble3D val="0"/>
            <c:spPr>
              <a:solidFill>
                <a:srgbClr val="8FFF5D"/>
              </a:solidFill>
            </c:spPr>
            <c:extLst>
              <c:ext xmlns:c16="http://schemas.microsoft.com/office/drawing/2014/chart" uri="{C3380CC4-5D6E-409C-BE32-E72D297353CC}">
                <c16:uniqueId val="{0000013B-FA73-6B4A-B696-C56F0C2B9779}"/>
              </c:ext>
            </c:extLst>
          </c:dPt>
          <c:dPt>
            <c:idx val="158"/>
            <c:bubble3D val="0"/>
            <c:spPr>
              <a:solidFill>
                <a:srgbClr val="1AC7AA"/>
              </a:solidFill>
            </c:spPr>
            <c:extLst>
              <c:ext xmlns:c16="http://schemas.microsoft.com/office/drawing/2014/chart" uri="{C3380CC4-5D6E-409C-BE32-E72D297353CC}">
                <c16:uniqueId val="{0000013D-FA73-6B4A-B696-C56F0C2B9779}"/>
              </c:ext>
            </c:extLst>
          </c:dPt>
          <c:dPt>
            <c:idx val="159"/>
            <c:bubble3D val="0"/>
            <c:spPr>
              <a:solidFill>
                <a:srgbClr val="634F91"/>
              </a:solidFill>
            </c:spPr>
            <c:extLst>
              <c:ext xmlns:c16="http://schemas.microsoft.com/office/drawing/2014/chart" uri="{C3380CC4-5D6E-409C-BE32-E72D297353CC}">
                <c16:uniqueId val="{0000013F-FA73-6B4A-B696-C56F0C2B9779}"/>
              </c:ext>
            </c:extLst>
          </c:dPt>
          <c:dPt>
            <c:idx val="160"/>
            <c:bubble3D val="0"/>
            <c:spPr>
              <a:solidFill>
                <a:srgbClr val="FFE7BE"/>
              </a:solidFill>
            </c:spPr>
            <c:extLst>
              <c:ext xmlns:c16="http://schemas.microsoft.com/office/drawing/2014/chart" uri="{C3380CC4-5D6E-409C-BE32-E72D297353CC}">
                <c16:uniqueId val="{00000141-FA73-6B4A-B696-C56F0C2B9779}"/>
              </c:ext>
            </c:extLst>
          </c:dPt>
          <c:dPt>
            <c:idx val="161"/>
            <c:bubble3D val="0"/>
            <c:spPr>
              <a:solidFill>
                <a:srgbClr val="EBC283"/>
              </a:solidFill>
            </c:spPr>
            <c:extLst>
              <c:ext xmlns:c16="http://schemas.microsoft.com/office/drawing/2014/chart" uri="{C3380CC4-5D6E-409C-BE32-E72D297353CC}">
                <c16:uniqueId val="{00000143-FA73-6B4A-B696-C56F0C2B9779}"/>
              </c:ext>
            </c:extLst>
          </c:dPt>
          <c:dPt>
            <c:idx val="162"/>
            <c:bubble3D val="0"/>
            <c:spPr>
              <a:solidFill>
                <a:srgbClr val="3D614D"/>
              </a:solidFill>
            </c:spPr>
            <c:extLst>
              <c:ext xmlns:c16="http://schemas.microsoft.com/office/drawing/2014/chart" uri="{C3380CC4-5D6E-409C-BE32-E72D297353CC}">
                <c16:uniqueId val="{00000145-FA73-6B4A-B696-C56F0C2B9779}"/>
              </c:ext>
            </c:extLst>
          </c:dPt>
          <c:dPt>
            <c:idx val="163"/>
            <c:bubble3D val="0"/>
            <c:spPr>
              <a:solidFill>
                <a:srgbClr val="963699"/>
              </a:solidFill>
            </c:spPr>
            <c:extLst>
              <c:ext xmlns:c16="http://schemas.microsoft.com/office/drawing/2014/chart" uri="{C3380CC4-5D6E-409C-BE32-E72D297353CC}">
                <c16:uniqueId val="{00000147-FA73-6B4A-B696-C56F0C2B9779}"/>
              </c:ext>
            </c:extLst>
          </c:dPt>
          <c:dPt>
            <c:idx val="164"/>
            <c:bubble3D val="0"/>
            <c:spPr>
              <a:solidFill>
                <a:srgbClr val="1BDFF5"/>
              </a:solidFill>
            </c:spPr>
            <c:extLst>
              <c:ext xmlns:c16="http://schemas.microsoft.com/office/drawing/2014/chart" uri="{C3380CC4-5D6E-409C-BE32-E72D297353CC}">
                <c16:uniqueId val="{00000149-FA73-6B4A-B696-C56F0C2B9779}"/>
              </c:ext>
            </c:extLst>
          </c:dPt>
          <c:cat>
            <c:strRef>
              <c:f>World!$A$7:$A$171</c:f>
              <c:strCache>
                <c:ptCount val="165"/>
                <c:pt idx="0">
                  <c:v>China</c:v>
                </c:pt>
                <c:pt idx="1">
                  <c:v>Italy</c:v>
                </c:pt>
                <c:pt idx="2">
                  <c:v>Iran</c:v>
                </c:pt>
                <c:pt idx="3">
                  <c:v>Spain</c:v>
                </c:pt>
                <c:pt idx="4">
                  <c:v>Germany</c:v>
                </c:pt>
                <c:pt idx="5">
                  <c:v>United States</c:v>
                </c:pt>
                <c:pt idx="6">
                  <c:v>France</c:v>
                </c:pt>
                <c:pt idx="7">
                  <c:v>South Korea</c:v>
                </c:pt>
                <c:pt idx="8">
                  <c:v>Switzerland</c:v>
                </c:pt>
                <c:pt idx="9">
                  <c:v>United Kingdom</c:v>
                </c:pt>
                <c:pt idx="10">
                  <c:v>Netherlands</c:v>
                </c:pt>
                <c:pt idx="11">
                  <c:v>Austria</c:v>
                </c:pt>
                <c:pt idx="12">
                  <c:v>Belgium</c:v>
                </c:pt>
                <c:pt idx="13">
                  <c:v>Norway</c:v>
                </c:pt>
                <c:pt idx="14">
                  <c:v>Sweden</c:v>
                </c:pt>
                <c:pt idx="15">
                  <c:v>Denmark</c:v>
                </c:pt>
                <c:pt idx="16">
                  <c:v>Japan</c:v>
                </c:pt>
                <c:pt idx="17">
                  <c:v>Malaysia</c:v>
                </c:pt>
                <c:pt idx="18">
                  <c:v>Canada</c:v>
                </c:pt>
                <c:pt idx="19">
                  <c:v>Portugal</c:v>
                </c:pt>
                <c:pt idx="20">
                  <c:v>Diamond Princess</c:v>
                </c:pt>
                <c:pt idx="21">
                  <c:v>Australia</c:v>
                </c:pt>
                <c:pt idx="22">
                  <c:v>Czech Republic</c:v>
                </c:pt>
                <c:pt idx="23">
                  <c:v>Brazil</c:v>
                </c:pt>
                <c:pt idx="24">
                  <c:v>Israel</c:v>
                </c:pt>
                <c:pt idx="25">
                  <c:v>Greece</c:v>
                </c:pt>
                <c:pt idx="26">
                  <c:v>Qatar</c:v>
                </c:pt>
                <c:pt idx="27">
                  <c:v>Finland</c:v>
                </c:pt>
                <c:pt idx="28">
                  <c:v>Pakistan</c:v>
                </c:pt>
                <c:pt idx="29">
                  <c:v>Ireland</c:v>
                </c:pt>
                <c:pt idx="30">
                  <c:v>Poland</c:v>
                </c:pt>
                <c:pt idx="31">
                  <c:v>Singapore</c:v>
                </c:pt>
                <c:pt idx="32">
                  <c:v>Luxembourg</c:v>
                </c:pt>
                <c:pt idx="33">
                  <c:v>Iceland</c:v>
                </c:pt>
                <c:pt idx="34">
                  <c:v>Indonesia</c:v>
                </c:pt>
                <c:pt idx="35">
                  <c:v>Slovenia</c:v>
                </c:pt>
                <c:pt idx="36">
                  <c:v>Thailand</c:v>
                </c:pt>
                <c:pt idx="37">
                  <c:v>Bahrain</c:v>
                </c:pt>
                <c:pt idx="38">
                  <c:v>Romania</c:v>
                </c:pt>
                <c:pt idx="39">
                  <c:v>Estonia</c:v>
                </c:pt>
                <c:pt idx="40">
                  <c:v>Saudi Arabia</c:v>
                </c:pt>
                <c:pt idx="41">
                  <c:v>Chile</c:v>
                </c:pt>
                <c:pt idx="42">
                  <c:v>Philippines</c:v>
                </c:pt>
                <c:pt idx="43">
                  <c:v>Egypt</c:v>
                </c:pt>
                <c:pt idx="44">
                  <c:v>Russia</c:v>
                </c:pt>
                <c:pt idx="45">
                  <c:v>Hong Kong</c:v>
                </c:pt>
                <c:pt idx="46">
                  <c:v>Turkey</c:v>
                </c:pt>
                <c:pt idx="47">
                  <c:v>Iraq</c:v>
                </c:pt>
                <c:pt idx="48">
                  <c:v>India</c:v>
                </c:pt>
                <c:pt idx="49">
                  <c:v>Ecuador</c:v>
                </c:pt>
                <c:pt idx="50">
                  <c:v>Mexico</c:v>
                </c:pt>
                <c:pt idx="51">
                  <c:v>South Africa</c:v>
                </c:pt>
                <c:pt idx="52">
                  <c:v>Lebanon</c:v>
                </c:pt>
                <c:pt idx="53">
                  <c:v>Kuwait</c:v>
                </c:pt>
                <c:pt idx="54">
                  <c:v>Peru</c:v>
                </c:pt>
                <c:pt idx="55">
                  <c:v>San Marino</c:v>
                </c:pt>
                <c:pt idx="56">
                  <c:v>Panama</c:v>
                </c:pt>
                <c:pt idx="57">
                  <c:v>Armenia</c:v>
                </c:pt>
                <c:pt idx="58">
                  <c:v>United Arab Emirates</c:v>
                </c:pt>
                <c:pt idx="59">
                  <c:v>Taiwan</c:v>
                </c:pt>
                <c:pt idx="60">
                  <c:v>Slovakia</c:v>
                </c:pt>
                <c:pt idx="61">
                  <c:v>Colombia</c:v>
                </c:pt>
                <c:pt idx="62">
                  <c:v>Serbia</c:v>
                </c:pt>
                <c:pt idx="63">
                  <c:v>Argentina</c:v>
                </c:pt>
                <c:pt idx="64">
                  <c:v>Croatia</c:v>
                </c:pt>
                <c:pt idx="65">
                  <c:v>Bulgaria</c:v>
                </c:pt>
                <c:pt idx="66">
                  <c:v>Latvia</c:v>
                </c:pt>
                <c:pt idx="67">
                  <c:v>Algeria</c:v>
                </c:pt>
                <c:pt idx="68">
                  <c:v>Uruguay</c:v>
                </c:pt>
                <c:pt idx="69">
                  <c:v>Vietnam</c:v>
                </c:pt>
                <c:pt idx="70">
                  <c:v>Hungary</c:v>
                </c:pt>
                <c:pt idx="71">
                  <c:v>Costa Rica</c:v>
                </c:pt>
                <c:pt idx="72">
                  <c:v>Brunei</c:v>
                </c:pt>
                <c:pt idx="73">
                  <c:v>Albania</c:v>
                </c:pt>
                <c:pt idx="74">
                  <c:v>Cyprus</c:v>
                </c:pt>
                <c:pt idx="75">
                  <c:v>Morocco</c:v>
                </c:pt>
                <c:pt idx="76">
                  <c:v>Jordan</c:v>
                </c:pt>
                <c:pt idx="77">
                  <c:v>Andorra</c:v>
                </c:pt>
                <c:pt idx="78">
                  <c:v>Belarus</c:v>
                </c:pt>
                <c:pt idx="79">
                  <c:v>Sri Lanka</c:v>
                </c:pt>
                <c:pt idx="80">
                  <c:v>Malta</c:v>
                </c:pt>
                <c:pt idx="81">
                  <c:v>Palestine</c:v>
                </c:pt>
                <c:pt idx="82">
                  <c:v>Kazakhstan</c:v>
                </c:pt>
                <c:pt idx="83">
                  <c:v>North Macedonia</c:v>
                </c:pt>
                <c:pt idx="84">
                  <c:v>Georgia</c:v>
                </c:pt>
                <c:pt idx="85">
                  <c:v>Oman</c:v>
                </c:pt>
                <c:pt idx="86">
                  <c:v>New Zealand</c:v>
                </c:pt>
                <c:pt idx="87">
                  <c:v>Senegal</c:v>
                </c:pt>
                <c:pt idx="88">
                  <c:v>Cambodia</c:v>
                </c:pt>
                <c:pt idx="89">
                  <c:v>Bosnia</c:v>
                </c:pt>
                <c:pt idx="90">
                  <c:v>Venezuela</c:v>
                </c:pt>
                <c:pt idx="91">
                  <c:v>Moldova</c:v>
                </c:pt>
                <c:pt idx="92">
                  <c:v>Azerbaijan</c:v>
                </c:pt>
                <c:pt idx="93">
                  <c:v>Lithuania</c:v>
                </c:pt>
                <c:pt idx="94">
                  <c:v>Dominican Republic</c:v>
                </c:pt>
                <c:pt idx="95">
                  <c:v>Tunisia</c:v>
                </c:pt>
                <c:pt idx="96">
                  <c:v>Liechtenstein</c:v>
                </c:pt>
                <c:pt idx="97">
                  <c:v>Burkina Faso</c:v>
                </c:pt>
                <c:pt idx="98">
                  <c:v>Uzbekistan</c:v>
                </c:pt>
                <c:pt idx="99">
                  <c:v>Afghanistan</c:v>
                </c:pt>
                <c:pt idx="100">
                  <c:v>Northern Cyprus</c:v>
                </c:pt>
                <c:pt idx="101">
                  <c:v>Kosovo</c:v>
                </c:pt>
                <c:pt idx="102">
                  <c:v>Macau</c:v>
                </c:pt>
                <c:pt idx="103">
                  <c:v>Bangladesh</c:v>
                </c:pt>
                <c:pt idx="104">
                  <c:v>Ukraine</c:v>
                </c:pt>
                <c:pt idx="105">
                  <c:v>Bolivia</c:v>
                </c:pt>
                <c:pt idx="106">
                  <c:v>Jamaica</c:v>
                </c:pt>
                <c:pt idx="107">
                  <c:v>DR Congo</c:v>
                </c:pt>
                <c:pt idx="108">
                  <c:v>Maldives</c:v>
                </c:pt>
                <c:pt idx="109">
                  <c:v>Honduras</c:v>
                </c:pt>
                <c:pt idx="110">
                  <c:v>Paraguay</c:v>
                </c:pt>
                <c:pt idx="111">
                  <c:v>Rwanda</c:v>
                </c:pt>
                <c:pt idx="112">
                  <c:v>Cuba</c:v>
                </c:pt>
                <c:pt idx="113">
                  <c:v>Cameroon</c:v>
                </c:pt>
                <c:pt idx="114">
                  <c:v>Monaco</c:v>
                </c:pt>
                <c:pt idx="115">
                  <c:v>Ghana</c:v>
                </c:pt>
                <c:pt idx="116">
                  <c:v>Trinidad and Tobago</c:v>
                </c:pt>
                <c:pt idx="117">
                  <c:v>Montenegro</c:v>
                </c:pt>
                <c:pt idx="118">
                  <c:v>Gibraltar</c:v>
                </c:pt>
                <c:pt idx="119">
                  <c:v>Nigeria</c:v>
                </c:pt>
                <c:pt idx="120">
                  <c:v>Kenya</c:v>
                </c:pt>
                <c:pt idx="121">
                  <c:v>Guatemala</c:v>
                </c:pt>
                <c:pt idx="122">
                  <c:v>Ivory Coast</c:v>
                </c:pt>
                <c:pt idx="123">
                  <c:v>Ethiopia</c:v>
                </c:pt>
                <c:pt idx="124">
                  <c:v>Jersey</c:v>
                </c:pt>
                <c:pt idx="125">
                  <c:v>Seychelles</c:v>
                </c:pt>
                <c:pt idx="126">
                  <c:v>Mongolia</c:v>
                </c:pt>
                <c:pt idx="127">
                  <c:v>French Polynesia</c:v>
                </c:pt>
                <c:pt idx="128">
                  <c:v>Tanzania</c:v>
                </c:pt>
                <c:pt idx="129">
                  <c:v>Guyana</c:v>
                </c:pt>
                <c:pt idx="130">
                  <c:v>Aruba</c:v>
                </c:pt>
                <c:pt idx="131">
                  <c:v>Gabon</c:v>
                </c:pt>
                <c:pt idx="132">
                  <c:v>Equatorial Guinea</c:v>
                </c:pt>
                <c:pt idx="133">
                  <c:v>Kyrgyzstan</c:v>
                </c:pt>
                <c:pt idx="134">
                  <c:v>Bahamas</c:v>
                </c:pt>
                <c:pt idx="135">
                  <c:v>Curaçao</c:v>
                </c:pt>
                <c:pt idx="136">
                  <c:v>Mauritius</c:v>
                </c:pt>
                <c:pt idx="137">
                  <c:v>Congo Republic</c:v>
                </c:pt>
                <c:pt idx="138">
                  <c:v>Barbados</c:v>
                </c:pt>
                <c:pt idx="139">
                  <c:v>Namibia</c:v>
                </c:pt>
                <c:pt idx="140">
                  <c:v>Liberia</c:v>
                </c:pt>
                <c:pt idx="141">
                  <c:v>Saint Lucia</c:v>
                </c:pt>
                <c:pt idx="142">
                  <c:v>Greenland</c:v>
                </c:pt>
                <c:pt idx="143">
                  <c:v>Guinea</c:v>
                </c:pt>
                <c:pt idx="144">
                  <c:v>Mauritania</c:v>
                </c:pt>
                <c:pt idx="145">
                  <c:v>Zambia</c:v>
                </c:pt>
                <c:pt idx="146">
                  <c:v>Benin</c:v>
                </c:pt>
                <c:pt idx="147">
                  <c:v>El Salvador</c:v>
                </c:pt>
                <c:pt idx="148">
                  <c:v>Saint Vincent and the Grenadines</c:v>
                </c:pt>
                <c:pt idx="149">
                  <c:v>Suriname</c:v>
                </c:pt>
                <c:pt idx="150">
                  <c:v>Guernsey</c:v>
                </c:pt>
                <c:pt idx="151">
                  <c:v>Cayman Islands</c:v>
                </c:pt>
                <c:pt idx="152">
                  <c:v>Nicaragua</c:v>
                </c:pt>
                <c:pt idx="153">
                  <c:v>Djibouti</c:v>
                </c:pt>
                <c:pt idx="154">
                  <c:v>Antigua and Barbuda</c:v>
                </c:pt>
                <c:pt idx="155">
                  <c:v>Sudan</c:v>
                </c:pt>
                <c:pt idx="156">
                  <c:v>Montserrat</c:v>
                </c:pt>
                <c:pt idx="157">
                  <c:v>Gambia</c:v>
                </c:pt>
                <c:pt idx="158">
                  <c:v>Eswatini</c:v>
                </c:pt>
                <c:pt idx="159">
                  <c:v>Somalia</c:v>
                </c:pt>
                <c:pt idx="160">
                  <c:v>Central African Republic</c:v>
                </c:pt>
                <c:pt idx="161">
                  <c:v>Togo</c:v>
                </c:pt>
                <c:pt idx="162">
                  <c:v>Nepal</c:v>
                </c:pt>
                <c:pt idx="163">
                  <c:v>Bhutan</c:v>
                </c:pt>
                <c:pt idx="164">
                  <c:v>Vatican City</c:v>
                </c:pt>
              </c:strCache>
            </c:strRef>
          </c:cat>
          <c:val>
            <c:numRef>
              <c:f>World!$B$7:$B$171</c:f>
              <c:numCache>
                <c:formatCode>#,##0</c:formatCode>
                <c:ptCount val="165"/>
                <c:pt idx="0">
                  <c:v>80928</c:v>
                </c:pt>
                <c:pt idx="1">
                  <c:v>41035</c:v>
                </c:pt>
                <c:pt idx="2">
                  <c:v>18407</c:v>
                </c:pt>
                <c:pt idx="3">
                  <c:v>18077</c:v>
                </c:pt>
                <c:pt idx="4">
                  <c:v>15320</c:v>
                </c:pt>
                <c:pt idx="5">
                  <c:v>14145</c:v>
                </c:pt>
                <c:pt idx="6">
                  <c:v>10995</c:v>
                </c:pt>
                <c:pt idx="7">
                  <c:v>8652</c:v>
                </c:pt>
                <c:pt idx="8">
                  <c:v>4161</c:v>
                </c:pt>
                <c:pt idx="9">
                  <c:v>3269</c:v>
                </c:pt>
                <c:pt idx="10">
                  <c:v>2460</c:v>
                </c:pt>
                <c:pt idx="11">
                  <c:v>2013</c:v>
                </c:pt>
                <c:pt idx="12">
                  <c:v>1795</c:v>
                </c:pt>
                <c:pt idx="13">
                  <c:v>1775</c:v>
                </c:pt>
                <c:pt idx="14">
                  <c:v>1423</c:v>
                </c:pt>
                <c:pt idx="15">
                  <c:v>1223</c:v>
                </c:pt>
                <c:pt idx="16" formatCode="General">
                  <c:v>956</c:v>
                </c:pt>
                <c:pt idx="17" formatCode="General">
                  <c:v>900</c:v>
                </c:pt>
                <c:pt idx="18" formatCode="General">
                  <c:v>863</c:v>
                </c:pt>
                <c:pt idx="19" formatCode="General">
                  <c:v>785</c:v>
                </c:pt>
                <c:pt idx="20" formatCode="General">
                  <c:v>712</c:v>
                </c:pt>
                <c:pt idx="21" formatCode="General">
                  <c:v>710</c:v>
                </c:pt>
                <c:pt idx="22" formatCode="General">
                  <c:v>694</c:v>
                </c:pt>
                <c:pt idx="23" formatCode="General">
                  <c:v>635</c:v>
                </c:pt>
                <c:pt idx="24" formatCode="General">
                  <c:v>573</c:v>
                </c:pt>
                <c:pt idx="25" formatCode="General">
                  <c:v>464</c:v>
                </c:pt>
                <c:pt idx="26" formatCode="General">
                  <c:v>452</c:v>
                </c:pt>
                <c:pt idx="27" formatCode="General">
                  <c:v>400</c:v>
                </c:pt>
                <c:pt idx="28" formatCode="General">
                  <c:v>377</c:v>
                </c:pt>
                <c:pt idx="29" formatCode="General">
                  <c:v>366</c:v>
                </c:pt>
                <c:pt idx="30" formatCode="General">
                  <c:v>355</c:v>
                </c:pt>
                <c:pt idx="31" formatCode="General">
                  <c:v>345</c:v>
                </c:pt>
                <c:pt idx="32" formatCode="General">
                  <c:v>335</c:v>
                </c:pt>
                <c:pt idx="33" formatCode="General">
                  <c:v>330</c:v>
                </c:pt>
                <c:pt idx="34" formatCode="General">
                  <c:v>309</c:v>
                </c:pt>
                <c:pt idx="35" formatCode="General">
                  <c:v>286</c:v>
                </c:pt>
                <c:pt idx="36" formatCode="General">
                  <c:v>272</c:v>
                </c:pt>
                <c:pt idx="37" formatCode="General">
                  <c:v>279</c:v>
                </c:pt>
                <c:pt idx="38" formatCode="General">
                  <c:v>277</c:v>
                </c:pt>
                <c:pt idx="39" formatCode="General">
                  <c:v>267</c:v>
                </c:pt>
                <c:pt idx="40" formatCode="General">
                  <c:v>238</c:v>
                </c:pt>
                <c:pt idx="41" formatCode="General">
                  <c:v>238</c:v>
                </c:pt>
                <c:pt idx="42" formatCode="General">
                  <c:v>217</c:v>
                </c:pt>
                <c:pt idx="43" formatCode="General">
                  <c:v>210</c:v>
                </c:pt>
                <c:pt idx="44" formatCode="General">
                  <c:v>199</c:v>
                </c:pt>
                <c:pt idx="45" formatCode="General">
                  <c:v>193</c:v>
                </c:pt>
                <c:pt idx="46" formatCode="General">
                  <c:v>191</c:v>
                </c:pt>
                <c:pt idx="47" formatCode="General">
                  <c:v>177</c:v>
                </c:pt>
                <c:pt idx="48" formatCode="General">
                  <c:v>173</c:v>
                </c:pt>
                <c:pt idx="49" formatCode="General">
                  <c:v>168</c:v>
                </c:pt>
                <c:pt idx="50" formatCode="General">
                  <c:v>164</c:v>
                </c:pt>
                <c:pt idx="51" formatCode="General">
                  <c:v>150</c:v>
                </c:pt>
                <c:pt idx="52" formatCode="General">
                  <c:v>149</c:v>
                </c:pt>
                <c:pt idx="53" formatCode="General">
                  <c:v>148</c:v>
                </c:pt>
                <c:pt idx="54" formatCode="General">
                  <c:v>145</c:v>
                </c:pt>
                <c:pt idx="55" formatCode="General">
                  <c:v>140</c:v>
                </c:pt>
                <c:pt idx="56" formatCode="General">
                  <c:v>137</c:v>
                </c:pt>
                <c:pt idx="57" formatCode="General">
                  <c:v>115</c:v>
                </c:pt>
                <c:pt idx="58" formatCode="General">
                  <c:v>113</c:v>
                </c:pt>
                <c:pt idx="59" formatCode="General">
                  <c:v>108</c:v>
                </c:pt>
                <c:pt idx="60" formatCode="General">
                  <c:v>105</c:v>
                </c:pt>
                <c:pt idx="61" formatCode="General">
                  <c:v>102</c:v>
                </c:pt>
                <c:pt idx="62" formatCode="General">
                  <c:v>97</c:v>
                </c:pt>
                <c:pt idx="63" formatCode="General">
                  <c:v>97</c:v>
                </c:pt>
                <c:pt idx="64" formatCode="General">
                  <c:v>97</c:v>
                </c:pt>
                <c:pt idx="65" formatCode="General">
                  <c:v>94</c:v>
                </c:pt>
                <c:pt idx="66" formatCode="General">
                  <c:v>86</c:v>
                </c:pt>
                <c:pt idx="67" formatCode="General">
                  <c:v>82</c:v>
                </c:pt>
                <c:pt idx="68" formatCode="General">
                  <c:v>79</c:v>
                </c:pt>
                <c:pt idx="69" formatCode="General">
                  <c:v>76</c:v>
                </c:pt>
                <c:pt idx="70" formatCode="General">
                  <c:v>73</c:v>
                </c:pt>
                <c:pt idx="71" formatCode="General">
                  <c:v>69</c:v>
                </c:pt>
                <c:pt idx="72" formatCode="General">
                  <c:v>68</c:v>
                </c:pt>
                <c:pt idx="73" formatCode="General">
                  <c:v>59</c:v>
                </c:pt>
                <c:pt idx="74" formatCode="General">
                  <c:v>59</c:v>
                </c:pt>
                <c:pt idx="75" formatCode="General">
                  <c:v>58</c:v>
                </c:pt>
                <c:pt idx="76" formatCode="General">
                  <c:v>56</c:v>
                </c:pt>
                <c:pt idx="77" formatCode="General">
                  <c:v>53</c:v>
                </c:pt>
                <c:pt idx="78" formatCode="General">
                  <c:v>51</c:v>
                </c:pt>
                <c:pt idx="79" formatCode="General">
                  <c:v>50</c:v>
                </c:pt>
                <c:pt idx="80" formatCode="General">
                  <c:v>48</c:v>
                </c:pt>
                <c:pt idx="81" formatCode="General">
                  <c:v>47</c:v>
                </c:pt>
                <c:pt idx="82" formatCode="General">
                  <c:v>44</c:v>
                </c:pt>
                <c:pt idx="83" formatCode="General">
                  <c:v>42</c:v>
                </c:pt>
                <c:pt idx="84" formatCode="General">
                  <c:v>40</c:v>
                </c:pt>
                <c:pt idx="85" formatCode="General">
                  <c:v>39</c:v>
                </c:pt>
                <c:pt idx="86" formatCode="General">
                  <c:v>39</c:v>
                </c:pt>
                <c:pt idx="87" formatCode="General">
                  <c:v>38</c:v>
                </c:pt>
                <c:pt idx="88" formatCode="General">
                  <c:v>37</c:v>
                </c:pt>
                <c:pt idx="89" formatCode="General">
                  <c:v>36</c:v>
                </c:pt>
                <c:pt idx="90" formatCode="General">
                  <c:v>36</c:v>
                </c:pt>
                <c:pt idx="91" formatCode="General">
                  <c:v>36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34</c:v>
                </c:pt>
                <c:pt idx="95" formatCode="General">
                  <c:v>29</c:v>
                </c:pt>
                <c:pt idx="96" formatCode="General">
                  <c:v>28</c:v>
                </c:pt>
                <c:pt idx="97" formatCode="General">
                  <c:v>27</c:v>
                </c:pt>
                <c:pt idx="98" formatCode="General">
                  <c:v>23</c:v>
                </c:pt>
                <c:pt idx="99" formatCode="General">
                  <c:v>22</c:v>
                </c:pt>
                <c:pt idx="100" formatCode="General">
                  <c:v>20</c:v>
                </c:pt>
                <c:pt idx="101" formatCode="General">
                  <c:v>19</c:v>
                </c:pt>
                <c:pt idx="102" formatCode="General">
                  <c:v>17</c:v>
                </c:pt>
                <c:pt idx="103" formatCode="General">
                  <c:v>17</c:v>
                </c:pt>
                <c:pt idx="104" formatCode="General">
                  <c:v>16</c:v>
                </c:pt>
                <c:pt idx="105" formatCode="General">
                  <c:v>15</c:v>
                </c:pt>
                <c:pt idx="106" formatCode="General">
                  <c:v>15</c:v>
                </c:pt>
                <c:pt idx="107" formatCode="General">
                  <c:v>14</c:v>
                </c:pt>
                <c:pt idx="108" formatCode="General">
                  <c:v>13</c:v>
                </c:pt>
                <c:pt idx="109" formatCode="General">
                  <c:v>12</c:v>
                </c:pt>
                <c:pt idx="110" formatCode="General">
                  <c:v>11</c:v>
                </c:pt>
                <c:pt idx="111" formatCode="General">
                  <c:v>11</c:v>
                </c:pt>
                <c:pt idx="112" formatCode="General">
                  <c:v>11</c:v>
                </c:pt>
                <c:pt idx="113" formatCode="General">
                  <c:v>11</c:v>
                </c:pt>
                <c:pt idx="114" formatCode="General">
                  <c:v>10</c:v>
                </c:pt>
                <c:pt idx="115" formatCode="General">
                  <c:v>9</c:v>
                </c:pt>
                <c:pt idx="116" formatCode="General">
                  <c:v>9</c:v>
                </c:pt>
                <c:pt idx="117" formatCode="General">
                  <c:v>8</c:v>
                </c:pt>
                <c:pt idx="118" formatCode="General">
                  <c:v>8</c:v>
                </c:pt>
                <c:pt idx="119" formatCode="General">
                  <c:v>8</c:v>
                </c:pt>
                <c:pt idx="120" formatCode="General">
                  <c:v>7</c:v>
                </c:pt>
                <c:pt idx="121" formatCode="General">
                  <c:v>7</c:v>
                </c:pt>
                <c:pt idx="122" formatCode="General">
                  <c:v>6</c:v>
                </c:pt>
                <c:pt idx="123" formatCode="General">
                  <c:v>6</c:v>
                </c:pt>
                <c:pt idx="124" formatCode="General">
                  <c:v>6</c:v>
                </c:pt>
                <c:pt idx="125" formatCode="General">
                  <c:v>6</c:v>
                </c:pt>
                <c:pt idx="126" formatCode="General">
                  <c:v>6</c:v>
                </c:pt>
                <c:pt idx="127" formatCode="General">
                  <c:v>6</c:v>
                </c:pt>
                <c:pt idx="128" formatCode="General">
                  <c:v>6</c:v>
                </c:pt>
                <c:pt idx="129" formatCode="General">
                  <c:v>4</c:v>
                </c:pt>
                <c:pt idx="130" formatCode="General">
                  <c:v>4</c:v>
                </c:pt>
                <c:pt idx="131" formatCode="General">
                  <c:v>3</c:v>
                </c:pt>
                <c:pt idx="132" formatCode="General">
                  <c:v>3</c:v>
                </c:pt>
                <c:pt idx="133" formatCode="General">
                  <c:v>3</c:v>
                </c:pt>
                <c:pt idx="134" formatCode="General">
                  <c:v>3</c:v>
                </c:pt>
                <c:pt idx="135" formatCode="General">
                  <c:v>3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2</c:v>
                </c:pt>
                <c:pt idx="139" formatCode="General">
                  <c:v>2</c:v>
                </c:pt>
                <c:pt idx="140" formatCode="General">
                  <c:v>2</c:v>
                </c:pt>
                <c:pt idx="141" formatCode="General">
                  <c:v>2</c:v>
                </c:pt>
                <c:pt idx="142" formatCode="General">
                  <c:v>2</c:v>
                </c:pt>
                <c:pt idx="143" formatCode="General">
                  <c:v>2</c:v>
                </c:pt>
                <c:pt idx="144" formatCode="General">
                  <c:v>2</c:v>
                </c:pt>
                <c:pt idx="145" formatCode="General">
                  <c:v>2</c:v>
                </c:pt>
                <c:pt idx="146" formatCode="General">
                  <c:v>2</c:v>
                </c:pt>
                <c:pt idx="147" formatCode="General">
                  <c:v>1</c:v>
                </c:pt>
                <c:pt idx="148" formatCode="General">
                  <c:v>1</c:v>
                </c:pt>
                <c:pt idx="149" formatCode="General">
                  <c:v>1</c:v>
                </c:pt>
                <c:pt idx="150" formatCode="General">
                  <c:v>1</c:v>
                </c:pt>
                <c:pt idx="151" formatCode="General">
                  <c:v>1</c:v>
                </c:pt>
                <c:pt idx="152" formatCode="General">
                  <c:v>1</c:v>
                </c:pt>
                <c:pt idx="153" formatCode="General">
                  <c:v>1</c:v>
                </c:pt>
                <c:pt idx="154" formatCode="General">
                  <c:v>1</c:v>
                </c:pt>
                <c:pt idx="155" formatCode="General">
                  <c:v>1</c:v>
                </c:pt>
                <c:pt idx="156" formatCode="General">
                  <c:v>1</c:v>
                </c:pt>
                <c:pt idx="157" formatCode="General">
                  <c:v>1</c:v>
                </c:pt>
                <c:pt idx="158" formatCode="General">
                  <c:v>1</c:v>
                </c:pt>
                <c:pt idx="159" formatCode="General">
                  <c:v>1</c:v>
                </c:pt>
                <c:pt idx="160" formatCode="General">
                  <c:v>1</c:v>
                </c:pt>
                <c:pt idx="161" formatCode="General">
                  <c:v>1</c:v>
                </c:pt>
                <c:pt idx="162" formatCode="General">
                  <c:v>1</c:v>
                </c:pt>
                <c:pt idx="163" formatCode="General">
                  <c:v>1</c:v>
                </c:pt>
                <c:pt idx="164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A-FA73-6B4A-B696-C56F0C2B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/>
              <a:t>Overall deaths by country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625-B143-A6F3-58FEA652415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625-B143-A6F3-58FEA652415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C625-B143-A6F3-58FEA652415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C625-B143-A6F3-58FEA6524153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C625-B143-A6F3-58FEA6524153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C625-B143-A6F3-58FEA6524153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C625-B143-A6F3-58FEA6524153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C625-B143-A6F3-58FEA6524153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C625-B143-A6F3-58FEA6524153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C625-B143-A6F3-58FEA6524153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C625-B143-A6F3-58FEA6524153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C625-B143-A6F3-58FEA6524153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C625-B143-A6F3-58FEA6524153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C625-B143-A6F3-58FEA6524153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C625-B143-A6F3-58FEA6524153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C625-B143-A6F3-58FEA6524153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C625-B143-A6F3-58FEA6524153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C625-B143-A6F3-58FEA6524153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C625-B143-A6F3-58FEA6524153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C625-B143-A6F3-58FEA6524153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C625-B143-A6F3-58FEA6524153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C625-B143-A6F3-58FEA6524153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C625-B143-A6F3-58FEA6524153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C625-B143-A6F3-58FEA6524153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C625-B143-A6F3-58FEA6524153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C625-B143-A6F3-58FEA6524153}"/>
              </c:ext>
            </c:extLst>
          </c:dPt>
          <c:dPt>
            <c:idx val="26"/>
            <c:bubble3D val="0"/>
            <c:spPr>
              <a:solidFill>
                <a:srgbClr val="010D31"/>
              </a:solidFill>
            </c:spPr>
            <c:extLst>
              <c:ext xmlns:c16="http://schemas.microsoft.com/office/drawing/2014/chart" uri="{C3380CC4-5D6E-409C-BE32-E72D297353CC}">
                <c16:uniqueId val="{00000035-C625-B143-A6F3-58FEA6524153}"/>
              </c:ext>
            </c:extLst>
          </c:dPt>
          <c:dPt>
            <c:idx val="27"/>
            <c:bubble3D val="0"/>
            <c:spPr>
              <a:solidFill>
                <a:srgbClr val="291121"/>
              </a:solidFill>
            </c:spPr>
            <c:extLst>
              <c:ext xmlns:c16="http://schemas.microsoft.com/office/drawing/2014/chart" uri="{C3380CC4-5D6E-409C-BE32-E72D297353CC}">
                <c16:uniqueId val="{00000037-C625-B143-A6F3-58FEA6524153}"/>
              </c:ext>
            </c:extLst>
          </c:dPt>
          <c:dPt>
            <c:idx val="28"/>
            <c:bubble3D val="0"/>
            <c:spPr>
              <a:solidFill>
                <a:srgbClr val="FF1D32"/>
              </a:solidFill>
            </c:spPr>
            <c:extLst>
              <c:ext xmlns:c16="http://schemas.microsoft.com/office/drawing/2014/chart" uri="{C3380CC4-5D6E-409C-BE32-E72D297353CC}">
                <c16:uniqueId val="{00000039-C625-B143-A6F3-58FEA6524153}"/>
              </c:ext>
            </c:extLst>
          </c:dPt>
          <c:dPt>
            <c:idx val="29"/>
            <c:bubble3D val="0"/>
            <c:spPr>
              <a:solidFill>
                <a:srgbClr val="250D0A"/>
              </a:solidFill>
            </c:spPr>
            <c:extLst>
              <c:ext xmlns:c16="http://schemas.microsoft.com/office/drawing/2014/chart" uri="{C3380CC4-5D6E-409C-BE32-E72D297353CC}">
                <c16:uniqueId val="{0000003B-C625-B143-A6F3-58FEA6524153}"/>
              </c:ext>
            </c:extLst>
          </c:dPt>
          <c:dPt>
            <c:idx val="30"/>
            <c:bubble3D val="0"/>
            <c:spPr>
              <a:solidFill>
                <a:srgbClr val="5F3D05"/>
              </a:solidFill>
            </c:spPr>
            <c:extLst>
              <c:ext xmlns:c16="http://schemas.microsoft.com/office/drawing/2014/chart" uri="{C3380CC4-5D6E-409C-BE32-E72D297353CC}">
                <c16:uniqueId val="{0000003D-C625-B143-A6F3-58FEA6524153}"/>
              </c:ext>
            </c:extLst>
          </c:dPt>
          <c:dPt>
            <c:idx val="31"/>
            <c:bubble3D val="0"/>
            <c:spPr>
              <a:solidFill>
                <a:srgbClr val="0B5D64"/>
              </a:solidFill>
            </c:spPr>
            <c:extLst>
              <c:ext xmlns:c16="http://schemas.microsoft.com/office/drawing/2014/chart" uri="{C3380CC4-5D6E-409C-BE32-E72D297353CC}">
                <c16:uniqueId val="{0000003F-C625-B143-A6F3-58FEA6524153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C625-B143-A6F3-58FEA6524153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C625-B143-A6F3-58FEA6524153}"/>
              </c:ext>
            </c:extLst>
          </c:dPt>
          <c:dPt>
            <c:idx val="34"/>
            <c:bubble3D val="0"/>
            <c:spPr>
              <a:solidFill>
                <a:srgbClr val="FF497E"/>
              </a:solidFill>
            </c:spPr>
            <c:extLst>
              <c:ext xmlns:c16="http://schemas.microsoft.com/office/drawing/2014/chart" uri="{C3380CC4-5D6E-409C-BE32-E72D297353CC}">
                <c16:uniqueId val="{00000045-C625-B143-A6F3-58FEA6524153}"/>
              </c:ext>
            </c:extLst>
          </c:dPt>
          <c:dPt>
            <c:idx val="35"/>
            <c:bubble3D val="0"/>
            <c:spPr>
              <a:solidFill>
                <a:srgbClr val="5D211C"/>
              </a:solidFill>
            </c:spPr>
            <c:extLst>
              <c:ext xmlns:c16="http://schemas.microsoft.com/office/drawing/2014/chart" uri="{C3380CC4-5D6E-409C-BE32-E72D297353CC}">
                <c16:uniqueId val="{00000047-C625-B143-A6F3-58FEA6524153}"/>
              </c:ext>
            </c:extLst>
          </c:dPt>
          <c:dPt>
            <c:idx val="36"/>
            <c:bubble3D val="0"/>
            <c:spPr>
              <a:solidFill>
                <a:srgbClr val="976108"/>
              </a:solidFill>
            </c:spPr>
            <c:extLst>
              <c:ext xmlns:c16="http://schemas.microsoft.com/office/drawing/2014/chart" uri="{C3380CC4-5D6E-409C-BE32-E72D297353CC}">
                <c16:uniqueId val="{00000049-C625-B143-A6F3-58FEA6524153}"/>
              </c:ext>
            </c:extLst>
          </c:dPt>
          <c:dPt>
            <c:idx val="37"/>
            <c:bubble3D val="0"/>
            <c:spPr>
              <a:solidFill>
                <a:srgbClr val="1195A1"/>
              </a:solidFill>
            </c:spPr>
            <c:extLst>
              <c:ext xmlns:c16="http://schemas.microsoft.com/office/drawing/2014/chart" uri="{C3380CC4-5D6E-409C-BE32-E72D297353CC}">
                <c16:uniqueId val="{0000004B-C625-B143-A6F3-58FEA6524153}"/>
              </c:ext>
            </c:extLst>
          </c:dPt>
          <c:dPt>
            <c:idx val="38"/>
            <c:bubble3D val="0"/>
            <c:spPr>
              <a:solidFill>
                <a:srgbClr val="0335C8"/>
              </a:solidFill>
            </c:spPr>
            <c:extLst>
              <c:ext xmlns:c16="http://schemas.microsoft.com/office/drawing/2014/chart" uri="{C3380CC4-5D6E-409C-BE32-E72D297353CC}">
                <c16:uniqueId val="{0000004D-C625-B143-A6F3-58FEA6524153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C625-B143-A6F3-58FEA6524153}"/>
              </c:ext>
            </c:extLst>
          </c:dPt>
          <c:dPt>
            <c:idx val="40"/>
            <c:bubble3D val="0"/>
            <c:spPr>
              <a:solidFill>
                <a:srgbClr val="FF75CA"/>
              </a:solidFill>
            </c:spPr>
            <c:extLst>
              <c:ext xmlns:c16="http://schemas.microsoft.com/office/drawing/2014/chart" uri="{C3380CC4-5D6E-409C-BE32-E72D297353CC}">
                <c16:uniqueId val="{00000051-C625-B143-A6F3-58FEA6524153}"/>
              </c:ext>
            </c:extLst>
          </c:dPt>
          <c:dPt>
            <c:idx val="41"/>
            <c:bubble3D val="0"/>
            <c:spPr>
              <a:solidFill>
                <a:srgbClr val="93352D"/>
              </a:solidFill>
            </c:spPr>
            <c:extLst>
              <c:ext xmlns:c16="http://schemas.microsoft.com/office/drawing/2014/chart" uri="{C3380CC4-5D6E-409C-BE32-E72D297353CC}">
                <c16:uniqueId val="{00000053-C625-B143-A6F3-58FEA6524153}"/>
              </c:ext>
            </c:extLst>
          </c:dPt>
          <c:dPt>
            <c:idx val="42"/>
            <c:bubble3D val="0"/>
            <c:spPr>
              <a:solidFill>
                <a:srgbClr val="CF850B"/>
              </a:solidFill>
            </c:spPr>
            <c:extLst>
              <c:ext xmlns:c16="http://schemas.microsoft.com/office/drawing/2014/chart" uri="{C3380CC4-5D6E-409C-BE32-E72D297353CC}">
                <c16:uniqueId val="{00000055-C625-B143-A6F3-58FEA6524153}"/>
              </c:ext>
            </c:extLst>
          </c:dPt>
          <c:dPt>
            <c:idx val="43"/>
            <c:bubble3D val="0"/>
            <c:spPr>
              <a:solidFill>
                <a:srgbClr val="17CFDD"/>
              </a:solidFill>
            </c:spPr>
            <c:extLst>
              <c:ext xmlns:c16="http://schemas.microsoft.com/office/drawing/2014/chart" uri="{C3380CC4-5D6E-409C-BE32-E72D297353CC}">
                <c16:uniqueId val="{00000057-C625-B143-A6F3-58FEA6524153}"/>
              </c:ext>
            </c:extLst>
          </c:dPt>
          <c:dPt>
            <c:idx val="44"/>
            <c:bubble3D val="0"/>
            <c:spPr>
              <a:solidFill>
                <a:srgbClr val="034B13"/>
              </a:solidFill>
            </c:spPr>
            <c:extLst>
              <c:ext xmlns:c16="http://schemas.microsoft.com/office/drawing/2014/chart" uri="{C3380CC4-5D6E-409C-BE32-E72D297353CC}">
                <c16:uniqueId val="{00000059-C625-B143-A6F3-58FEA6524153}"/>
              </c:ext>
            </c:extLst>
          </c:dPt>
          <c:dPt>
            <c:idx val="45"/>
            <c:bubble3D val="0"/>
            <c:spPr>
              <a:solidFill>
                <a:srgbClr val="DF5FBC"/>
              </a:solidFill>
            </c:spPr>
            <c:extLst>
              <c:ext xmlns:c16="http://schemas.microsoft.com/office/drawing/2014/chart" uri="{C3380CC4-5D6E-409C-BE32-E72D297353CC}">
                <c16:uniqueId val="{0000005B-C625-B143-A6F3-58FEA6524153}"/>
              </c:ext>
            </c:extLst>
          </c:dPt>
          <c:dPt>
            <c:idx val="46"/>
            <c:bubble3D val="0"/>
            <c:spPr>
              <a:solidFill>
                <a:srgbClr val="FFA216"/>
              </a:solidFill>
            </c:spPr>
            <c:extLst>
              <c:ext xmlns:c16="http://schemas.microsoft.com/office/drawing/2014/chart" uri="{C3380CC4-5D6E-409C-BE32-E72D297353CC}">
                <c16:uniqueId val="{0000005D-C625-B143-A6F3-58FEA6524153}"/>
              </c:ext>
            </c:extLst>
          </c:dPt>
          <c:dPt>
            <c:idx val="47"/>
            <c:bubble3D val="0"/>
            <c:spPr>
              <a:solidFill>
                <a:srgbClr val="CB493E"/>
              </a:solidFill>
            </c:spPr>
            <c:extLst>
              <c:ext xmlns:c16="http://schemas.microsoft.com/office/drawing/2014/chart" uri="{C3380CC4-5D6E-409C-BE32-E72D297353CC}">
                <c16:uniqueId val="{0000005F-C625-B143-A6F3-58FEA6524153}"/>
              </c:ext>
            </c:extLst>
          </c:dPt>
          <c:dPt>
            <c:idx val="48"/>
            <c:bubble3D val="0"/>
            <c:spPr>
              <a:solidFill>
                <a:srgbClr val="09AB0E"/>
              </a:solidFill>
            </c:spPr>
            <c:extLst>
              <c:ext xmlns:c16="http://schemas.microsoft.com/office/drawing/2014/chart" uri="{C3380CC4-5D6E-409C-BE32-E72D297353CC}">
                <c16:uniqueId val="{00000061-C625-B143-A6F3-58FEA6524153}"/>
              </c:ext>
            </c:extLst>
          </c:dPt>
          <c:dPt>
            <c:idx val="49"/>
            <c:bubble3D val="0"/>
            <c:spPr>
              <a:solidFill>
                <a:srgbClr val="1E061A"/>
              </a:solidFill>
            </c:spPr>
            <c:extLst>
              <c:ext xmlns:c16="http://schemas.microsoft.com/office/drawing/2014/chart" uri="{C3380CC4-5D6E-409C-BE32-E72D297353CC}">
                <c16:uniqueId val="{00000063-C625-B143-A6F3-58FEA6524153}"/>
              </c:ext>
            </c:extLst>
          </c:dPt>
          <c:dPt>
            <c:idx val="50"/>
            <c:bubble3D val="0"/>
            <c:spPr>
              <a:solidFill>
                <a:srgbClr val="055F5E"/>
              </a:solidFill>
            </c:spPr>
            <c:extLst>
              <c:ext xmlns:c16="http://schemas.microsoft.com/office/drawing/2014/chart" uri="{C3380CC4-5D6E-409C-BE32-E72D297353CC}">
                <c16:uniqueId val="{00000065-C625-B143-A6F3-58FEA6524153}"/>
              </c:ext>
            </c:extLst>
          </c:dPt>
          <c:dPt>
            <c:idx val="51"/>
            <c:bubble3D val="0"/>
            <c:spPr>
              <a:solidFill>
                <a:srgbClr val="1B79F0"/>
              </a:solidFill>
            </c:spPr>
            <c:extLst>
              <c:ext xmlns:c16="http://schemas.microsoft.com/office/drawing/2014/chart" uri="{C3380CC4-5D6E-409C-BE32-E72D297353CC}">
                <c16:uniqueId val="{00000067-C625-B143-A6F3-58FEA6524153}"/>
              </c:ext>
            </c:extLst>
          </c:dPt>
          <c:dPt>
            <c:idx val="52"/>
            <c:bubble3D val="0"/>
            <c:spPr>
              <a:solidFill>
                <a:srgbClr val="FFCB63"/>
              </a:solidFill>
            </c:spPr>
            <c:extLst>
              <c:ext xmlns:c16="http://schemas.microsoft.com/office/drawing/2014/chart" uri="{C3380CC4-5D6E-409C-BE32-E72D297353CC}">
                <c16:uniqueId val="{00000069-C625-B143-A6F3-58FEA6524153}"/>
              </c:ext>
            </c:extLst>
          </c:dPt>
          <c:dPt>
            <c:idx val="53"/>
            <c:bubble3D val="0"/>
            <c:spPr>
              <a:solidFill>
                <a:srgbClr val="035B4F"/>
              </a:solidFill>
            </c:spPr>
            <c:extLst>
              <c:ext xmlns:c16="http://schemas.microsoft.com/office/drawing/2014/chart" uri="{C3380CC4-5D6E-409C-BE32-E72D297353CC}">
                <c16:uniqueId val="{0000006B-C625-B143-A6F3-58FEA6524153}"/>
              </c:ext>
            </c:extLst>
          </c:dPt>
          <c:dPt>
            <c:idx val="54"/>
            <c:bubble3D val="0"/>
            <c:spPr>
              <a:solidFill>
                <a:srgbClr val="41CF12"/>
              </a:solidFill>
            </c:spPr>
            <c:extLst>
              <c:ext xmlns:c16="http://schemas.microsoft.com/office/drawing/2014/chart" uri="{C3380CC4-5D6E-409C-BE32-E72D297353CC}">
                <c16:uniqueId val="{0000006D-C625-B143-A6F3-58FEA6524153}"/>
              </c:ext>
            </c:extLst>
          </c:dPt>
          <c:dPt>
            <c:idx val="55"/>
            <c:bubble3D val="0"/>
            <c:spPr>
              <a:solidFill>
                <a:srgbClr val="233F56"/>
              </a:solidFill>
            </c:spPr>
            <c:extLst>
              <c:ext xmlns:c16="http://schemas.microsoft.com/office/drawing/2014/chart" uri="{C3380CC4-5D6E-409C-BE32-E72D297353CC}">
                <c16:uniqueId val="{0000006F-C625-B143-A6F3-58FEA6524153}"/>
              </c:ext>
            </c:extLst>
          </c:dPt>
          <c:dPt>
            <c:idx val="56"/>
            <c:bubble3D val="0"/>
            <c:spPr>
              <a:solidFill>
                <a:srgbClr val="0773AA"/>
              </a:solidFill>
            </c:spPr>
            <c:extLst>
              <c:ext xmlns:c16="http://schemas.microsoft.com/office/drawing/2014/chart" uri="{C3380CC4-5D6E-409C-BE32-E72D297353CC}">
                <c16:uniqueId val="{00000071-C625-B143-A6F3-58FEA6524153}"/>
              </c:ext>
            </c:extLst>
          </c:dPt>
          <c:dPt>
            <c:idx val="57"/>
            <c:bubble3D val="0"/>
            <c:spPr>
              <a:solidFill>
                <a:srgbClr val="599323"/>
              </a:solidFill>
            </c:spPr>
            <c:extLst>
              <c:ext xmlns:c16="http://schemas.microsoft.com/office/drawing/2014/chart" uri="{C3380CC4-5D6E-409C-BE32-E72D297353CC}">
                <c16:uniqueId val="{00000073-C625-B143-A6F3-58FEA6524153}"/>
              </c:ext>
            </c:extLst>
          </c:dPt>
          <c:dPt>
            <c:idx val="58"/>
            <c:bubble3D val="0"/>
            <c:spPr>
              <a:solidFill>
                <a:srgbClr val="FFF7AF"/>
              </a:solidFill>
            </c:spPr>
            <c:extLst>
              <c:ext xmlns:c16="http://schemas.microsoft.com/office/drawing/2014/chart" uri="{C3380CC4-5D6E-409C-BE32-E72D297353CC}">
                <c16:uniqueId val="{00000075-C625-B143-A6F3-58FEA6524153}"/>
              </c:ext>
            </c:extLst>
          </c:dPt>
          <c:dPt>
            <c:idx val="59"/>
            <c:bubble3D val="0"/>
            <c:spPr>
              <a:solidFill>
                <a:srgbClr val="3B6F60"/>
              </a:solidFill>
            </c:spPr>
            <c:extLst>
              <c:ext xmlns:c16="http://schemas.microsoft.com/office/drawing/2014/chart" uri="{C3380CC4-5D6E-409C-BE32-E72D297353CC}">
                <c16:uniqueId val="{00000077-C625-B143-A6F3-58FEA6524153}"/>
              </c:ext>
            </c:extLst>
          </c:dPt>
          <c:dPt>
            <c:idx val="60"/>
            <c:bubble3D val="0"/>
            <c:spPr>
              <a:solidFill>
                <a:srgbClr val="79F315"/>
              </a:solidFill>
            </c:spPr>
            <c:extLst>
              <c:ext xmlns:c16="http://schemas.microsoft.com/office/drawing/2014/chart" uri="{C3380CC4-5D6E-409C-BE32-E72D297353CC}">
                <c16:uniqueId val="{00000079-C625-B143-A6F3-58FEA6524153}"/>
              </c:ext>
            </c:extLst>
          </c:dPt>
          <c:dPt>
            <c:idx val="61"/>
            <c:bubble3D val="0"/>
            <c:spPr>
              <a:solidFill>
                <a:srgbClr val="2B7793"/>
              </a:solidFill>
            </c:spPr>
            <c:extLst>
              <c:ext xmlns:c16="http://schemas.microsoft.com/office/drawing/2014/chart" uri="{C3380CC4-5D6E-409C-BE32-E72D297353CC}">
                <c16:uniqueId val="{0000007B-C625-B143-A6F3-58FEA6524153}"/>
              </c:ext>
            </c:extLst>
          </c:dPt>
          <c:dPt>
            <c:idx val="62"/>
            <c:bubble3D val="0"/>
            <c:spPr>
              <a:solidFill>
                <a:srgbClr val="0787F5"/>
              </a:solidFill>
            </c:spPr>
            <c:extLst>
              <c:ext xmlns:c16="http://schemas.microsoft.com/office/drawing/2014/chart" uri="{C3380CC4-5D6E-409C-BE32-E72D297353CC}">
                <c16:uniqueId val="{0000007D-C625-B143-A6F3-58FEA6524153}"/>
              </c:ext>
            </c:extLst>
          </c:dPt>
          <c:dPt>
            <c:idx val="63"/>
            <c:bubble3D val="0"/>
            <c:spPr>
              <a:solidFill>
                <a:srgbClr val="95AF57"/>
              </a:solidFill>
            </c:spPr>
            <c:extLst>
              <c:ext xmlns:c16="http://schemas.microsoft.com/office/drawing/2014/chart" uri="{C3380CC4-5D6E-409C-BE32-E72D297353CC}">
                <c16:uniqueId val="{0000007F-C625-B143-A6F3-58FEA6524153}"/>
              </c:ext>
            </c:extLst>
          </c:dPt>
          <c:dPt>
            <c:idx val="64"/>
            <c:bubble3D val="0"/>
            <c:spPr>
              <a:solidFill>
                <a:srgbClr val="FF23FB"/>
              </a:solidFill>
            </c:spPr>
            <c:extLst>
              <c:ext xmlns:c16="http://schemas.microsoft.com/office/drawing/2014/chart" uri="{C3380CC4-5D6E-409C-BE32-E72D297353CC}">
                <c16:uniqueId val="{00000081-C625-B143-A6F3-58FEA6524153}"/>
              </c:ext>
            </c:extLst>
          </c:dPt>
          <c:dPt>
            <c:idx val="65"/>
            <c:bubble3D val="0"/>
            <c:spPr>
              <a:solidFill>
                <a:srgbClr val="718371"/>
              </a:solidFill>
            </c:spPr>
            <c:extLst>
              <c:ext xmlns:c16="http://schemas.microsoft.com/office/drawing/2014/chart" uri="{C3380CC4-5D6E-409C-BE32-E72D297353CC}">
                <c16:uniqueId val="{00000083-C625-B143-A6F3-58FEA6524153}"/>
              </c:ext>
            </c:extLst>
          </c:dPt>
          <c:dPt>
            <c:idx val="66"/>
            <c:bubble3D val="0"/>
            <c:spPr>
              <a:solidFill>
                <a:srgbClr val="B21918"/>
              </a:solidFill>
            </c:spPr>
            <c:extLst>
              <c:ext xmlns:c16="http://schemas.microsoft.com/office/drawing/2014/chart" uri="{C3380CC4-5D6E-409C-BE32-E72D297353CC}">
                <c16:uniqueId val="{00000085-C625-B143-A6F3-58FEA6524153}"/>
              </c:ext>
            </c:extLst>
          </c:dPt>
          <c:dPt>
            <c:idx val="67"/>
            <c:bubble3D val="0"/>
            <c:spPr>
              <a:solidFill>
                <a:srgbClr val="2FAFD0"/>
              </a:solidFill>
            </c:spPr>
            <c:extLst>
              <c:ext xmlns:c16="http://schemas.microsoft.com/office/drawing/2014/chart" uri="{C3380CC4-5D6E-409C-BE32-E72D297353CC}">
                <c16:uniqueId val="{00000087-C625-B143-A6F3-58FEA6524153}"/>
              </c:ext>
            </c:extLst>
          </c:dPt>
          <c:dPt>
            <c:idx val="68"/>
            <c:bubble3D val="0"/>
            <c:spPr>
              <a:solidFill>
                <a:srgbClr val="099B40"/>
              </a:solidFill>
            </c:spPr>
            <c:extLst>
              <c:ext xmlns:c16="http://schemas.microsoft.com/office/drawing/2014/chart" uri="{C3380CC4-5D6E-409C-BE32-E72D297353CC}">
                <c16:uniqueId val="{00000089-C625-B143-A6F3-58FEA6524153}"/>
              </c:ext>
            </c:extLst>
          </c:dPt>
          <c:dPt>
            <c:idx val="69"/>
            <c:bubble3D val="0"/>
            <c:spPr>
              <a:solidFill>
                <a:srgbClr val="D3C78B"/>
              </a:solidFill>
            </c:spPr>
            <c:extLst>
              <c:ext xmlns:c16="http://schemas.microsoft.com/office/drawing/2014/chart" uri="{C3380CC4-5D6E-409C-BE32-E72D297353CC}">
                <c16:uniqueId val="{0000008B-C625-B143-A6F3-58FEA6524153}"/>
              </c:ext>
            </c:extLst>
          </c:dPt>
          <c:dPt>
            <c:idx val="70"/>
            <c:bubble3D val="0"/>
            <c:spPr>
              <a:solidFill>
                <a:srgbClr val="FF4F47"/>
              </a:solidFill>
            </c:spPr>
            <c:extLst>
              <c:ext xmlns:c16="http://schemas.microsoft.com/office/drawing/2014/chart" uri="{C3380CC4-5D6E-409C-BE32-E72D297353CC}">
                <c16:uniqueId val="{0000008D-C625-B143-A6F3-58FEA6524153}"/>
              </c:ext>
            </c:extLst>
          </c:dPt>
          <c:dPt>
            <c:idx val="71"/>
            <c:bubble3D val="0"/>
            <c:spPr>
              <a:solidFill>
                <a:srgbClr val="A99782"/>
              </a:solidFill>
            </c:spPr>
            <c:extLst>
              <c:ext xmlns:c16="http://schemas.microsoft.com/office/drawing/2014/chart" uri="{C3380CC4-5D6E-409C-BE32-E72D297353CC}">
                <c16:uniqueId val="{0000008F-C625-B143-A6F3-58FEA6524153}"/>
              </c:ext>
            </c:extLst>
          </c:dPt>
          <c:dPt>
            <c:idx val="72"/>
            <c:bubble3D val="0"/>
            <c:spPr>
              <a:solidFill>
                <a:srgbClr val="EA3D1C"/>
              </a:solidFill>
            </c:spPr>
            <c:extLst>
              <c:ext xmlns:c16="http://schemas.microsoft.com/office/drawing/2014/chart" uri="{C3380CC4-5D6E-409C-BE32-E72D297353CC}">
                <c16:uniqueId val="{00000091-C625-B143-A6F3-58FEA6524153}"/>
              </c:ext>
            </c:extLst>
          </c:dPt>
          <c:dPt>
            <c:idx val="73"/>
            <c:bubble3D val="0"/>
            <c:spPr>
              <a:solidFill>
                <a:srgbClr val="36EB0C"/>
              </a:solidFill>
            </c:spPr>
            <c:extLst>
              <c:ext xmlns:c16="http://schemas.microsoft.com/office/drawing/2014/chart" uri="{C3380CC4-5D6E-409C-BE32-E72D297353CC}">
                <c16:uniqueId val="{00000093-C625-B143-A6F3-58FEA6524153}"/>
              </c:ext>
            </c:extLst>
          </c:dPt>
          <c:dPt>
            <c:idx val="74"/>
            <c:bubble3D val="0"/>
            <c:spPr>
              <a:solidFill>
                <a:srgbClr val="09AF8C"/>
              </a:solidFill>
            </c:spPr>
            <c:extLst>
              <c:ext xmlns:c16="http://schemas.microsoft.com/office/drawing/2014/chart" uri="{C3380CC4-5D6E-409C-BE32-E72D297353CC}">
                <c16:uniqueId val="{00000095-C625-B143-A6F3-58FEA6524153}"/>
              </c:ext>
            </c:extLst>
          </c:dPt>
          <c:dPt>
            <c:idx val="75"/>
            <c:bubble3D val="0"/>
            <c:spPr>
              <a:solidFill>
                <a:srgbClr val="0FE3BE"/>
              </a:solidFill>
            </c:spPr>
            <c:extLst>
              <c:ext xmlns:c16="http://schemas.microsoft.com/office/drawing/2014/chart" uri="{C3380CC4-5D6E-409C-BE32-E72D297353CC}">
                <c16:uniqueId val="{00000097-C625-B143-A6F3-58FEA6524153}"/>
              </c:ext>
            </c:extLst>
          </c:dPt>
          <c:dPt>
            <c:idx val="76"/>
            <c:bubble3D val="0"/>
            <c:spPr>
              <a:solidFill>
                <a:srgbClr val="FF7B93"/>
              </a:solidFill>
            </c:spPr>
            <c:extLst>
              <c:ext xmlns:c16="http://schemas.microsoft.com/office/drawing/2014/chart" uri="{C3380CC4-5D6E-409C-BE32-E72D297353CC}">
                <c16:uniqueId val="{00000099-C625-B143-A6F3-58FEA6524153}"/>
              </c:ext>
            </c:extLst>
          </c:dPt>
          <c:dPt>
            <c:idx val="77"/>
            <c:bubble3D val="0"/>
            <c:spPr>
              <a:solidFill>
                <a:srgbClr val="E1AB93"/>
              </a:solidFill>
            </c:spPr>
            <c:extLst>
              <c:ext xmlns:c16="http://schemas.microsoft.com/office/drawing/2014/chart" uri="{C3380CC4-5D6E-409C-BE32-E72D297353CC}">
                <c16:uniqueId val="{0000009B-C625-B143-A6F3-58FEA6524153}"/>
              </c:ext>
            </c:extLst>
          </c:dPt>
          <c:dPt>
            <c:idx val="78"/>
            <c:bubble3D val="0"/>
            <c:spPr>
              <a:solidFill>
                <a:srgbClr val="23611F"/>
              </a:solidFill>
            </c:spPr>
            <c:extLst>
              <c:ext xmlns:c16="http://schemas.microsoft.com/office/drawing/2014/chart" uri="{C3380CC4-5D6E-409C-BE32-E72D297353CC}">
                <c16:uniqueId val="{0000009D-C625-B143-A6F3-58FEA6524153}"/>
              </c:ext>
            </c:extLst>
          </c:dPt>
          <c:dPt>
            <c:idx val="79"/>
            <c:bubble3D val="0"/>
            <c:spPr>
              <a:solidFill>
                <a:srgbClr val="3F2349"/>
              </a:solidFill>
            </c:spPr>
            <c:extLst>
              <c:ext xmlns:c16="http://schemas.microsoft.com/office/drawing/2014/chart" uri="{C3380CC4-5D6E-409C-BE32-E72D297353CC}">
                <c16:uniqueId val="{0000009F-C625-B143-A6F3-58FEA6524153}"/>
              </c:ext>
            </c:extLst>
          </c:dPt>
          <c:dPt>
            <c:idx val="80"/>
            <c:bubble3D val="0"/>
            <c:spPr>
              <a:solidFill>
                <a:srgbClr val="0BC3D7"/>
              </a:solidFill>
            </c:spPr>
            <c:extLst>
              <c:ext xmlns:c16="http://schemas.microsoft.com/office/drawing/2014/chart" uri="{C3380CC4-5D6E-409C-BE32-E72D297353CC}">
                <c16:uniqueId val="{000000A1-C625-B143-A6F3-58FEA6524153}"/>
              </c:ext>
            </c:extLst>
          </c:dPt>
          <c:dPt>
            <c:idx val="81"/>
            <c:bubble3D val="0"/>
            <c:spPr>
              <a:solidFill>
                <a:srgbClr val="4DFBF2"/>
              </a:solidFill>
            </c:spPr>
            <c:extLst>
              <c:ext xmlns:c16="http://schemas.microsoft.com/office/drawing/2014/chart" uri="{C3380CC4-5D6E-409C-BE32-E72D297353CC}">
                <c16:uniqueId val="{000000A3-C625-B143-A6F3-58FEA6524153}"/>
              </c:ext>
            </c:extLst>
          </c:dPt>
          <c:dPt>
            <c:idx val="82"/>
            <c:bubble3D val="0"/>
            <c:spPr>
              <a:solidFill>
                <a:srgbClr val="FFA7E0"/>
              </a:solidFill>
            </c:spPr>
            <c:extLst>
              <c:ext xmlns:c16="http://schemas.microsoft.com/office/drawing/2014/chart" uri="{C3380CC4-5D6E-409C-BE32-E72D297353CC}">
                <c16:uniqueId val="{000000A5-C625-B143-A6F3-58FEA6524153}"/>
              </c:ext>
            </c:extLst>
          </c:dPt>
          <c:dPt>
            <c:idx val="83"/>
            <c:bubble3D val="0"/>
            <c:spPr>
              <a:solidFill>
                <a:srgbClr val="19BFA4"/>
              </a:solidFill>
            </c:spPr>
            <c:extLst>
              <c:ext xmlns:c16="http://schemas.microsoft.com/office/drawing/2014/chart" uri="{C3380CC4-5D6E-409C-BE32-E72D297353CC}">
                <c16:uniqueId val="{000000A7-C625-B143-A6F3-58FEA6524153}"/>
              </c:ext>
            </c:extLst>
          </c:dPt>
          <c:dPt>
            <c:idx val="84"/>
            <c:bubble3D val="0"/>
            <c:spPr>
              <a:solidFill>
                <a:srgbClr val="5E8522"/>
              </a:solidFill>
            </c:spPr>
            <c:extLst>
              <c:ext xmlns:c16="http://schemas.microsoft.com/office/drawing/2014/chart" uri="{C3380CC4-5D6E-409C-BE32-E72D297353CC}">
                <c16:uniqueId val="{000000A9-C625-B143-A6F3-58FEA6524153}"/>
              </c:ext>
            </c:extLst>
          </c:dPt>
          <c:dPt>
            <c:idx val="85"/>
            <c:bubble3D val="0"/>
            <c:spPr>
              <a:solidFill>
                <a:srgbClr val="435B85"/>
              </a:solidFill>
            </c:spPr>
            <c:extLst>
              <c:ext xmlns:c16="http://schemas.microsoft.com/office/drawing/2014/chart" uri="{C3380CC4-5D6E-409C-BE32-E72D297353CC}">
                <c16:uniqueId val="{000000AB-C625-B143-A6F3-58FEA6524153}"/>
              </c:ext>
            </c:extLst>
          </c:dPt>
          <c:dPt>
            <c:idx val="86"/>
            <c:bubble3D val="0"/>
            <c:spPr>
              <a:solidFill>
                <a:srgbClr val="0DD522"/>
              </a:solidFill>
            </c:spPr>
            <c:extLst>
              <c:ext xmlns:c16="http://schemas.microsoft.com/office/drawing/2014/chart" uri="{C3380CC4-5D6E-409C-BE32-E72D297353CC}">
                <c16:uniqueId val="{000000AD-C625-B143-A6F3-58FEA6524153}"/>
              </c:ext>
            </c:extLst>
          </c:dPt>
          <c:dPt>
            <c:idx val="87"/>
            <c:bubble3D val="0"/>
            <c:spPr>
              <a:solidFill>
                <a:srgbClr val="8B1725"/>
              </a:solidFill>
            </c:spPr>
            <c:extLst>
              <c:ext xmlns:c16="http://schemas.microsoft.com/office/drawing/2014/chart" uri="{C3380CC4-5D6E-409C-BE32-E72D297353CC}">
                <c16:uniqueId val="{000000AF-C625-B143-A6F3-58FEA6524153}"/>
              </c:ext>
            </c:extLst>
          </c:dPt>
          <c:dPt>
            <c:idx val="88"/>
            <c:bubble3D val="0"/>
            <c:spPr>
              <a:solidFill>
                <a:srgbClr val="FFD62C"/>
              </a:solidFill>
            </c:spPr>
            <c:extLst>
              <c:ext xmlns:c16="http://schemas.microsoft.com/office/drawing/2014/chart" uri="{C3380CC4-5D6E-409C-BE32-E72D297353CC}">
                <c16:uniqueId val="{000000B1-C625-B143-A6F3-58FEA6524153}"/>
              </c:ext>
            </c:extLst>
          </c:dPt>
          <c:dPt>
            <c:idx val="89"/>
            <c:bubble3D val="0"/>
            <c:spPr>
              <a:solidFill>
                <a:srgbClr val="4FD3B5"/>
              </a:solidFill>
            </c:spPr>
            <c:extLst>
              <c:ext xmlns:c16="http://schemas.microsoft.com/office/drawing/2014/chart" uri="{C3380CC4-5D6E-409C-BE32-E72D297353CC}">
                <c16:uniqueId val="{000000B3-C625-B143-A6F3-58FEA6524153}"/>
              </c:ext>
            </c:extLst>
          </c:dPt>
          <c:dPt>
            <c:idx val="90"/>
            <c:bubble3D val="0"/>
            <c:spPr>
              <a:solidFill>
                <a:srgbClr val="97AB26"/>
              </a:solidFill>
            </c:spPr>
            <c:extLst>
              <c:ext xmlns:c16="http://schemas.microsoft.com/office/drawing/2014/chart" uri="{C3380CC4-5D6E-409C-BE32-E72D297353CC}">
                <c16:uniqueId val="{000000B5-C625-B143-A6F3-58FEA6524153}"/>
              </c:ext>
            </c:extLst>
          </c:dPt>
          <c:dPt>
            <c:idx val="91"/>
            <c:bubble3D val="0"/>
            <c:spPr>
              <a:solidFill>
                <a:srgbClr val="4B93C2"/>
              </a:solidFill>
            </c:spPr>
            <c:extLst>
              <c:ext xmlns:c16="http://schemas.microsoft.com/office/drawing/2014/chart" uri="{C3380CC4-5D6E-409C-BE32-E72D297353CC}">
                <c16:uniqueId val="{000000B7-C625-B143-A6F3-58FEA6524153}"/>
              </c:ext>
            </c:extLst>
          </c:dPt>
          <c:dPt>
            <c:idx val="92"/>
            <c:bubble3D val="0"/>
            <c:spPr>
              <a:solidFill>
                <a:srgbClr val="0DEE6E"/>
              </a:solidFill>
            </c:spPr>
            <c:extLst>
              <c:ext xmlns:c16="http://schemas.microsoft.com/office/drawing/2014/chart" uri="{C3380CC4-5D6E-409C-BE32-E72D297353CC}">
                <c16:uniqueId val="{000000B9-C625-B143-A6F3-58FEA6524153}"/>
              </c:ext>
            </c:extLst>
          </c:dPt>
          <c:dPt>
            <c:idx val="93"/>
            <c:bubble3D val="0"/>
            <c:spPr>
              <a:solidFill>
                <a:srgbClr val="C63359"/>
              </a:solidFill>
            </c:spPr>
            <c:extLst>
              <c:ext xmlns:c16="http://schemas.microsoft.com/office/drawing/2014/chart" uri="{C3380CC4-5D6E-409C-BE32-E72D297353CC}">
                <c16:uniqueId val="{000000BB-C625-B143-A6F3-58FEA6524153}"/>
              </c:ext>
            </c:extLst>
          </c:dPt>
          <c:dPt>
            <c:idx val="94"/>
            <c:bubble3D val="0"/>
            <c:spPr>
              <a:solidFill>
                <a:srgbClr val="FFFE78"/>
              </a:solidFill>
            </c:spPr>
            <c:extLst>
              <c:ext xmlns:c16="http://schemas.microsoft.com/office/drawing/2014/chart" uri="{C3380CC4-5D6E-409C-BE32-E72D297353CC}">
                <c16:uniqueId val="{000000BD-C625-B143-A6F3-58FEA6524153}"/>
              </c:ext>
            </c:extLst>
          </c:dPt>
          <c:dPt>
            <c:idx val="95"/>
            <c:bubble3D val="0"/>
            <c:spPr>
              <a:solidFill>
                <a:srgbClr val="87E7C7"/>
              </a:solidFill>
            </c:spPr>
            <c:extLst>
              <c:ext xmlns:c16="http://schemas.microsoft.com/office/drawing/2014/chart" uri="{C3380CC4-5D6E-409C-BE32-E72D297353CC}">
                <c16:uniqueId val="{000000BF-C625-B143-A6F3-58FEA6524153}"/>
              </c:ext>
            </c:extLst>
          </c:dPt>
          <c:dPt>
            <c:idx val="96"/>
            <c:bubble3D val="0"/>
            <c:spPr>
              <a:solidFill>
                <a:srgbClr val="CFCF29"/>
              </a:solidFill>
            </c:spPr>
            <c:extLst>
              <c:ext xmlns:c16="http://schemas.microsoft.com/office/drawing/2014/chart" uri="{C3380CC4-5D6E-409C-BE32-E72D297353CC}">
                <c16:uniqueId val="{000000C1-C625-B143-A6F3-58FEA6524153}"/>
              </c:ext>
            </c:extLst>
          </c:dPt>
          <c:dPt>
            <c:idx val="97"/>
            <c:bubble3D val="0"/>
            <c:spPr>
              <a:solidFill>
                <a:srgbClr val="4FCBFF"/>
              </a:solidFill>
            </c:spPr>
            <c:extLst>
              <c:ext xmlns:c16="http://schemas.microsoft.com/office/drawing/2014/chart" uri="{C3380CC4-5D6E-409C-BE32-E72D297353CC}">
                <c16:uniqueId val="{000000C3-C625-B143-A6F3-58FEA6524153}"/>
              </c:ext>
            </c:extLst>
          </c:dPt>
          <c:dPt>
            <c:idx val="98"/>
            <c:bubble3D val="0"/>
            <c:spPr>
              <a:solidFill>
                <a:srgbClr val="0FFEB9"/>
              </a:solidFill>
            </c:spPr>
            <c:extLst>
              <c:ext xmlns:c16="http://schemas.microsoft.com/office/drawing/2014/chart" uri="{C3380CC4-5D6E-409C-BE32-E72D297353CC}">
                <c16:uniqueId val="{000000C5-C625-B143-A6F3-58FEA6524153}"/>
              </c:ext>
            </c:extLst>
          </c:dPt>
          <c:dPt>
            <c:idx val="99"/>
            <c:bubble3D val="0"/>
            <c:spPr>
              <a:solidFill>
                <a:srgbClr val="024B8D"/>
              </a:solidFill>
            </c:spPr>
            <c:extLst>
              <c:ext xmlns:c16="http://schemas.microsoft.com/office/drawing/2014/chart" uri="{C3380CC4-5D6E-409C-BE32-E72D297353CC}">
                <c16:uniqueId val="{000000C7-C625-B143-A6F3-58FEA6524153}"/>
              </c:ext>
            </c:extLst>
          </c:dPt>
          <c:dPt>
            <c:idx val="100"/>
            <c:bubble3D val="0"/>
            <c:spPr>
              <a:solidFill>
                <a:srgbClr val="FF2EC4"/>
              </a:solidFill>
            </c:spPr>
            <c:extLst>
              <c:ext xmlns:c16="http://schemas.microsoft.com/office/drawing/2014/chart" uri="{C3380CC4-5D6E-409C-BE32-E72D297353CC}">
                <c16:uniqueId val="{000000C9-C625-B143-A6F3-58FEA6524153}"/>
              </c:ext>
            </c:extLst>
          </c:dPt>
          <c:dPt>
            <c:idx val="101"/>
            <c:bubble3D val="0"/>
            <c:spPr>
              <a:solidFill>
                <a:srgbClr val="BFFBD8"/>
              </a:solidFill>
            </c:spPr>
            <c:extLst>
              <c:ext xmlns:c16="http://schemas.microsoft.com/office/drawing/2014/chart" uri="{C3380CC4-5D6E-409C-BE32-E72D297353CC}">
                <c16:uniqueId val="{000000CB-C625-B143-A6F3-58FEA6524153}"/>
              </c:ext>
            </c:extLst>
          </c:dPt>
          <c:dPt>
            <c:idx val="102"/>
            <c:bubble3D val="0"/>
            <c:spPr>
              <a:solidFill>
                <a:srgbClr val="06F32C"/>
              </a:solidFill>
            </c:spPr>
            <c:extLst>
              <c:ext xmlns:c16="http://schemas.microsoft.com/office/drawing/2014/chart" uri="{C3380CC4-5D6E-409C-BE32-E72D297353CC}">
                <c16:uniqueId val="{000000CD-C625-B143-A6F3-58FEA6524153}"/>
              </c:ext>
            </c:extLst>
          </c:dPt>
          <c:dPt>
            <c:idx val="103"/>
            <c:bubble3D val="0"/>
            <c:spPr>
              <a:solidFill>
                <a:srgbClr val="55063B"/>
              </a:solidFill>
            </c:spPr>
            <c:extLst>
              <c:ext xmlns:c16="http://schemas.microsoft.com/office/drawing/2014/chart" uri="{C3380CC4-5D6E-409C-BE32-E72D297353CC}">
                <c16:uniqueId val="{000000CF-C625-B143-A6F3-58FEA6524153}"/>
              </c:ext>
            </c:extLst>
          </c:dPt>
          <c:dPt>
            <c:idx val="104"/>
            <c:bubble3D val="0"/>
            <c:spPr>
              <a:solidFill>
                <a:srgbClr val="0F1704"/>
              </a:solidFill>
            </c:spPr>
            <c:extLst>
              <c:ext xmlns:c16="http://schemas.microsoft.com/office/drawing/2014/chart" uri="{C3380CC4-5D6E-409C-BE32-E72D297353CC}">
                <c16:uniqueId val="{000000D1-C625-B143-A6F3-58FEA6524153}"/>
              </c:ext>
            </c:extLst>
          </c:dPt>
          <c:dPt>
            <c:idx val="105"/>
            <c:bubble3D val="0"/>
            <c:spPr>
              <a:solidFill>
                <a:srgbClr val="3F67C0"/>
              </a:solidFill>
            </c:spPr>
            <c:extLst>
              <c:ext xmlns:c16="http://schemas.microsoft.com/office/drawing/2014/chart" uri="{C3380CC4-5D6E-409C-BE32-E72D297353CC}">
                <c16:uniqueId val="{000000D3-C625-B143-A6F3-58FEA6524153}"/>
              </c:ext>
            </c:extLst>
          </c:dPt>
          <c:dPt>
            <c:idx val="106"/>
            <c:bubble3D val="0"/>
            <c:spPr>
              <a:solidFill>
                <a:srgbClr val="FF5710"/>
              </a:solidFill>
            </c:spPr>
            <c:extLst>
              <c:ext xmlns:c16="http://schemas.microsoft.com/office/drawing/2014/chart" uri="{C3380CC4-5D6E-409C-BE32-E72D297353CC}">
                <c16:uniqueId val="{000000D5-C625-B143-A6F3-58FEA6524153}"/>
              </c:ext>
            </c:extLst>
          </c:dPt>
          <c:dPt>
            <c:idx val="107"/>
            <c:bubble3D val="0"/>
            <c:spPr>
              <a:solidFill>
                <a:srgbClr val="F60FE9"/>
              </a:solidFill>
            </c:spPr>
            <c:extLst>
              <c:ext xmlns:c16="http://schemas.microsoft.com/office/drawing/2014/chart" uri="{C3380CC4-5D6E-409C-BE32-E72D297353CC}">
                <c16:uniqueId val="{000000D7-C625-B143-A6F3-58FEA6524153}"/>
              </c:ext>
            </c:extLst>
          </c:dPt>
          <c:dPt>
            <c:idx val="108"/>
            <c:bubble3D val="0"/>
            <c:spPr>
              <a:solidFill>
                <a:srgbClr val="3F192F"/>
              </a:solidFill>
            </c:spPr>
            <c:extLst>
              <c:ext xmlns:c16="http://schemas.microsoft.com/office/drawing/2014/chart" uri="{C3380CC4-5D6E-409C-BE32-E72D297353CC}">
                <c16:uniqueId val="{000000D9-C625-B143-A6F3-58FEA6524153}"/>
              </c:ext>
            </c:extLst>
          </c:dPt>
          <c:dPt>
            <c:idx val="109"/>
            <c:bubble3D val="0"/>
            <c:spPr>
              <a:solidFill>
                <a:srgbClr val="5F3E78"/>
              </a:solidFill>
            </c:spPr>
            <c:extLst>
              <c:ext xmlns:c16="http://schemas.microsoft.com/office/drawing/2014/chart" uri="{C3380CC4-5D6E-409C-BE32-E72D297353CC}">
                <c16:uniqueId val="{000000DB-C625-B143-A6F3-58FEA6524153}"/>
              </c:ext>
            </c:extLst>
          </c:dPt>
          <c:dPt>
            <c:idx val="110"/>
            <c:bubble3D val="0"/>
            <c:spPr>
              <a:solidFill>
                <a:srgbClr val="13274F"/>
              </a:solidFill>
            </c:spPr>
            <c:extLst>
              <c:ext xmlns:c16="http://schemas.microsoft.com/office/drawing/2014/chart" uri="{C3380CC4-5D6E-409C-BE32-E72D297353CC}">
                <c16:uniqueId val="{000000DD-C625-B143-A6F3-58FEA6524153}"/>
              </c:ext>
            </c:extLst>
          </c:dPt>
          <c:dPt>
            <c:idx val="111"/>
            <c:bubble3D val="0"/>
            <c:spPr>
              <a:solidFill>
                <a:srgbClr val="7E7FF4"/>
              </a:solidFill>
            </c:spPr>
            <c:extLst>
              <c:ext xmlns:c16="http://schemas.microsoft.com/office/drawing/2014/chart" uri="{C3380CC4-5D6E-409C-BE32-E72D297353CC}">
                <c16:uniqueId val="{000000DF-C625-B143-A6F3-58FEA6524153}"/>
              </c:ext>
            </c:extLst>
          </c:dPt>
          <c:dPt>
            <c:idx val="112"/>
            <c:bubble3D val="0"/>
            <c:spPr>
              <a:solidFill>
                <a:srgbClr val="FF855D"/>
              </a:solidFill>
            </c:spPr>
            <c:extLst>
              <c:ext xmlns:c16="http://schemas.microsoft.com/office/drawing/2014/chart" uri="{C3380CC4-5D6E-409C-BE32-E72D297353CC}">
                <c16:uniqueId val="{000000E1-C625-B143-A6F3-58FEA6524153}"/>
              </c:ext>
            </c:extLst>
          </c:dPt>
          <c:dPt>
            <c:idx val="113"/>
            <c:bubble3D val="0"/>
            <c:spPr>
              <a:solidFill>
                <a:srgbClr val="2F21FA"/>
              </a:solidFill>
            </c:spPr>
            <c:extLst>
              <c:ext xmlns:c16="http://schemas.microsoft.com/office/drawing/2014/chart" uri="{C3380CC4-5D6E-409C-BE32-E72D297353CC}">
                <c16:uniqueId val="{000000E3-C625-B143-A6F3-58FEA6524153}"/>
              </c:ext>
            </c:extLst>
          </c:dPt>
          <c:dPt>
            <c:idx val="114"/>
            <c:bubble3D val="0"/>
            <c:spPr>
              <a:solidFill>
                <a:srgbClr val="773D33"/>
              </a:solidFill>
            </c:spPr>
            <c:extLst>
              <c:ext xmlns:c16="http://schemas.microsoft.com/office/drawing/2014/chart" uri="{C3380CC4-5D6E-409C-BE32-E72D297353CC}">
                <c16:uniqueId val="{000000E5-C625-B143-A6F3-58FEA6524153}"/>
              </c:ext>
            </c:extLst>
          </c:dPt>
          <c:dPt>
            <c:idx val="115"/>
            <c:bubble3D val="0"/>
            <c:spPr>
              <a:solidFill>
                <a:srgbClr val="6677B4"/>
              </a:solidFill>
            </c:spPr>
            <c:extLst>
              <c:ext xmlns:c16="http://schemas.microsoft.com/office/drawing/2014/chart" uri="{C3380CC4-5D6E-409C-BE32-E72D297353CC}">
                <c16:uniqueId val="{000000E7-C625-B143-A6F3-58FEA6524153}"/>
              </c:ext>
            </c:extLst>
          </c:dPt>
          <c:dPt>
            <c:idx val="116"/>
            <c:bubble3D val="0"/>
            <c:spPr>
              <a:solidFill>
                <a:srgbClr val="123F9B"/>
              </a:solidFill>
            </c:spPr>
            <c:extLst>
              <c:ext xmlns:c16="http://schemas.microsoft.com/office/drawing/2014/chart" uri="{C3380CC4-5D6E-409C-BE32-E72D297353CC}">
                <c16:uniqueId val="{000000E9-C625-B143-A6F3-58FEA6524153}"/>
              </c:ext>
            </c:extLst>
          </c:dPt>
          <c:dPt>
            <c:idx val="117"/>
            <c:bubble3D val="0"/>
            <c:spPr>
              <a:solidFill>
                <a:srgbClr val="BB9C27"/>
              </a:solidFill>
            </c:spPr>
            <c:extLst>
              <c:ext xmlns:c16="http://schemas.microsoft.com/office/drawing/2014/chart" uri="{C3380CC4-5D6E-409C-BE32-E72D297353CC}">
                <c16:uniqueId val="{000000EB-C625-B143-A6F3-58FEA6524153}"/>
              </c:ext>
            </c:extLst>
          </c:dPt>
          <c:dPt>
            <c:idx val="118"/>
            <c:bubble3D val="0"/>
            <c:spPr>
              <a:solidFill>
                <a:srgbClr val="FFADA9"/>
              </a:solidFill>
            </c:spPr>
            <c:extLst>
              <c:ext xmlns:c16="http://schemas.microsoft.com/office/drawing/2014/chart" uri="{C3380CC4-5D6E-409C-BE32-E72D297353CC}">
                <c16:uniqueId val="{000000ED-C625-B143-A6F3-58FEA6524153}"/>
              </c:ext>
            </c:extLst>
          </c:dPt>
          <c:dPt>
            <c:idx val="119"/>
            <c:bubble3D val="0"/>
            <c:spPr>
              <a:solidFill>
                <a:srgbClr val="67370B"/>
              </a:solidFill>
            </c:spPr>
            <c:extLst>
              <c:ext xmlns:c16="http://schemas.microsoft.com/office/drawing/2014/chart" uri="{C3380CC4-5D6E-409C-BE32-E72D297353CC}">
                <c16:uniqueId val="{000000EF-C625-B143-A6F3-58FEA6524153}"/>
              </c:ext>
            </c:extLst>
          </c:dPt>
          <c:dPt>
            <c:idx val="120"/>
            <c:bubble3D val="0"/>
            <c:spPr>
              <a:solidFill>
                <a:srgbClr val="B36136"/>
              </a:solidFill>
            </c:spPr>
            <c:extLst>
              <c:ext xmlns:c16="http://schemas.microsoft.com/office/drawing/2014/chart" uri="{C3380CC4-5D6E-409C-BE32-E72D297353CC}">
                <c16:uniqueId val="{000000F1-C625-B143-A6F3-58FEA6524153}"/>
              </c:ext>
            </c:extLst>
          </c:dPt>
          <c:dPt>
            <c:idx val="121"/>
            <c:bubble3D val="0"/>
            <c:spPr>
              <a:solidFill>
                <a:srgbClr val="6CAFF1"/>
              </a:solidFill>
            </c:spPr>
            <c:extLst>
              <c:ext xmlns:c16="http://schemas.microsoft.com/office/drawing/2014/chart" uri="{C3380CC4-5D6E-409C-BE32-E72D297353CC}">
                <c16:uniqueId val="{000000F3-C625-B143-A6F3-58FEA6524153}"/>
              </c:ext>
            </c:extLst>
          </c:dPt>
          <c:dPt>
            <c:idx val="122"/>
            <c:bubble3D val="0"/>
            <c:spPr>
              <a:solidFill>
                <a:srgbClr val="134FE6"/>
              </a:solidFill>
            </c:spPr>
            <c:extLst>
              <c:ext xmlns:c16="http://schemas.microsoft.com/office/drawing/2014/chart" uri="{C3380CC4-5D6E-409C-BE32-E72D297353CC}">
                <c16:uniqueId val="{000000F5-C625-B143-A6F3-58FEA6524153}"/>
              </c:ext>
            </c:extLst>
          </c:dPt>
          <c:dPt>
            <c:idx val="123"/>
            <c:bubble3D val="0"/>
            <c:spPr>
              <a:solidFill>
                <a:srgbClr val="F6B65B"/>
              </a:solidFill>
            </c:spPr>
            <c:extLst>
              <c:ext xmlns:c16="http://schemas.microsoft.com/office/drawing/2014/chart" uri="{C3380CC4-5D6E-409C-BE32-E72D297353CC}">
                <c16:uniqueId val="{000000F7-C625-B143-A6F3-58FEA6524153}"/>
              </c:ext>
            </c:extLst>
          </c:dPt>
          <c:dPt>
            <c:idx val="124"/>
            <c:bubble3D val="0"/>
            <c:spPr>
              <a:solidFill>
                <a:srgbClr val="FFDDF5"/>
              </a:solidFill>
            </c:spPr>
            <c:extLst>
              <c:ext xmlns:c16="http://schemas.microsoft.com/office/drawing/2014/chart" uri="{C3380CC4-5D6E-409C-BE32-E72D297353CC}">
                <c16:uniqueId val="{000000F9-C625-B143-A6F3-58FEA6524153}"/>
              </c:ext>
            </c:extLst>
          </c:dPt>
          <c:dPt>
            <c:idx val="125"/>
            <c:bubble3D val="0"/>
            <c:spPr>
              <a:solidFill>
                <a:srgbClr val="9E4B1C"/>
              </a:solidFill>
            </c:spPr>
            <c:extLst>
              <c:ext xmlns:c16="http://schemas.microsoft.com/office/drawing/2014/chart" uri="{C3380CC4-5D6E-409C-BE32-E72D297353CC}">
                <c16:uniqueId val="{000000FB-C625-B143-A6F3-58FEA6524153}"/>
              </c:ext>
            </c:extLst>
          </c:dPt>
          <c:dPt>
            <c:idx val="126"/>
            <c:bubble3D val="0"/>
            <c:spPr>
              <a:solidFill>
                <a:srgbClr val="EB8739"/>
              </a:solidFill>
            </c:spPr>
            <c:extLst>
              <c:ext xmlns:c16="http://schemas.microsoft.com/office/drawing/2014/chart" uri="{C3380CC4-5D6E-409C-BE32-E72D297353CC}">
                <c16:uniqueId val="{000000FD-C625-B143-A6F3-58FEA6524153}"/>
              </c:ext>
            </c:extLst>
          </c:dPt>
          <c:dPt>
            <c:idx val="127"/>
            <c:bubble3D val="0"/>
            <c:spPr>
              <a:solidFill>
                <a:srgbClr val="6EE72E"/>
              </a:solidFill>
            </c:spPr>
            <c:extLst>
              <c:ext xmlns:c16="http://schemas.microsoft.com/office/drawing/2014/chart" uri="{C3380CC4-5D6E-409C-BE32-E72D297353CC}">
                <c16:uniqueId val="{000000FF-C625-B143-A6F3-58FEA6524153}"/>
              </c:ext>
            </c:extLst>
          </c:dPt>
          <c:dPt>
            <c:idx val="128"/>
            <c:bubble3D val="0"/>
            <c:spPr>
              <a:solidFill>
                <a:srgbClr val="166631"/>
              </a:solidFill>
            </c:spPr>
            <c:extLst>
              <c:ext xmlns:c16="http://schemas.microsoft.com/office/drawing/2014/chart" uri="{C3380CC4-5D6E-409C-BE32-E72D297353CC}">
                <c16:uniqueId val="{00000101-C625-B143-A6F3-58FEA6524153}"/>
              </c:ext>
            </c:extLst>
          </c:dPt>
          <c:dPt>
            <c:idx val="129"/>
            <c:bubble3D val="0"/>
            <c:spPr>
              <a:solidFill>
                <a:srgbClr val="33CC8F"/>
              </a:solidFill>
            </c:spPr>
            <c:extLst>
              <c:ext xmlns:c16="http://schemas.microsoft.com/office/drawing/2014/chart" uri="{C3380CC4-5D6E-409C-BE32-E72D297353CC}">
                <c16:uniqueId val="{00000103-C625-B143-A6F3-58FEA6524153}"/>
              </c:ext>
            </c:extLst>
          </c:dPt>
          <c:dPt>
            <c:idx val="130"/>
            <c:bubble3D val="0"/>
            <c:spPr>
              <a:solidFill>
                <a:srgbClr val="FF0741"/>
              </a:solidFill>
            </c:spPr>
            <c:extLst>
              <c:ext xmlns:c16="http://schemas.microsoft.com/office/drawing/2014/chart" uri="{C3380CC4-5D6E-409C-BE32-E72D297353CC}">
                <c16:uniqueId val="{00000105-C625-B143-A6F3-58FEA6524153}"/>
              </c:ext>
            </c:extLst>
          </c:dPt>
          <c:dPt>
            <c:idx val="131"/>
            <c:bubble3D val="0"/>
            <c:spPr>
              <a:solidFill>
                <a:srgbClr val="D65F2D"/>
              </a:solidFill>
            </c:spPr>
            <c:extLst>
              <c:ext xmlns:c16="http://schemas.microsoft.com/office/drawing/2014/chart" uri="{C3380CC4-5D6E-409C-BE32-E72D297353CC}">
                <c16:uniqueId val="{00000107-C625-B143-A6F3-58FEA6524153}"/>
              </c:ext>
            </c:extLst>
          </c:dPt>
          <c:dPt>
            <c:idx val="132"/>
            <c:bubble3D val="0"/>
            <c:spPr>
              <a:solidFill>
                <a:srgbClr val="23AB3D"/>
              </a:solidFill>
            </c:spPr>
            <c:extLst>
              <c:ext xmlns:c16="http://schemas.microsoft.com/office/drawing/2014/chart" uri="{C3380CC4-5D6E-409C-BE32-E72D297353CC}">
                <c16:uniqueId val="{00000109-C625-B143-A6F3-58FEA6524153}"/>
              </c:ext>
            </c:extLst>
          </c:dPt>
          <c:dPt>
            <c:idx val="133"/>
            <c:bubble3D val="0"/>
            <c:spPr>
              <a:solidFill>
                <a:srgbClr val="751D6A"/>
              </a:solidFill>
            </c:spPr>
            <c:extLst>
              <c:ext xmlns:c16="http://schemas.microsoft.com/office/drawing/2014/chart" uri="{C3380CC4-5D6E-409C-BE32-E72D297353CC}">
                <c16:uniqueId val="{0000010B-C625-B143-A6F3-58FEA6524153}"/>
              </c:ext>
            </c:extLst>
          </c:dPt>
          <c:dPt>
            <c:idx val="134"/>
            <c:bubble3D val="0"/>
            <c:spPr>
              <a:solidFill>
                <a:srgbClr val="17767D"/>
              </a:solidFill>
            </c:spPr>
            <c:extLst>
              <c:ext xmlns:c16="http://schemas.microsoft.com/office/drawing/2014/chart" uri="{C3380CC4-5D6E-409C-BE32-E72D297353CC}">
                <c16:uniqueId val="{0000010D-C625-B143-A6F3-58FEA6524153}"/>
              </c:ext>
            </c:extLst>
          </c:dPt>
          <c:dPt>
            <c:idx val="135"/>
            <c:bubble3D val="0"/>
            <c:spPr>
              <a:solidFill>
                <a:srgbClr val="72E6C2"/>
              </a:solidFill>
            </c:spPr>
            <c:extLst>
              <c:ext xmlns:c16="http://schemas.microsoft.com/office/drawing/2014/chart" uri="{C3380CC4-5D6E-409C-BE32-E72D297353CC}">
                <c16:uniqueId val="{0000010F-C625-B143-A6F3-58FEA6524153}"/>
              </c:ext>
            </c:extLst>
          </c:dPt>
          <c:dPt>
            <c:idx val="136"/>
            <c:bubble3D val="0"/>
            <c:spPr>
              <a:solidFill>
                <a:srgbClr val="FF378D"/>
              </a:solidFill>
            </c:spPr>
            <c:extLst>
              <c:ext xmlns:c16="http://schemas.microsoft.com/office/drawing/2014/chart" uri="{C3380CC4-5D6E-409C-BE32-E72D297353CC}">
                <c16:uniqueId val="{00000111-C625-B143-A6F3-58FEA6524153}"/>
              </c:ext>
            </c:extLst>
          </c:dPt>
          <c:dPt>
            <c:idx val="137"/>
            <c:bubble3D val="0"/>
            <c:spPr>
              <a:solidFill>
                <a:srgbClr val="0B733E"/>
              </a:solidFill>
            </c:spPr>
            <c:extLst>
              <c:ext xmlns:c16="http://schemas.microsoft.com/office/drawing/2014/chart" uri="{C3380CC4-5D6E-409C-BE32-E72D297353CC}">
                <c16:uniqueId val="{00000113-C625-B143-A6F3-58FEA6524153}"/>
              </c:ext>
            </c:extLst>
          </c:dPt>
          <c:dPt>
            <c:idx val="138"/>
            <c:bubble3D val="0"/>
            <c:spPr>
              <a:solidFill>
                <a:srgbClr val="5BCF40"/>
              </a:solidFill>
            </c:spPr>
            <c:extLst>
              <c:ext xmlns:c16="http://schemas.microsoft.com/office/drawing/2014/chart" uri="{C3380CC4-5D6E-409C-BE32-E72D297353CC}">
                <c16:uniqueId val="{00000115-C625-B143-A6F3-58FEA6524153}"/>
              </c:ext>
            </c:extLst>
          </c:dPt>
          <c:dPt>
            <c:idx val="139"/>
            <c:bubble3D val="0"/>
            <c:spPr>
              <a:solidFill>
                <a:srgbClr val="7F55A7"/>
              </a:solidFill>
            </c:spPr>
            <c:extLst>
              <c:ext xmlns:c16="http://schemas.microsoft.com/office/drawing/2014/chart" uri="{C3380CC4-5D6E-409C-BE32-E72D297353CC}">
                <c16:uniqueId val="{00000117-C625-B143-A6F3-58FEA6524153}"/>
              </c:ext>
            </c:extLst>
          </c:dPt>
          <c:dPt>
            <c:idx val="140"/>
            <c:bubble3D val="0"/>
            <c:spPr>
              <a:solidFill>
                <a:srgbClr val="178EC8"/>
              </a:solidFill>
            </c:spPr>
            <c:extLst>
              <c:ext xmlns:c16="http://schemas.microsoft.com/office/drawing/2014/chart" uri="{C3380CC4-5D6E-409C-BE32-E72D297353CC}">
                <c16:uniqueId val="{00000119-C625-B143-A6F3-58FEA6524153}"/>
              </c:ext>
            </c:extLst>
          </c:dPt>
          <c:dPt>
            <c:idx val="141"/>
            <c:bubble3D val="0"/>
            <c:spPr>
              <a:solidFill>
                <a:srgbClr val="AF04F6"/>
              </a:solidFill>
            </c:spPr>
            <c:extLst>
              <c:ext xmlns:c16="http://schemas.microsoft.com/office/drawing/2014/chart" uri="{C3380CC4-5D6E-409C-BE32-E72D297353CC}">
                <c16:uniqueId val="{0000011B-C625-B143-A6F3-58FEA6524153}"/>
              </c:ext>
            </c:extLst>
          </c:dPt>
          <c:dPt>
            <c:idx val="142"/>
            <c:bubble3D val="0"/>
            <c:spPr>
              <a:solidFill>
                <a:srgbClr val="FF5EDA"/>
              </a:solidFill>
            </c:spPr>
            <c:extLst>
              <c:ext xmlns:c16="http://schemas.microsoft.com/office/drawing/2014/chart" uri="{C3380CC4-5D6E-409C-BE32-E72D297353CC}">
                <c16:uniqueId val="{0000011D-C625-B143-A6F3-58FEA6524153}"/>
              </c:ext>
            </c:extLst>
          </c:dPt>
          <c:dPt>
            <c:idx val="143"/>
            <c:bubble3D val="0"/>
            <c:spPr>
              <a:solidFill>
                <a:srgbClr val="43864F"/>
              </a:solidFill>
            </c:spPr>
            <c:extLst>
              <c:ext xmlns:c16="http://schemas.microsoft.com/office/drawing/2014/chart" uri="{C3380CC4-5D6E-409C-BE32-E72D297353CC}">
                <c16:uniqueId val="{0000011F-C625-B143-A6F3-58FEA6524153}"/>
              </c:ext>
            </c:extLst>
          </c:dPt>
          <c:dPt>
            <c:idx val="144"/>
            <c:bubble3D val="0"/>
            <c:spPr>
              <a:solidFill>
                <a:srgbClr val="93F343"/>
              </a:solidFill>
            </c:spPr>
            <c:extLst>
              <c:ext xmlns:c16="http://schemas.microsoft.com/office/drawing/2014/chart" uri="{C3380CC4-5D6E-409C-BE32-E72D297353CC}">
                <c16:uniqueId val="{00000121-C625-B143-A6F3-58FEA6524153}"/>
              </c:ext>
            </c:extLst>
          </c:dPt>
          <c:dPt>
            <c:idx val="145"/>
            <c:bubble3D val="0"/>
            <c:spPr>
              <a:solidFill>
                <a:srgbClr val="858DE3"/>
              </a:solidFill>
            </c:spPr>
            <c:extLst>
              <c:ext xmlns:c16="http://schemas.microsoft.com/office/drawing/2014/chart" uri="{C3380CC4-5D6E-409C-BE32-E72D297353CC}">
                <c16:uniqueId val="{00000123-C625-B143-A6F3-58FEA6524153}"/>
              </c:ext>
            </c:extLst>
          </c:dPt>
          <c:dPt>
            <c:idx val="146"/>
            <c:bubble3D val="0"/>
            <c:spPr>
              <a:solidFill>
                <a:srgbClr val="1A9F13"/>
              </a:solidFill>
            </c:spPr>
            <c:extLst>
              <c:ext xmlns:c16="http://schemas.microsoft.com/office/drawing/2014/chart" uri="{C3380CC4-5D6E-409C-BE32-E72D297353CC}">
                <c16:uniqueId val="{00000125-C625-B143-A6F3-58FEA6524153}"/>
              </c:ext>
            </c:extLst>
          </c:dPt>
          <c:dPt>
            <c:idx val="147"/>
            <c:bubble3D val="0"/>
            <c:spPr>
              <a:solidFill>
                <a:srgbClr val="EB1F29"/>
              </a:solidFill>
            </c:spPr>
            <c:extLst>
              <c:ext xmlns:c16="http://schemas.microsoft.com/office/drawing/2014/chart" uri="{C3380CC4-5D6E-409C-BE32-E72D297353CC}">
                <c16:uniqueId val="{00000127-C625-B143-A6F3-58FEA6524153}"/>
              </c:ext>
            </c:extLst>
          </c:dPt>
          <c:dPt>
            <c:idx val="148"/>
            <c:bubble3D val="0"/>
            <c:spPr>
              <a:solidFill>
                <a:srgbClr val="FF8F26"/>
              </a:solidFill>
            </c:spPr>
            <c:extLst>
              <c:ext xmlns:c16="http://schemas.microsoft.com/office/drawing/2014/chart" uri="{C3380CC4-5D6E-409C-BE32-E72D297353CC}">
                <c16:uniqueId val="{00000129-C625-B143-A6F3-58FEA6524153}"/>
              </c:ext>
            </c:extLst>
          </c:dPt>
          <c:dPt>
            <c:idx val="149"/>
            <c:bubble3D val="0"/>
            <c:spPr>
              <a:solidFill>
                <a:srgbClr val="7A9A60"/>
              </a:solidFill>
            </c:spPr>
            <c:extLst>
              <c:ext xmlns:c16="http://schemas.microsoft.com/office/drawing/2014/chart" uri="{C3380CC4-5D6E-409C-BE32-E72D297353CC}">
                <c16:uniqueId val="{0000012B-C625-B143-A6F3-58FEA6524153}"/>
              </c:ext>
            </c:extLst>
          </c:dPt>
          <c:dPt>
            <c:idx val="150"/>
            <c:bubble3D val="0"/>
            <c:spPr>
              <a:solidFill>
                <a:srgbClr val="CC1947"/>
              </a:solidFill>
            </c:spPr>
            <c:extLst>
              <c:ext xmlns:c16="http://schemas.microsoft.com/office/drawing/2014/chart" uri="{C3380CC4-5D6E-409C-BE32-E72D297353CC}">
                <c16:uniqueId val="{0000012D-C625-B143-A6F3-58FEA6524153}"/>
              </c:ext>
            </c:extLst>
          </c:dPt>
          <c:dPt>
            <c:idx val="151"/>
            <c:bubble3D val="0"/>
            <c:spPr>
              <a:solidFill>
                <a:srgbClr val="8DC720"/>
              </a:solidFill>
            </c:spPr>
            <c:extLst>
              <c:ext xmlns:c16="http://schemas.microsoft.com/office/drawing/2014/chart" uri="{C3380CC4-5D6E-409C-BE32-E72D297353CC}">
                <c16:uniqueId val="{0000012F-C625-B143-A6F3-58FEA6524153}"/>
              </c:ext>
            </c:extLst>
          </c:dPt>
          <c:dPt>
            <c:idx val="152"/>
            <c:bubble3D val="0"/>
            <c:spPr>
              <a:solidFill>
                <a:srgbClr val="1BB75F"/>
              </a:solidFill>
            </c:spPr>
            <c:extLst>
              <c:ext xmlns:c16="http://schemas.microsoft.com/office/drawing/2014/chart" uri="{C3380CC4-5D6E-409C-BE32-E72D297353CC}">
                <c16:uniqueId val="{00000131-C625-B143-A6F3-58FEA6524153}"/>
              </c:ext>
            </c:extLst>
          </c:dPt>
          <c:dPt>
            <c:idx val="153"/>
            <c:bubble3D val="0"/>
            <c:spPr>
              <a:solidFill>
                <a:srgbClr val="27355D"/>
              </a:solidFill>
            </c:spPr>
            <c:extLst>
              <c:ext xmlns:c16="http://schemas.microsoft.com/office/drawing/2014/chart" uri="{C3380CC4-5D6E-409C-BE32-E72D297353CC}">
                <c16:uniqueId val="{00000133-C625-B143-A6F3-58FEA6524153}"/>
              </c:ext>
            </c:extLst>
          </c:dPt>
          <c:dPt>
            <c:idx val="154"/>
            <c:bubble3D val="0"/>
            <c:spPr>
              <a:solidFill>
                <a:srgbClr val="FFB772"/>
              </a:solidFill>
            </c:spPr>
            <c:extLst>
              <c:ext xmlns:c16="http://schemas.microsoft.com/office/drawing/2014/chart" uri="{C3380CC4-5D6E-409C-BE32-E72D297353CC}">
                <c16:uniqueId val="{00000135-C625-B143-A6F3-58FEA6524153}"/>
              </c:ext>
            </c:extLst>
          </c:dPt>
          <c:dPt>
            <c:idx val="155"/>
            <c:bubble3D val="0"/>
            <c:spPr>
              <a:solidFill>
                <a:srgbClr val="B2AE72"/>
              </a:solidFill>
            </c:spPr>
            <c:extLst>
              <c:ext xmlns:c16="http://schemas.microsoft.com/office/drawing/2014/chart" uri="{C3380CC4-5D6E-409C-BE32-E72D297353CC}">
                <c16:uniqueId val="{00000137-C625-B143-A6F3-58FEA6524153}"/>
              </c:ext>
            </c:extLst>
          </c:dPt>
          <c:dPt>
            <c:idx val="156"/>
            <c:bubble3D val="0"/>
            <c:spPr>
              <a:solidFill>
                <a:srgbClr val="043D4A"/>
              </a:solidFill>
            </c:spPr>
            <c:extLst>
              <c:ext xmlns:c16="http://schemas.microsoft.com/office/drawing/2014/chart" uri="{C3380CC4-5D6E-409C-BE32-E72D297353CC}">
                <c16:uniqueId val="{00000139-C625-B143-A6F3-58FEA6524153}"/>
              </c:ext>
            </c:extLst>
          </c:dPt>
          <c:dPt>
            <c:idx val="157"/>
            <c:bubble3D val="0"/>
            <c:spPr>
              <a:solidFill>
                <a:srgbClr val="8FFF5D"/>
              </a:solidFill>
            </c:spPr>
            <c:extLst>
              <c:ext xmlns:c16="http://schemas.microsoft.com/office/drawing/2014/chart" uri="{C3380CC4-5D6E-409C-BE32-E72D297353CC}">
                <c16:uniqueId val="{0000013B-C625-B143-A6F3-58FEA6524153}"/>
              </c:ext>
            </c:extLst>
          </c:dPt>
          <c:dPt>
            <c:idx val="158"/>
            <c:bubble3D val="0"/>
            <c:spPr>
              <a:solidFill>
                <a:srgbClr val="1AC7AA"/>
              </a:solidFill>
            </c:spPr>
            <c:extLst>
              <c:ext xmlns:c16="http://schemas.microsoft.com/office/drawing/2014/chart" uri="{C3380CC4-5D6E-409C-BE32-E72D297353CC}">
                <c16:uniqueId val="{0000013D-C625-B143-A6F3-58FEA6524153}"/>
              </c:ext>
            </c:extLst>
          </c:dPt>
          <c:dPt>
            <c:idx val="159"/>
            <c:bubble3D val="0"/>
            <c:spPr>
              <a:solidFill>
                <a:srgbClr val="634F91"/>
              </a:solidFill>
            </c:spPr>
            <c:extLst>
              <c:ext xmlns:c16="http://schemas.microsoft.com/office/drawing/2014/chart" uri="{C3380CC4-5D6E-409C-BE32-E72D297353CC}">
                <c16:uniqueId val="{0000013F-C625-B143-A6F3-58FEA6524153}"/>
              </c:ext>
            </c:extLst>
          </c:dPt>
          <c:dPt>
            <c:idx val="160"/>
            <c:bubble3D val="0"/>
            <c:spPr>
              <a:solidFill>
                <a:srgbClr val="FFE7BE"/>
              </a:solidFill>
            </c:spPr>
            <c:extLst>
              <c:ext xmlns:c16="http://schemas.microsoft.com/office/drawing/2014/chart" uri="{C3380CC4-5D6E-409C-BE32-E72D297353CC}">
                <c16:uniqueId val="{00000141-C625-B143-A6F3-58FEA6524153}"/>
              </c:ext>
            </c:extLst>
          </c:dPt>
          <c:dPt>
            <c:idx val="161"/>
            <c:bubble3D val="0"/>
            <c:spPr>
              <a:solidFill>
                <a:srgbClr val="EBC283"/>
              </a:solidFill>
            </c:spPr>
            <c:extLst>
              <c:ext xmlns:c16="http://schemas.microsoft.com/office/drawing/2014/chart" uri="{C3380CC4-5D6E-409C-BE32-E72D297353CC}">
                <c16:uniqueId val="{00000143-C625-B143-A6F3-58FEA6524153}"/>
              </c:ext>
            </c:extLst>
          </c:dPt>
          <c:dPt>
            <c:idx val="162"/>
            <c:bubble3D val="0"/>
            <c:spPr>
              <a:solidFill>
                <a:srgbClr val="3D614D"/>
              </a:solidFill>
            </c:spPr>
            <c:extLst>
              <c:ext xmlns:c16="http://schemas.microsoft.com/office/drawing/2014/chart" uri="{C3380CC4-5D6E-409C-BE32-E72D297353CC}">
                <c16:uniqueId val="{00000145-C625-B143-A6F3-58FEA6524153}"/>
              </c:ext>
            </c:extLst>
          </c:dPt>
          <c:dPt>
            <c:idx val="163"/>
            <c:bubble3D val="0"/>
            <c:spPr>
              <a:solidFill>
                <a:srgbClr val="963699"/>
              </a:solidFill>
            </c:spPr>
            <c:extLst>
              <c:ext xmlns:c16="http://schemas.microsoft.com/office/drawing/2014/chart" uri="{C3380CC4-5D6E-409C-BE32-E72D297353CC}">
                <c16:uniqueId val="{00000147-C625-B143-A6F3-58FEA6524153}"/>
              </c:ext>
            </c:extLst>
          </c:dPt>
          <c:dPt>
            <c:idx val="164"/>
            <c:bubble3D val="0"/>
            <c:spPr>
              <a:solidFill>
                <a:srgbClr val="1BDFF5"/>
              </a:solidFill>
            </c:spPr>
            <c:extLst>
              <c:ext xmlns:c16="http://schemas.microsoft.com/office/drawing/2014/chart" uri="{C3380CC4-5D6E-409C-BE32-E72D297353CC}">
                <c16:uniqueId val="{00000149-C625-B143-A6F3-58FEA6524153}"/>
              </c:ext>
            </c:extLst>
          </c:dPt>
          <c:dPt>
            <c:idx val="165"/>
            <c:bubble3D val="0"/>
            <c:spPr>
              <a:solidFill>
                <a:srgbClr val="A36DC4"/>
              </a:solidFill>
            </c:spPr>
            <c:extLst>
              <c:ext xmlns:c16="http://schemas.microsoft.com/office/drawing/2014/chart" uri="{C3380CC4-5D6E-409C-BE32-E72D297353CC}">
                <c16:uniqueId val="{0000014B-C625-B143-A6F3-58FEA6524153}"/>
              </c:ext>
            </c:extLst>
          </c:dPt>
          <c:cat>
            <c:strRef>
              <c:f>World!$A$7:$A$171</c:f>
              <c:strCache>
                <c:ptCount val="165"/>
                <c:pt idx="0">
                  <c:v>China</c:v>
                </c:pt>
                <c:pt idx="1">
                  <c:v>Italy</c:v>
                </c:pt>
                <c:pt idx="2">
                  <c:v>Iran</c:v>
                </c:pt>
                <c:pt idx="3">
                  <c:v>Spain</c:v>
                </c:pt>
                <c:pt idx="4">
                  <c:v>Germany</c:v>
                </c:pt>
                <c:pt idx="5">
                  <c:v>United States</c:v>
                </c:pt>
                <c:pt idx="6">
                  <c:v>France</c:v>
                </c:pt>
                <c:pt idx="7">
                  <c:v>South Korea</c:v>
                </c:pt>
                <c:pt idx="8">
                  <c:v>Switzerland</c:v>
                </c:pt>
                <c:pt idx="9">
                  <c:v>United Kingdom</c:v>
                </c:pt>
                <c:pt idx="10">
                  <c:v>Netherlands</c:v>
                </c:pt>
                <c:pt idx="11">
                  <c:v>Austria</c:v>
                </c:pt>
                <c:pt idx="12">
                  <c:v>Belgium</c:v>
                </c:pt>
                <c:pt idx="13">
                  <c:v>Norway</c:v>
                </c:pt>
                <c:pt idx="14">
                  <c:v>Sweden</c:v>
                </c:pt>
                <c:pt idx="15">
                  <c:v>Denmark</c:v>
                </c:pt>
                <c:pt idx="16">
                  <c:v>Japan</c:v>
                </c:pt>
                <c:pt idx="17">
                  <c:v>Malaysia</c:v>
                </c:pt>
                <c:pt idx="18">
                  <c:v>Canada</c:v>
                </c:pt>
                <c:pt idx="19">
                  <c:v>Portugal</c:v>
                </c:pt>
                <c:pt idx="20">
                  <c:v>Diamond Princess</c:v>
                </c:pt>
                <c:pt idx="21">
                  <c:v>Australia</c:v>
                </c:pt>
                <c:pt idx="22">
                  <c:v>Czech Republic</c:v>
                </c:pt>
                <c:pt idx="23">
                  <c:v>Brazil</c:v>
                </c:pt>
                <c:pt idx="24">
                  <c:v>Israel</c:v>
                </c:pt>
                <c:pt idx="25">
                  <c:v>Greece</c:v>
                </c:pt>
                <c:pt idx="26">
                  <c:v>Qatar</c:v>
                </c:pt>
                <c:pt idx="27">
                  <c:v>Finland</c:v>
                </c:pt>
                <c:pt idx="28">
                  <c:v>Pakistan</c:v>
                </c:pt>
                <c:pt idx="29">
                  <c:v>Ireland</c:v>
                </c:pt>
                <c:pt idx="30">
                  <c:v>Poland</c:v>
                </c:pt>
                <c:pt idx="31">
                  <c:v>Singapore</c:v>
                </c:pt>
                <c:pt idx="32">
                  <c:v>Luxembourg</c:v>
                </c:pt>
                <c:pt idx="33">
                  <c:v>Iceland</c:v>
                </c:pt>
                <c:pt idx="34">
                  <c:v>Indonesia</c:v>
                </c:pt>
                <c:pt idx="35">
                  <c:v>Slovenia</c:v>
                </c:pt>
                <c:pt idx="36">
                  <c:v>Thailand</c:v>
                </c:pt>
                <c:pt idx="37">
                  <c:v>Bahrain</c:v>
                </c:pt>
                <c:pt idx="38">
                  <c:v>Romania</c:v>
                </c:pt>
                <c:pt idx="39">
                  <c:v>Estonia</c:v>
                </c:pt>
                <c:pt idx="40">
                  <c:v>Saudi Arabia</c:v>
                </c:pt>
                <c:pt idx="41">
                  <c:v>Chile</c:v>
                </c:pt>
                <c:pt idx="42">
                  <c:v>Philippines</c:v>
                </c:pt>
                <c:pt idx="43">
                  <c:v>Egypt</c:v>
                </c:pt>
                <c:pt idx="44">
                  <c:v>Russia</c:v>
                </c:pt>
                <c:pt idx="45">
                  <c:v>Hong Kong</c:v>
                </c:pt>
                <c:pt idx="46">
                  <c:v>Turkey</c:v>
                </c:pt>
                <c:pt idx="47">
                  <c:v>Iraq</c:v>
                </c:pt>
                <c:pt idx="48">
                  <c:v>India</c:v>
                </c:pt>
                <c:pt idx="49">
                  <c:v>Ecuador</c:v>
                </c:pt>
                <c:pt idx="50">
                  <c:v>Mexico</c:v>
                </c:pt>
                <c:pt idx="51">
                  <c:v>South Africa</c:v>
                </c:pt>
                <c:pt idx="52">
                  <c:v>Lebanon</c:v>
                </c:pt>
                <c:pt idx="53">
                  <c:v>Kuwait</c:v>
                </c:pt>
                <c:pt idx="54">
                  <c:v>Peru</c:v>
                </c:pt>
                <c:pt idx="55">
                  <c:v>San Marino</c:v>
                </c:pt>
                <c:pt idx="56">
                  <c:v>Panama</c:v>
                </c:pt>
                <c:pt idx="57">
                  <c:v>Armenia</c:v>
                </c:pt>
                <c:pt idx="58">
                  <c:v>United Arab Emirates</c:v>
                </c:pt>
                <c:pt idx="59">
                  <c:v>Taiwan</c:v>
                </c:pt>
                <c:pt idx="60">
                  <c:v>Slovakia</c:v>
                </c:pt>
                <c:pt idx="61">
                  <c:v>Colombia</c:v>
                </c:pt>
                <c:pt idx="62">
                  <c:v>Serbia</c:v>
                </c:pt>
                <c:pt idx="63">
                  <c:v>Argentina</c:v>
                </c:pt>
                <c:pt idx="64">
                  <c:v>Croatia</c:v>
                </c:pt>
                <c:pt idx="65">
                  <c:v>Bulgaria</c:v>
                </c:pt>
                <c:pt idx="66">
                  <c:v>Latvia</c:v>
                </c:pt>
                <c:pt idx="67">
                  <c:v>Algeria</c:v>
                </c:pt>
                <c:pt idx="68">
                  <c:v>Uruguay</c:v>
                </c:pt>
                <c:pt idx="69">
                  <c:v>Vietnam</c:v>
                </c:pt>
                <c:pt idx="70">
                  <c:v>Hungary</c:v>
                </c:pt>
                <c:pt idx="71">
                  <c:v>Costa Rica</c:v>
                </c:pt>
                <c:pt idx="72">
                  <c:v>Brunei</c:v>
                </c:pt>
                <c:pt idx="73">
                  <c:v>Albania</c:v>
                </c:pt>
                <c:pt idx="74">
                  <c:v>Cyprus</c:v>
                </c:pt>
                <c:pt idx="75">
                  <c:v>Morocco</c:v>
                </c:pt>
                <c:pt idx="76">
                  <c:v>Jordan</c:v>
                </c:pt>
                <c:pt idx="77">
                  <c:v>Andorra</c:v>
                </c:pt>
                <c:pt idx="78">
                  <c:v>Belarus</c:v>
                </c:pt>
                <c:pt idx="79">
                  <c:v>Sri Lanka</c:v>
                </c:pt>
                <c:pt idx="80">
                  <c:v>Malta</c:v>
                </c:pt>
                <c:pt idx="81">
                  <c:v>Palestine</c:v>
                </c:pt>
                <c:pt idx="82">
                  <c:v>Kazakhstan</c:v>
                </c:pt>
                <c:pt idx="83">
                  <c:v>North Macedonia</c:v>
                </c:pt>
                <c:pt idx="84">
                  <c:v>Georgia</c:v>
                </c:pt>
                <c:pt idx="85">
                  <c:v>Oman</c:v>
                </c:pt>
                <c:pt idx="86">
                  <c:v>New Zealand</c:v>
                </c:pt>
                <c:pt idx="87">
                  <c:v>Senegal</c:v>
                </c:pt>
                <c:pt idx="88">
                  <c:v>Cambodia</c:v>
                </c:pt>
                <c:pt idx="89">
                  <c:v>Bosnia</c:v>
                </c:pt>
                <c:pt idx="90">
                  <c:v>Venezuela</c:v>
                </c:pt>
                <c:pt idx="91">
                  <c:v>Moldova</c:v>
                </c:pt>
                <c:pt idx="92">
                  <c:v>Azerbaijan</c:v>
                </c:pt>
                <c:pt idx="93">
                  <c:v>Lithuania</c:v>
                </c:pt>
                <c:pt idx="94">
                  <c:v>Dominican Republic</c:v>
                </c:pt>
                <c:pt idx="95">
                  <c:v>Tunisia</c:v>
                </c:pt>
                <c:pt idx="96">
                  <c:v>Liechtenstein</c:v>
                </c:pt>
                <c:pt idx="97">
                  <c:v>Burkina Faso</c:v>
                </c:pt>
                <c:pt idx="98">
                  <c:v>Uzbekistan</c:v>
                </c:pt>
                <c:pt idx="99">
                  <c:v>Afghanistan</c:v>
                </c:pt>
                <c:pt idx="100">
                  <c:v>Northern Cyprus</c:v>
                </c:pt>
                <c:pt idx="101">
                  <c:v>Kosovo</c:v>
                </c:pt>
                <c:pt idx="102">
                  <c:v>Macau</c:v>
                </c:pt>
                <c:pt idx="103">
                  <c:v>Bangladesh</c:v>
                </c:pt>
                <c:pt idx="104">
                  <c:v>Ukraine</c:v>
                </c:pt>
                <c:pt idx="105">
                  <c:v>Bolivia</c:v>
                </c:pt>
                <c:pt idx="106">
                  <c:v>Jamaica</c:v>
                </c:pt>
                <c:pt idx="107">
                  <c:v>DR Congo</c:v>
                </c:pt>
                <c:pt idx="108">
                  <c:v>Maldives</c:v>
                </c:pt>
                <c:pt idx="109">
                  <c:v>Honduras</c:v>
                </c:pt>
                <c:pt idx="110">
                  <c:v>Paraguay</c:v>
                </c:pt>
                <c:pt idx="111">
                  <c:v>Rwanda</c:v>
                </c:pt>
                <c:pt idx="112">
                  <c:v>Cuba</c:v>
                </c:pt>
                <c:pt idx="113">
                  <c:v>Cameroon</c:v>
                </c:pt>
                <c:pt idx="114">
                  <c:v>Monaco</c:v>
                </c:pt>
                <c:pt idx="115">
                  <c:v>Ghana</c:v>
                </c:pt>
                <c:pt idx="116">
                  <c:v>Trinidad and Tobago</c:v>
                </c:pt>
                <c:pt idx="117">
                  <c:v>Montenegro</c:v>
                </c:pt>
                <c:pt idx="118">
                  <c:v>Gibraltar</c:v>
                </c:pt>
                <c:pt idx="119">
                  <c:v>Nigeria</c:v>
                </c:pt>
                <c:pt idx="120">
                  <c:v>Kenya</c:v>
                </c:pt>
                <c:pt idx="121">
                  <c:v>Guatemala</c:v>
                </c:pt>
                <c:pt idx="122">
                  <c:v>Ivory Coast</c:v>
                </c:pt>
                <c:pt idx="123">
                  <c:v>Ethiopia</c:v>
                </c:pt>
                <c:pt idx="124">
                  <c:v>Jersey</c:v>
                </c:pt>
                <c:pt idx="125">
                  <c:v>Seychelles</c:v>
                </c:pt>
                <c:pt idx="126">
                  <c:v>Mongolia</c:v>
                </c:pt>
                <c:pt idx="127">
                  <c:v>French Polynesia</c:v>
                </c:pt>
                <c:pt idx="128">
                  <c:v>Tanzania</c:v>
                </c:pt>
                <c:pt idx="129">
                  <c:v>Guyana</c:v>
                </c:pt>
                <c:pt idx="130">
                  <c:v>Aruba</c:v>
                </c:pt>
                <c:pt idx="131">
                  <c:v>Gabon</c:v>
                </c:pt>
                <c:pt idx="132">
                  <c:v>Equatorial Guinea</c:v>
                </c:pt>
                <c:pt idx="133">
                  <c:v>Kyrgyzstan</c:v>
                </c:pt>
                <c:pt idx="134">
                  <c:v>Bahamas</c:v>
                </c:pt>
                <c:pt idx="135">
                  <c:v>Curaçao</c:v>
                </c:pt>
                <c:pt idx="136">
                  <c:v>Mauritius</c:v>
                </c:pt>
                <c:pt idx="137">
                  <c:v>Congo Republic</c:v>
                </c:pt>
                <c:pt idx="138">
                  <c:v>Barbados</c:v>
                </c:pt>
                <c:pt idx="139">
                  <c:v>Namibia</c:v>
                </c:pt>
                <c:pt idx="140">
                  <c:v>Liberia</c:v>
                </c:pt>
                <c:pt idx="141">
                  <c:v>Saint Lucia</c:v>
                </c:pt>
                <c:pt idx="142">
                  <c:v>Greenland</c:v>
                </c:pt>
                <c:pt idx="143">
                  <c:v>Guinea</c:v>
                </c:pt>
                <c:pt idx="144">
                  <c:v>Mauritania</c:v>
                </c:pt>
                <c:pt idx="145">
                  <c:v>Zambia</c:v>
                </c:pt>
                <c:pt idx="146">
                  <c:v>Benin</c:v>
                </c:pt>
                <c:pt idx="147">
                  <c:v>El Salvador</c:v>
                </c:pt>
                <c:pt idx="148">
                  <c:v>Saint Vincent and the Grenadines</c:v>
                </c:pt>
                <c:pt idx="149">
                  <c:v>Suriname</c:v>
                </c:pt>
                <c:pt idx="150">
                  <c:v>Guernsey</c:v>
                </c:pt>
                <c:pt idx="151">
                  <c:v>Cayman Islands</c:v>
                </c:pt>
                <c:pt idx="152">
                  <c:v>Nicaragua</c:v>
                </c:pt>
                <c:pt idx="153">
                  <c:v>Djibouti</c:v>
                </c:pt>
                <c:pt idx="154">
                  <c:v>Antigua and Barbuda</c:v>
                </c:pt>
                <c:pt idx="155">
                  <c:v>Sudan</c:v>
                </c:pt>
                <c:pt idx="156">
                  <c:v>Montserrat</c:v>
                </c:pt>
                <c:pt idx="157">
                  <c:v>Gambia</c:v>
                </c:pt>
                <c:pt idx="158">
                  <c:v>Eswatini</c:v>
                </c:pt>
                <c:pt idx="159">
                  <c:v>Somalia</c:v>
                </c:pt>
                <c:pt idx="160">
                  <c:v>Central African Republic</c:v>
                </c:pt>
                <c:pt idx="161">
                  <c:v>Togo</c:v>
                </c:pt>
                <c:pt idx="162">
                  <c:v>Nepal</c:v>
                </c:pt>
                <c:pt idx="163">
                  <c:v>Bhutan</c:v>
                </c:pt>
                <c:pt idx="164">
                  <c:v>Vatican City</c:v>
                </c:pt>
              </c:strCache>
            </c:strRef>
          </c:cat>
          <c:val>
            <c:numRef>
              <c:f>World!$C$7:$C$172</c:f>
              <c:numCache>
                <c:formatCode>#,##0</c:formatCode>
                <c:ptCount val="166"/>
                <c:pt idx="0">
                  <c:v>3245</c:v>
                </c:pt>
                <c:pt idx="1">
                  <c:v>3405</c:v>
                </c:pt>
                <c:pt idx="2">
                  <c:v>1284</c:v>
                </c:pt>
                <c:pt idx="3" formatCode="General">
                  <c:v>833</c:v>
                </c:pt>
                <c:pt idx="4" formatCode="General">
                  <c:v>44</c:v>
                </c:pt>
                <c:pt idx="5">
                  <c:v>207</c:v>
                </c:pt>
                <c:pt idx="6" formatCode="General">
                  <c:v>372</c:v>
                </c:pt>
                <c:pt idx="7" formatCode="General">
                  <c:v>94</c:v>
                </c:pt>
                <c:pt idx="8" formatCode="General">
                  <c:v>43</c:v>
                </c:pt>
                <c:pt idx="9" formatCode="General">
                  <c:v>144</c:v>
                </c:pt>
                <c:pt idx="10" formatCode="General">
                  <c:v>76</c:v>
                </c:pt>
                <c:pt idx="11" formatCode="General">
                  <c:v>7</c:v>
                </c:pt>
                <c:pt idx="12" formatCode="General">
                  <c:v>21</c:v>
                </c:pt>
                <c:pt idx="13" formatCode="General">
                  <c:v>7</c:v>
                </c:pt>
                <c:pt idx="14" formatCode="General">
                  <c:v>11</c:v>
                </c:pt>
                <c:pt idx="15" formatCode="General">
                  <c:v>6</c:v>
                </c:pt>
                <c:pt idx="16" formatCode="General">
                  <c:v>40</c:v>
                </c:pt>
                <c:pt idx="17" formatCode="General">
                  <c:v>2</c:v>
                </c:pt>
                <c:pt idx="18" formatCode="General">
                  <c:v>12</c:v>
                </c:pt>
                <c:pt idx="19" formatCode="General">
                  <c:v>3</c:v>
                </c:pt>
                <c:pt idx="20" formatCode="General">
                  <c:v>7</c:v>
                </c:pt>
                <c:pt idx="21" formatCode="General">
                  <c:v>6</c:v>
                </c:pt>
                <c:pt idx="22" formatCode="General">
                  <c:v>0</c:v>
                </c:pt>
                <c:pt idx="23" formatCode="General">
                  <c:v>7</c:v>
                </c:pt>
                <c:pt idx="24" formatCode="General">
                  <c:v>0</c:v>
                </c:pt>
                <c:pt idx="25" formatCode="General">
                  <c:v>6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2</c:v>
                </c:pt>
                <c:pt idx="29" formatCode="General">
                  <c:v>2</c:v>
                </c:pt>
                <c:pt idx="30" formatCode="General">
                  <c:v>5</c:v>
                </c:pt>
                <c:pt idx="31" formatCode="General">
                  <c:v>0</c:v>
                </c:pt>
                <c:pt idx="32" formatCode="General">
                  <c:v>4</c:v>
                </c:pt>
                <c:pt idx="33" formatCode="General">
                  <c:v>0</c:v>
                </c:pt>
                <c:pt idx="34" formatCode="General">
                  <c:v>25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17</c:v>
                </c:pt>
                <c:pt idx="43" formatCode="General">
                  <c:v>6</c:v>
                </c:pt>
                <c:pt idx="44" formatCode="General">
                  <c:v>1</c:v>
                </c:pt>
                <c:pt idx="45" formatCode="General">
                  <c:v>4</c:v>
                </c:pt>
                <c:pt idx="46" formatCode="General">
                  <c:v>2</c:v>
                </c:pt>
                <c:pt idx="47" formatCode="General">
                  <c:v>12</c:v>
                </c:pt>
                <c:pt idx="48" formatCode="General">
                  <c:v>4</c:v>
                </c:pt>
                <c:pt idx="49" formatCode="General">
                  <c:v>3</c:v>
                </c:pt>
                <c:pt idx="50" formatCode="General">
                  <c:v>1</c:v>
                </c:pt>
                <c:pt idx="51" formatCode="General">
                  <c:v>0</c:v>
                </c:pt>
                <c:pt idx="52" formatCode="General">
                  <c:v>4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14</c:v>
                </c:pt>
                <c:pt idx="56" formatCode="General">
                  <c:v>1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1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2</c:v>
                </c:pt>
                <c:pt idx="64" formatCode="General">
                  <c:v>0</c:v>
                </c:pt>
                <c:pt idx="65" formatCode="General">
                  <c:v>3</c:v>
                </c:pt>
                <c:pt idx="66" formatCode="General">
                  <c:v>0</c:v>
                </c:pt>
                <c:pt idx="67" formatCode="General">
                  <c:v>8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</c:v>
                </c:pt>
                <c:pt idx="71" formatCode="General">
                  <c:v>1</c:v>
                </c:pt>
                <c:pt idx="72" formatCode="General">
                  <c:v>0</c:v>
                </c:pt>
                <c:pt idx="73" formatCode="General">
                  <c:v>2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1</c:v>
                </c:pt>
                <c:pt idx="92" formatCode="General">
                  <c:v>1</c:v>
                </c:pt>
                <c:pt idx="93" formatCode="General">
                  <c:v>0</c:v>
                </c:pt>
                <c:pt idx="94" formatCode="General">
                  <c:v>2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1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1</c:v>
                </c:pt>
                <c:pt idx="104" formatCode="General">
                  <c:v>2</c:v>
                </c:pt>
                <c:pt idx="105" formatCode="General">
                  <c:v>0</c:v>
                </c:pt>
                <c:pt idx="106" formatCode="General">
                  <c:v>1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1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1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1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1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C-C625-B143-A6F3-58FEA6524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_6" displayName="Table_6" ref="A6:G174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Worl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5:G67">
  <tableColumns count="7">
    <tableColumn id="1" xr3:uid="{00000000-0010-0000-0100-000001000000}" name="UNITED STATES"/>
    <tableColumn id="2" xr3:uid="{00000000-0010-0000-0100-000002000000}" name="Cases"/>
    <tableColumn id="3" xr3:uid="{00000000-0010-0000-0100-000003000000}" name="Deaths"/>
    <tableColumn id="4" xr3:uid="{00000000-0010-0000-0100-000004000000}" name="Serious"/>
    <tableColumn id="5" xr3:uid="{00000000-0010-0000-0100-000005000000}" name="Critical"/>
    <tableColumn id="6" xr3:uid="{00000000-0010-0000-0100-000006000000}" name="Recovered"/>
    <tableColumn id="7" xr3:uid="{00000000-0010-0000-0100-000007000000}" name="Links"/>
  </tableColumns>
  <tableStyleInfo name="US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1" displayName="Table_1" ref="A5:G15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Chin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_2" displayName="Table_2" ref="A5:G19" headerRowCount="0">
  <tableColumns count="7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</tableColumns>
  <tableStyleInfo name="Canad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_4" displayName="Table_4" ref="A5:G18" headerRowCount="0">
  <tableColumns count="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</tableColumns>
  <tableStyleInfo name="Australi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_5" displayName="Table_5" ref="A5:G21">
  <tableColumns count="7">
    <tableColumn id="1" xr3:uid="{00000000-0010-0000-0500-000001000000}" name="Mundo Hispano"/>
    <tableColumn id="2" xr3:uid="{00000000-0010-0000-0500-000002000000}" name="Casos"/>
    <tableColumn id="3" xr3:uid="{00000000-0010-0000-0500-000003000000}" name="Muertes"/>
    <tableColumn id="4" xr3:uid="{00000000-0010-0000-0500-000004000000}" name="Serios"/>
    <tableColumn id="5" xr3:uid="{00000000-0010-0000-0500-000005000000}" name="Criticos"/>
    <tableColumn id="6" xr3:uid="{00000000-0010-0000-0500-000006000000}" name="Recuperados"/>
    <tableColumn id="7" xr3:uid="{00000000-0010-0000-0500-000007000000}" name="Fuente"/>
  </tableColumns>
  <tableStyleInfo name="América Latina y Españ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74"/>
  <sheetViews>
    <sheetView showGridLines="0" tabSelected="1" workbookViewId="0">
      <selection activeCell="K7" sqref="K7"/>
    </sheetView>
  </sheetViews>
  <sheetFormatPr baseColWidth="10" defaultColWidth="14.5" defaultRowHeight="15.75" customHeight="1"/>
  <cols>
    <col min="1" max="1" width="18" customWidth="1"/>
    <col min="2" max="2" width="9.5" customWidth="1"/>
    <col min="3" max="3" width="8.5" customWidth="1"/>
    <col min="4" max="4" width="9.6640625" customWidth="1"/>
    <col min="5" max="5" width="8.6640625" customWidth="1"/>
    <col min="6" max="6" width="12" customWidth="1"/>
    <col min="7" max="7" width="11.33203125" customWidth="1"/>
    <col min="8" max="8" width="0.6640625" customWidth="1"/>
  </cols>
  <sheetData>
    <row r="1" spans="1:24" ht="17">
      <c r="A1" s="128" t="s">
        <v>292</v>
      </c>
      <c r="B1" s="5"/>
      <c r="C1" s="5"/>
      <c r="D1" s="7"/>
      <c r="E1" s="7"/>
      <c r="F1" s="9"/>
      <c r="G1" s="10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>
      <c r="A2" s="5"/>
      <c r="B2" s="5"/>
      <c r="C2" s="5"/>
      <c r="D2" s="7"/>
      <c r="E2" s="7"/>
      <c r="F2" s="9"/>
      <c r="G2" s="1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7">
      <c r="A3" s="5" t="s">
        <v>1</v>
      </c>
      <c r="B3" s="120" t="s">
        <v>2</v>
      </c>
      <c r="C3" s="121"/>
      <c r="D3" s="122" t="s">
        <v>3</v>
      </c>
      <c r="E3" s="121"/>
      <c r="F3" s="123" t="s">
        <v>8</v>
      </c>
      <c r="G3" s="121"/>
      <c r="H3" s="7"/>
      <c r="I3" s="1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7">
      <c r="A4" s="14">
        <f t="shared" ref="A4:B4" si="0">SUM(B173, B174)</f>
        <v>246722</v>
      </c>
      <c r="B4" s="124">
        <f t="shared" si="0"/>
        <v>10178</v>
      </c>
      <c r="C4" s="121"/>
      <c r="D4" s="125">
        <f>SUM(F173, F174)</f>
        <v>86054</v>
      </c>
      <c r="E4" s="121"/>
      <c r="F4" s="126" t="e">
        <f ca="1">MINUS(A4,B4+D4)</f>
        <v>#NAME?</v>
      </c>
      <c r="G4" s="121"/>
      <c r="H4" s="23"/>
      <c r="I4" s="2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">
      <c r="A5" s="22"/>
      <c r="B5" s="10"/>
      <c r="C5" s="10"/>
      <c r="D5" s="9"/>
      <c r="E5" s="9"/>
      <c r="F5" s="9"/>
      <c r="G5" s="10"/>
      <c r="H5" s="20"/>
      <c r="I5" s="2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30" customHeight="1">
      <c r="A6" s="31" t="s">
        <v>4</v>
      </c>
      <c r="B6" s="33" t="s">
        <v>5</v>
      </c>
      <c r="C6" s="33" t="s">
        <v>6</v>
      </c>
      <c r="D6" s="35" t="s">
        <v>31</v>
      </c>
      <c r="E6" s="37" t="s">
        <v>34</v>
      </c>
      <c r="F6" s="37" t="s">
        <v>35</v>
      </c>
      <c r="G6" s="33"/>
      <c r="H6" s="28"/>
      <c r="I6" s="28"/>
      <c r="J6" s="39"/>
      <c r="K6" s="39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ht="30" customHeight="1">
      <c r="A7" s="40" t="s">
        <v>7</v>
      </c>
      <c r="B7" s="42">
        <v>80928</v>
      </c>
      <c r="C7" s="42">
        <v>3245</v>
      </c>
      <c r="D7" s="44">
        <v>2314</v>
      </c>
      <c r="E7" s="47" t="s">
        <v>91</v>
      </c>
      <c r="F7" s="44">
        <v>70420</v>
      </c>
      <c r="G7" s="51" t="str">
        <f>HYPERLINK("http://www.nhc.gov.cn/yjb/s7860/202003/e644c2fc18b4448db7ed4b30f68b91a6.shtml","Source")</f>
        <v>Source</v>
      </c>
      <c r="H7" s="28"/>
      <c r="I7" s="28"/>
      <c r="J7" s="39"/>
      <c r="K7" s="3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1:24" ht="30" customHeight="1">
      <c r="A8" s="40" t="s">
        <v>9</v>
      </c>
      <c r="B8" s="42">
        <v>41035</v>
      </c>
      <c r="C8" s="42">
        <v>3405</v>
      </c>
      <c r="D8" s="53">
        <v>2498</v>
      </c>
      <c r="E8" s="47" t="s">
        <v>91</v>
      </c>
      <c r="F8" s="53">
        <v>4440</v>
      </c>
      <c r="G8" s="51" t="str">
        <f>HYPERLINK("http://www.salute.gov.it/imgs/C_17_pagineAree_5351_22_file.pdf","Source")</f>
        <v>Source</v>
      </c>
      <c r="H8" s="43"/>
      <c r="I8" s="28"/>
      <c r="J8" s="56"/>
      <c r="K8" s="3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 ht="30" customHeight="1">
      <c r="A9" s="40" t="s">
        <v>10</v>
      </c>
      <c r="B9" s="42">
        <v>18407</v>
      </c>
      <c r="C9" s="42">
        <v>1284</v>
      </c>
      <c r="D9" s="47" t="s">
        <v>91</v>
      </c>
      <c r="E9" s="47" t="s">
        <v>91</v>
      </c>
      <c r="F9" s="53">
        <v>5979</v>
      </c>
      <c r="G9" s="51" t="str">
        <f>HYPERLINK("https://twitter.com/Khaaasteh/status/1240593328619520000","Source")</f>
        <v>Source</v>
      </c>
      <c r="H9" s="43"/>
      <c r="I9" s="28"/>
      <c r="J9" s="39"/>
      <c r="K9" s="3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30" customHeight="1">
      <c r="A10" s="40" t="s">
        <v>11</v>
      </c>
      <c r="B10" s="42">
        <v>18077</v>
      </c>
      <c r="C10" s="62">
        <v>833</v>
      </c>
      <c r="D10" s="64">
        <v>939</v>
      </c>
      <c r="E10" s="47" t="s">
        <v>91</v>
      </c>
      <c r="F10" s="53">
        <v>1107</v>
      </c>
      <c r="G10" s="51" t="str">
        <f>HYPERLINK("https://www.rtve.es/noticias/20200319/mapa-del-coronavirus-espana/2004681.shtml","Source")</f>
        <v>Source</v>
      </c>
      <c r="H10" s="43"/>
      <c r="I10" s="28"/>
      <c r="J10" s="39"/>
      <c r="K10" s="3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30" customHeight="1">
      <c r="A11" s="40" t="s">
        <v>13</v>
      </c>
      <c r="B11" s="42">
        <v>15320</v>
      </c>
      <c r="C11" s="62">
        <v>44</v>
      </c>
      <c r="D11" s="47" t="s">
        <v>91</v>
      </c>
      <c r="E11" s="47">
        <v>2</v>
      </c>
      <c r="F11" s="64">
        <v>115</v>
      </c>
      <c r="G11" s="51" t="str">
        <f>HYPERLINK("https://interaktiv.morgenpost.de/corona-virus-karte-infektionen-deutschland-weltweit/?fbclid=IwAR04HlqzakGaNssQzbz4d8o8R3gz0C910U8tvfYlBT6P0lVJJvHfk9uS2rc","Source")</f>
        <v>Source</v>
      </c>
      <c r="H11" s="43"/>
      <c r="I11" s="28"/>
      <c r="J11" s="28"/>
      <c r="K11" s="3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30" customHeight="1">
      <c r="A12" s="40" t="s">
        <v>15</v>
      </c>
      <c r="B12" s="42">
        <f>USA!A3</f>
        <v>14145</v>
      </c>
      <c r="C12" s="42">
        <f>USA!B3</f>
        <v>207</v>
      </c>
      <c r="D12" s="47">
        <v>60</v>
      </c>
      <c r="E12" s="47">
        <v>4</v>
      </c>
      <c r="F12" s="47">
        <v>9</v>
      </c>
      <c r="G12" s="70"/>
      <c r="H12" s="71"/>
      <c r="I12" s="71"/>
      <c r="J12" s="39"/>
      <c r="K12" s="3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30" customHeight="1">
      <c r="A13" s="40" t="s">
        <v>14</v>
      </c>
      <c r="B13" s="42">
        <v>10995</v>
      </c>
      <c r="C13" s="62">
        <v>372</v>
      </c>
      <c r="D13" s="47">
        <v>921</v>
      </c>
      <c r="E13" s="47" t="s">
        <v>91</v>
      </c>
      <c r="F13" s="47">
        <v>12</v>
      </c>
      <c r="G13" s="51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H13" s="43"/>
      <c r="I13" s="28"/>
      <c r="J13" s="73"/>
      <c r="K13" s="3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30" customHeight="1">
      <c r="A14" s="40" t="s">
        <v>12</v>
      </c>
      <c r="B14" s="42">
        <v>8652</v>
      </c>
      <c r="C14" s="62">
        <v>94</v>
      </c>
      <c r="D14" s="47" t="s">
        <v>91</v>
      </c>
      <c r="E14" s="47" t="s">
        <v>91</v>
      </c>
      <c r="F14" s="53">
        <v>2233</v>
      </c>
      <c r="G14" s="51" t="str">
        <f>HYPERLINK("http://ncov.mohw.go.kr/tcmBoardView.do?brdId=&amp;brdGubun=&amp;dataGubun=&amp;ncvContSeq=353650&amp;contSeq=353650&amp;board_id=&amp;gubun=ALL","Source")</f>
        <v>Source</v>
      </c>
      <c r="H14" s="43"/>
      <c r="I14" s="28"/>
      <c r="J14" s="39"/>
      <c r="K14" s="3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30" customHeight="1">
      <c r="A15" s="40" t="s">
        <v>16</v>
      </c>
      <c r="B15" s="42">
        <v>4161</v>
      </c>
      <c r="C15" s="62">
        <v>43</v>
      </c>
      <c r="D15" s="47" t="s">
        <v>91</v>
      </c>
      <c r="E15" s="47" t="s">
        <v>91</v>
      </c>
      <c r="F15" s="47">
        <v>4</v>
      </c>
      <c r="G15" s="51" t="str">
        <f>HYPERLINK("https://www.24heures.ch/monde/direct-nouveau-cas-coronavirus-suisse/story/24581768","Source")</f>
        <v>Source</v>
      </c>
      <c r="H15" s="43"/>
      <c r="I15" s="28"/>
      <c r="J15" s="39"/>
      <c r="K15" s="3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pans="1:24" ht="30" customHeight="1">
      <c r="A16" s="40" t="s">
        <v>17</v>
      </c>
      <c r="B16" s="42">
        <v>3269</v>
      </c>
      <c r="C16" s="62">
        <v>144</v>
      </c>
      <c r="D16" s="47">
        <v>20</v>
      </c>
      <c r="E16" s="47" t="s">
        <v>91</v>
      </c>
      <c r="F16" s="47">
        <v>65</v>
      </c>
      <c r="G16" s="51" t="str">
        <f>HYPERLINK("https://twitter.com/DHSCgovuk/status/1240717258013306880","Source")</f>
        <v>Source</v>
      </c>
      <c r="H16" s="43"/>
      <c r="I16" s="28"/>
      <c r="J16" s="39"/>
      <c r="K16" s="3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spans="1:24" ht="30" customHeight="1">
      <c r="A17" s="40" t="s">
        <v>18</v>
      </c>
      <c r="B17" s="42">
        <v>2460</v>
      </c>
      <c r="C17" s="62">
        <v>76</v>
      </c>
      <c r="D17" s="47" t="s">
        <v>91</v>
      </c>
      <c r="E17" s="64">
        <v>177</v>
      </c>
      <c r="F17" s="47">
        <v>2</v>
      </c>
      <c r="G17" s="51" t="str">
        <f>HYPERLINK("https://www.rivm.nl/nieuws/actuele-informatie-over-coronavirus","Source")</f>
        <v>Source</v>
      </c>
      <c r="H17" s="43"/>
      <c r="I17" s="28"/>
      <c r="J17" s="39"/>
      <c r="K17" s="3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 ht="30" customHeight="1">
      <c r="A18" s="40" t="s">
        <v>22</v>
      </c>
      <c r="B18" s="42">
        <v>2013</v>
      </c>
      <c r="C18" s="62">
        <v>7</v>
      </c>
      <c r="D18" s="47" t="s">
        <v>91</v>
      </c>
      <c r="E18" s="47" t="s">
        <v>91</v>
      </c>
      <c r="F18" s="47">
        <v>9</v>
      </c>
      <c r="G18" s="51" t="str">
        <f>HYPERLINK("https://twitter.com/bmsgpk/status/1240647578166988803","Source")</f>
        <v>Source</v>
      </c>
      <c r="H18" s="43"/>
      <c r="I18" s="28"/>
      <c r="J18" s="39"/>
      <c r="K18" s="3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ht="30" customHeight="1">
      <c r="A19" s="40" t="s">
        <v>20</v>
      </c>
      <c r="B19" s="42">
        <v>1795</v>
      </c>
      <c r="C19" s="62">
        <v>21</v>
      </c>
      <c r="D19" s="47">
        <v>100</v>
      </c>
      <c r="E19" s="47" t="s">
        <v>91</v>
      </c>
      <c r="F19" s="47">
        <v>31</v>
      </c>
      <c r="G19" s="51" t="str">
        <f>HYPERLINK("https://www.info-coronavirus.be/nl/2020/03/19/309-nieuwe-besmettingen-met-coronavirus-covid-19/","Source")</f>
        <v>Source</v>
      </c>
      <c r="H19" s="43"/>
      <c r="I19" s="28"/>
      <c r="J19" s="39"/>
      <c r="K19" s="3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 ht="30" customHeight="1">
      <c r="A20" s="40" t="s">
        <v>19</v>
      </c>
      <c r="B20" s="42">
        <v>1775</v>
      </c>
      <c r="C20" s="62">
        <v>7</v>
      </c>
      <c r="D20" s="47" t="s">
        <v>91</v>
      </c>
      <c r="E20" s="47" t="s">
        <v>91</v>
      </c>
      <c r="F20" s="47" t="s">
        <v>91</v>
      </c>
      <c r="G20" s="51" t="str">
        <f>HYPERLINK("https://www.vg.no/spesial/2020/corona-viruset/?utm_source=vgfront&amp;utm_content=row-1","Source")</f>
        <v>Source</v>
      </c>
      <c r="H20" s="43"/>
      <c r="I20" s="28"/>
      <c r="J20" s="74"/>
      <c r="K20" s="3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spans="1:24" ht="30" customHeight="1">
      <c r="A21" s="40" t="s">
        <v>21</v>
      </c>
      <c r="B21" s="42">
        <v>1423</v>
      </c>
      <c r="C21" s="62">
        <v>11</v>
      </c>
      <c r="D21" s="47" t="s">
        <v>91</v>
      </c>
      <c r="E21" s="47" t="s">
        <v>91</v>
      </c>
      <c r="F21" s="47" t="s">
        <v>91</v>
      </c>
      <c r="G21" s="51" t="str">
        <f>HYPERLINK("https://www.aftonbladet.se/nyheter/a/y3rdeA/coronaviruset-har-ar-de-senaste-siffrorna","Source")</f>
        <v>Source</v>
      </c>
      <c r="H21" s="43"/>
      <c r="I21" s="28"/>
      <c r="J21" s="39"/>
      <c r="K21" s="3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 ht="30" customHeight="1">
      <c r="A22" s="40" t="s">
        <v>23</v>
      </c>
      <c r="B22" s="42">
        <v>1223</v>
      </c>
      <c r="C22" s="62">
        <v>6</v>
      </c>
      <c r="D22" s="47" t="s">
        <v>91</v>
      </c>
      <c r="E22" s="47" t="s">
        <v>91</v>
      </c>
      <c r="F22" s="47" t="s">
        <v>91</v>
      </c>
      <c r="G22" s="51" t="str">
        <f>HYPERLINK("https://politi.dk/coronavirus-i-danmark/foelg-smittespredningen-globalt-regionalt-og-lokalt","Source")</f>
        <v>Source</v>
      </c>
      <c r="H22" s="43"/>
      <c r="I22" s="28"/>
      <c r="J22" s="39"/>
      <c r="K22" s="3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pans="1:24" ht="30" customHeight="1">
      <c r="A23" s="40" t="s">
        <v>25</v>
      </c>
      <c r="B23" s="62">
        <v>956</v>
      </c>
      <c r="C23" s="62">
        <v>40</v>
      </c>
      <c r="D23" s="64">
        <v>49</v>
      </c>
      <c r="E23" s="47" t="s">
        <v>91</v>
      </c>
      <c r="F23" s="64">
        <v>215</v>
      </c>
      <c r="G23" s="51" t="str">
        <f>HYPERLINK("https://www3.nhk.or.jp/news/html/20200316/k10012333121000.html?utm_int=word_contents_list-items_041&amp;word_result=%E6%96%B0%E5%9E%8B%E3%82%B3%E3%83%AD%E3%83%8A%E3%82%A6%E3%82%A4%E3%83%AB%E3%82%B9","Source")</f>
        <v>Source</v>
      </c>
      <c r="H23" s="77"/>
      <c r="I23" s="28"/>
      <c r="J23" s="39"/>
      <c r="K23" s="3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spans="1:24" ht="30" customHeight="1">
      <c r="A24" s="40" t="s">
        <v>27</v>
      </c>
      <c r="B24" s="62">
        <v>900</v>
      </c>
      <c r="C24" s="62">
        <v>2</v>
      </c>
      <c r="D24" s="47">
        <v>15</v>
      </c>
      <c r="E24" s="47" t="s">
        <v>91</v>
      </c>
      <c r="F24" s="64">
        <v>75</v>
      </c>
      <c r="G24" s="51" t="str">
        <f>HYPERLINK("https://twitter.com/KKMPutrajaya/status/1240548135987863553","Source")</f>
        <v>Source</v>
      </c>
      <c r="H24" s="43"/>
      <c r="I24" s="28"/>
      <c r="J24" s="39"/>
      <c r="K24" s="3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 ht="30" customHeight="1">
      <c r="A25" s="40" t="s">
        <v>29</v>
      </c>
      <c r="B25" s="62">
        <v>863</v>
      </c>
      <c r="C25" s="62">
        <v>12</v>
      </c>
      <c r="D25" s="47" t="s">
        <v>91</v>
      </c>
      <c r="E25" s="47">
        <v>7</v>
      </c>
      <c r="F25" s="47">
        <v>12</v>
      </c>
      <c r="G25" s="70"/>
      <c r="H25" s="39"/>
      <c r="I25" s="39"/>
      <c r="J25" s="39"/>
      <c r="K25" s="3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 ht="30" customHeight="1">
      <c r="A26" s="40" t="s">
        <v>33</v>
      </c>
      <c r="B26" s="62">
        <v>785</v>
      </c>
      <c r="C26" s="62">
        <v>3</v>
      </c>
      <c r="D26" s="47">
        <v>18</v>
      </c>
      <c r="E26" s="78"/>
      <c r="F26" s="47">
        <v>3</v>
      </c>
      <c r="G26" s="51" t="str">
        <f>HYPERLINK("https://covid19.min-saude.pt/ponto-de-situacao-atual-em-portugal/","Source")</f>
        <v>Source</v>
      </c>
      <c r="H26" s="72"/>
      <c r="I26" s="39"/>
      <c r="J26" s="39"/>
      <c r="K26" s="3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24" ht="30" customHeight="1">
      <c r="A27" s="40" t="s">
        <v>26</v>
      </c>
      <c r="B27" s="62">
        <v>712</v>
      </c>
      <c r="C27" s="62">
        <v>7</v>
      </c>
      <c r="D27" s="64">
        <v>12</v>
      </c>
      <c r="E27" s="47" t="s">
        <v>91</v>
      </c>
      <c r="F27" s="64">
        <v>551</v>
      </c>
      <c r="G27" s="51" t="str">
        <f>HYPERLINK("https://www3.nhk.or.jp/news/html/20200316/k10012333121000.html?utm_int=word_contents_list-items_041&amp;word_result=%E6%96%B0%E5%9E%8B%E3%82%B3%E3%83%AD%E3%83%8A%E3%82%A6%E3%82%A4%E3%83%AB%E3%82%B9","Source")</f>
        <v>Source</v>
      </c>
      <c r="H27" s="43"/>
      <c r="I27" s="28"/>
      <c r="J27" s="39"/>
      <c r="K27" s="3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 ht="30" customHeight="1">
      <c r="A28" s="40" t="s">
        <v>30</v>
      </c>
      <c r="B28" s="62">
        <v>710</v>
      </c>
      <c r="C28" s="62">
        <v>6</v>
      </c>
      <c r="D28" s="47" t="s">
        <v>91</v>
      </c>
      <c r="E28" s="47" t="s">
        <v>91</v>
      </c>
      <c r="F28" s="47">
        <v>27</v>
      </c>
      <c r="G28" s="70"/>
      <c r="H28" s="28"/>
      <c r="I28" s="28"/>
      <c r="J28" s="39"/>
      <c r="K28" s="3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4" ht="30" customHeight="1">
      <c r="A29" s="40" t="s">
        <v>37</v>
      </c>
      <c r="B29" s="62">
        <v>694</v>
      </c>
      <c r="C29" s="62">
        <v>0</v>
      </c>
      <c r="D29" s="47">
        <v>2</v>
      </c>
      <c r="E29" s="47">
        <v>0</v>
      </c>
      <c r="F29" s="47">
        <v>3</v>
      </c>
      <c r="G29" s="51" t="str">
        <f>HYPERLINK("https://onemocneni-aktualne.mzcr.cz/covid-19","Source")</f>
        <v>Source</v>
      </c>
      <c r="H29" s="43"/>
      <c r="I29" s="28"/>
      <c r="J29" s="39"/>
      <c r="K29" s="3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 ht="30" customHeight="1">
      <c r="A30" s="40" t="s">
        <v>40</v>
      </c>
      <c r="B30" s="62">
        <v>635</v>
      </c>
      <c r="C30" s="62">
        <v>7</v>
      </c>
      <c r="D30" s="47" t="s">
        <v>91</v>
      </c>
      <c r="E30" s="47" t="s">
        <v>91</v>
      </c>
      <c r="F30" s="47">
        <v>1</v>
      </c>
      <c r="G30" s="51" t="str">
        <f>HYPERLINK("https://g1.globo.com/bemestar/coronavirus/noticia/2020/03/19/casos-de-coronavirus-no-brasil-em-19-de-marco.ghtml","Source")</f>
        <v>Source</v>
      </c>
      <c r="H30" s="43"/>
      <c r="I30" s="28"/>
      <c r="J30" s="39"/>
      <c r="K30" s="3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 ht="30" customHeight="1">
      <c r="A31" s="40" t="s">
        <v>38</v>
      </c>
      <c r="B31" s="62">
        <v>573</v>
      </c>
      <c r="C31" s="62">
        <v>0</v>
      </c>
      <c r="D31" s="47" t="s">
        <v>91</v>
      </c>
      <c r="E31" s="47">
        <v>6</v>
      </c>
      <c r="F31" s="64">
        <v>14</v>
      </c>
      <c r="G31" s="51" t="str">
        <f>HYPERLINK("https://www.jpost.com/Israel-News/Coronavirus-in-Israel-at-a-glance-620333","Source")</f>
        <v>Source</v>
      </c>
      <c r="H31" s="43"/>
      <c r="I31" s="28"/>
      <c r="J31" s="39"/>
      <c r="K31" s="3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 ht="30" customHeight="1">
      <c r="A32" s="40" t="s">
        <v>32</v>
      </c>
      <c r="B32" s="62">
        <v>464</v>
      </c>
      <c r="C32" s="62">
        <v>6</v>
      </c>
      <c r="D32" s="47">
        <v>5</v>
      </c>
      <c r="E32" s="47" t="s">
        <v>91</v>
      </c>
      <c r="F32" s="47">
        <v>10</v>
      </c>
      <c r="G32" s="51" t="e">
        <f>HYPERLINK("https://www.moh.gov.gr/articles/ministry/grafeio-typoy/press-releases/6923-enhmerwsh-diapisteymenwn-syntaktwn-ygeias-apo-ton-yfypoyrgo-politikhs-prostasias-kai-diaxeirishs-krisewn-niko-xardalia-kai-ton-ekproswpo-toy-ypoyrgeioy-ygeias-gia-to-neo-koronoio-k"&amp;"athhghth-swthrh-tsiodra-19-3-2020","Source")</f>
        <v>#VALUE!</v>
      </c>
      <c r="H32" s="72"/>
      <c r="I32" s="39"/>
      <c r="J32" s="39"/>
      <c r="K32" s="3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30" customHeight="1">
      <c r="A33" s="40" t="s">
        <v>28</v>
      </c>
      <c r="B33" s="62">
        <v>452</v>
      </c>
      <c r="C33" s="62">
        <v>0</v>
      </c>
      <c r="D33" s="47" t="s">
        <v>91</v>
      </c>
      <c r="E33" s="47" t="s">
        <v>91</v>
      </c>
      <c r="F33" s="47">
        <v>4</v>
      </c>
      <c r="G33" s="51" t="str">
        <f>HYPERLINK("https://english.alarabiya.net/en/News/gulf/2020/03/19/Qatar-detects-10-new-coronavirus-cases-total-at-452.html","Source")</f>
        <v>Source</v>
      </c>
      <c r="H33" s="28"/>
      <c r="I33" s="28"/>
      <c r="J33" s="39"/>
      <c r="K33" s="3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30" customHeight="1">
      <c r="A34" s="40" t="s">
        <v>39</v>
      </c>
      <c r="B34" s="62">
        <v>400</v>
      </c>
      <c r="C34" s="62">
        <v>0</v>
      </c>
      <c r="D34" s="47" t="s">
        <v>91</v>
      </c>
      <c r="E34" s="47" t="s">
        <v>91</v>
      </c>
      <c r="F34" s="47">
        <v>10</v>
      </c>
      <c r="G34" s="51" t="str">
        <f>HYPERLINK("https://thl.fi/fi/web/infektiotaudit-ja-rokotukset/ajankohtaista/ajankohtaista-koronaviruksesta-covid-19","Source")</f>
        <v>Source</v>
      </c>
      <c r="H34" s="28"/>
      <c r="I34" s="39"/>
      <c r="J34" s="39"/>
      <c r="K34" s="3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30" customHeight="1">
      <c r="A35" s="40" t="s">
        <v>47</v>
      </c>
      <c r="B35" s="62">
        <v>377</v>
      </c>
      <c r="C35" s="62">
        <v>2</v>
      </c>
      <c r="D35" s="47" t="s">
        <v>91</v>
      </c>
      <c r="E35" s="47" t="s">
        <v>91</v>
      </c>
      <c r="F35" s="47">
        <v>5</v>
      </c>
      <c r="G35" s="51" t="str">
        <f>HYPERLINK("https://www.dawn.com/live-blog/","Source")</f>
        <v>Source</v>
      </c>
      <c r="H35" s="28"/>
      <c r="I35" s="39"/>
      <c r="J35" s="39"/>
      <c r="K35" s="3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30" customHeight="1">
      <c r="A36" s="40" t="s">
        <v>42</v>
      </c>
      <c r="B36" s="62">
        <v>366</v>
      </c>
      <c r="C36" s="62">
        <v>2</v>
      </c>
      <c r="D36" s="78"/>
      <c r="E36" s="78"/>
      <c r="F36" s="78"/>
      <c r="G36" s="51" t="str">
        <f>HYPERLINK("https://twitter.com/roinnslainte/status/1240381336415854592","Source")</f>
        <v>Source</v>
      </c>
      <c r="H36" s="80"/>
      <c r="I36" s="28"/>
      <c r="J36" s="39"/>
      <c r="K36" s="3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27.75" customHeight="1">
      <c r="A37" s="40" t="s">
        <v>48</v>
      </c>
      <c r="B37" s="62">
        <v>355</v>
      </c>
      <c r="C37" s="62">
        <v>5</v>
      </c>
      <c r="D37" s="47">
        <v>2</v>
      </c>
      <c r="E37" s="47">
        <v>0</v>
      </c>
      <c r="F37" s="47">
        <v>0</v>
      </c>
      <c r="G37" s="51" t="str">
        <f>HYPERLINK("https://twitter.com/MZ_GOV_PL/status/1240698328020471808","Source")</f>
        <v>Source</v>
      </c>
      <c r="H37" s="72"/>
      <c r="I37" s="39"/>
      <c r="J37" s="39"/>
      <c r="K37" s="3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 ht="30" customHeight="1">
      <c r="A38" s="40" t="s">
        <v>41</v>
      </c>
      <c r="B38" s="62">
        <v>345</v>
      </c>
      <c r="C38" s="62">
        <v>0</v>
      </c>
      <c r="D38" s="47" t="s">
        <v>91</v>
      </c>
      <c r="E38" s="47">
        <v>15</v>
      </c>
      <c r="F38" s="64">
        <v>124</v>
      </c>
      <c r="G38" s="51" t="str">
        <f>HYPERLINK("https://www.moh.gov.sg/news-highlights/details/seven-more-cases-discharged-32-new-cases-of-covid-19-infection-confirmed","Source")</f>
        <v>Source</v>
      </c>
      <c r="H38" s="28"/>
      <c r="I38" s="39"/>
      <c r="J38" s="39"/>
      <c r="K38" s="39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30" customHeight="1">
      <c r="A39" s="40" t="s">
        <v>66</v>
      </c>
      <c r="B39" s="62">
        <v>335</v>
      </c>
      <c r="C39" s="62">
        <v>4</v>
      </c>
      <c r="D39" s="78"/>
      <c r="E39" s="78"/>
      <c r="F39" s="78"/>
      <c r="G39" s="91" t="str">
        <f>HYPERLINK("https://gouvernement.lu/fr/dossiers.gouv_msan+fr+dossiers+2020+corona-virus.html","Source")</f>
        <v>Source</v>
      </c>
      <c r="H39" s="28"/>
      <c r="I39" s="28"/>
      <c r="J39" s="39"/>
      <c r="K39" s="39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30" customHeight="1">
      <c r="A40" s="40" t="s">
        <v>46</v>
      </c>
      <c r="B40" s="62">
        <v>330</v>
      </c>
      <c r="C40" s="62">
        <v>0</v>
      </c>
      <c r="D40" s="47">
        <v>1</v>
      </c>
      <c r="E40" s="47" t="s">
        <v>91</v>
      </c>
      <c r="F40" s="47">
        <v>5</v>
      </c>
      <c r="G40" s="51" t="str">
        <f>HYPERLINK("https://www.covid.is/tolulegar-upplysingar","Source")</f>
        <v>Source</v>
      </c>
      <c r="H40" s="92"/>
      <c r="I40" s="28"/>
      <c r="J40" s="39"/>
      <c r="K40" s="39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 ht="30" customHeight="1">
      <c r="A41" s="40" t="s">
        <v>56</v>
      </c>
      <c r="B41" s="62">
        <v>309</v>
      </c>
      <c r="C41" s="62">
        <v>25</v>
      </c>
      <c r="D41" s="78"/>
      <c r="E41" s="78"/>
      <c r="F41" s="47">
        <v>15</v>
      </c>
      <c r="G41" s="51" t="str">
        <f>HYPERLINK("https://www.cnbcindonesia.com/news/20200319155227-4-146187/update-corona-19-maret-309-positif-15-sembuh-25-meninggal","Source")</f>
        <v>Source</v>
      </c>
      <c r="H41" s="28"/>
      <c r="I41" s="28"/>
      <c r="J41" s="39"/>
      <c r="K41" s="39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ht="27.75" customHeight="1">
      <c r="A42" s="40" t="s">
        <v>45</v>
      </c>
      <c r="B42" s="62">
        <v>286</v>
      </c>
      <c r="C42" s="62">
        <v>1</v>
      </c>
      <c r="D42" s="47">
        <v>0</v>
      </c>
      <c r="E42" s="47">
        <v>0</v>
      </c>
      <c r="F42" s="47">
        <v>0</v>
      </c>
      <c r="G42" s="51" t="str">
        <f>HYPERLINK("https://www.gov.si/en/topics/coronavirus-disease-covid-19/","Source")</f>
        <v>Source</v>
      </c>
      <c r="H42" s="28"/>
      <c r="I42" s="28"/>
      <c r="J42" s="39"/>
      <c r="K42" s="39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 ht="30" customHeight="1">
      <c r="A43" s="40" t="s">
        <v>54</v>
      </c>
      <c r="B43" s="62">
        <v>272</v>
      </c>
      <c r="C43" s="62">
        <v>1</v>
      </c>
      <c r="D43" s="47">
        <v>1</v>
      </c>
      <c r="E43" s="47" t="s">
        <v>91</v>
      </c>
      <c r="F43" s="47">
        <v>38</v>
      </c>
      <c r="G43" s="51" t="str">
        <f>HYPERLINK("https://news.trust.org/item/20200319073138-qvkfo","Source")</f>
        <v>Source</v>
      </c>
      <c r="H43" s="28"/>
      <c r="I43" s="28"/>
      <c r="J43" s="39"/>
      <c r="K43" s="39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 spans="1:24" ht="30" customHeight="1">
      <c r="A44" s="40" t="s">
        <v>44</v>
      </c>
      <c r="B44" s="62">
        <v>279</v>
      </c>
      <c r="C44" s="62">
        <v>1</v>
      </c>
      <c r="D44" s="47" t="s">
        <v>91</v>
      </c>
      <c r="E44" s="47">
        <v>3</v>
      </c>
      <c r="F44" s="47">
        <v>110</v>
      </c>
      <c r="G44" s="51" t="str">
        <f>HYPERLINK("https://www.moh.gov.bh/COVID19","Source")</f>
        <v>Source</v>
      </c>
      <c r="H44" s="93"/>
      <c r="I44" s="39"/>
      <c r="J44" s="39"/>
      <c r="K44" s="39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24" ht="30" customHeight="1">
      <c r="A45" s="40" t="s">
        <v>50</v>
      </c>
      <c r="B45" s="62">
        <v>277</v>
      </c>
      <c r="C45" s="62">
        <v>0</v>
      </c>
      <c r="D45" s="64">
        <v>1</v>
      </c>
      <c r="E45" s="47" t="s">
        <v>91</v>
      </c>
      <c r="F45" s="64">
        <v>25</v>
      </c>
      <c r="G45" s="51" t="str">
        <f>HYPERLINK("http://www.ms.ro/2020/03/19/buletin-informativ-19-03-2020/","Source")</f>
        <v>Source</v>
      </c>
      <c r="H45" s="43"/>
      <c r="I45" s="28"/>
      <c r="J45" s="39"/>
      <c r="K45" s="39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ht="30" customHeight="1">
      <c r="A46" s="40" t="s">
        <v>49</v>
      </c>
      <c r="B46" s="62">
        <v>267</v>
      </c>
      <c r="C46" s="62">
        <v>0</v>
      </c>
      <c r="D46" s="47" t="s">
        <v>91</v>
      </c>
      <c r="E46" s="47" t="s">
        <v>91</v>
      </c>
      <c r="F46" s="47">
        <v>1</v>
      </c>
      <c r="G46" s="51" t="str">
        <f>HYPERLINK("https://www.terviseamet.ee/et/uuskoroonaviirus","Source")</f>
        <v>Source</v>
      </c>
      <c r="H46" s="72"/>
      <c r="I46" s="39"/>
      <c r="J46" s="39"/>
      <c r="K46" s="39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 ht="30" customHeight="1">
      <c r="A47" s="40" t="s">
        <v>57</v>
      </c>
      <c r="B47" s="62">
        <v>238</v>
      </c>
      <c r="C47" s="62">
        <v>0</v>
      </c>
      <c r="D47" s="78"/>
      <c r="E47" s="78"/>
      <c r="F47" s="47">
        <v>6</v>
      </c>
      <c r="G47" s="51" t="str">
        <f>HYPERLINK("https://twitter.com/SaudiMOH/status/1240328935507886080","Source")</f>
        <v>Source</v>
      </c>
      <c r="H47" s="28"/>
      <c r="I47" s="28"/>
      <c r="J47" s="39"/>
      <c r="K47" s="39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 ht="30" customHeight="1">
      <c r="A48" s="40" t="s">
        <v>52</v>
      </c>
      <c r="B48" s="62">
        <v>238</v>
      </c>
      <c r="C48" s="62">
        <v>0</v>
      </c>
      <c r="D48" s="78"/>
      <c r="E48" s="78"/>
      <c r="F48" s="78"/>
      <c r="G48" s="51" t="str">
        <f>HYPERLINK("https://www.minsal.cl/nuevo-coronavirus-2019-ncov/casos-confirmados-en-chile-covid-19/","Source")</f>
        <v>Source</v>
      </c>
      <c r="H48" s="28"/>
      <c r="I48" s="28"/>
      <c r="J48" s="39"/>
      <c r="K48" s="39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spans="1:24" ht="30" customHeight="1">
      <c r="A49" s="40" t="s">
        <v>55</v>
      </c>
      <c r="B49" s="62">
        <v>217</v>
      </c>
      <c r="C49" s="62">
        <v>17</v>
      </c>
      <c r="D49" s="47">
        <v>1</v>
      </c>
      <c r="E49" s="47" t="s">
        <v>91</v>
      </c>
      <c r="F49" s="47">
        <v>8</v>
      </c>
      <c r="G49" s="51" t="str">
        <f>HYPERLINK("https://news.trust.org/item/20200319073710-q7gg3","Source")</f>
        <v>Source</v>
      </c>
      <c r="H49" s="28"/>
      <c r="I49" s="28"/>
      <c r="J49" s="39"/>
      <c r="K49" s="39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 ht="30" customHeight="1">
      <c r="A50" s="40" t="s">
        <v>51</v>
      </c>
      <c r="B50" s="62">
        <v>210</v>
      </c>
      <c r="C50" s="62">
        <v>6</v>
      </c>
      <c r="D50" s="47" t="s">
        <v>91</v>
      </c>
      <c r="E50" s="47" t="s">
        <v>91</v>
      </c>
      <c r="F50" s="64">
        <v>28</v>
      </c>
      <c r="G50" s="51" t="e">
        <f>HYPERLINK("https://www.facebook.com/EgyMohpSpokes/photos/a.353628178307691/1125518754451959/?type=3&amp;__xts__%5B0%5D=68.ARA1MXfqyUcgGLEYl9YpC0gZqM6DOWlWkOd2H5Z5voTZmIqmHYlZMn_JJtGnx_vLmSeMkteUtP6lBS9nrEMJLJVA7b9y--gZTVFfT3qnax9bW5xcgor20R15ZCXoqZvqQSVKVMpDahNKLNwoanVg"&amp;"46c82Qtof0RK7eWTmxKqea2sDA50C2IYxYnos2T7SDcfelWPjNYZKJPcifJ5LSx7fWdefjGpG99vjoP949TVfnGBY4vJY2kysB9aRzVjJjYy7ooBMgh6Y-Es0bwOw_UHNiWYrDNGldlD4Uda_KJiBYcHBEGQ96wI7J1FG1lzM-yf8uEWjYNJNROwXWuwh0pWY-IpjQ&amp;__tn__=-R","Source")</f>
        <v>#VALUE!</v>
      </c>
      <c r="H50" s="28"/>
      <c r="I50" s="28"/>
      <c r="J50" s="39"/>
      <c r="K50" s="39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spans="1:24" ht="30" customHeight="1">
      <c r="A51" s="40" t="s">
        <v>64</v>
      </c>
      <c r="B51" s="62">
        <v>199</v>
      </c>
      <c r="C51" s="62">
        <v>1</v>
      </c>
      <c r="D51" s="47" t="s">
        <v>91</v>
      </c>
      <c r="E51" s="47" t="s">
        <v>91</v>
      </c>
      <c r="F51" s="47">
        <v>5</v>
      </c>
      <c r="G51" s="51" t="str">
        <f>HYPERLINK("https://tass.ru/obschestvo/8027139","Source")</f>
        <v>Source</v>
      </c>
      <c r="H51" s="72"/>
      <c r="I51" s="39"/>
      <c r="J51" s="39"/>
      <c r="K51" s="39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spans="1:24" ht="30" customHeight="1">
      <c r="A52" s="40" t="s">
        <v>53</v>
      </c>
      <c r="B52" s="62">
        <v>193</v>
      </c>
      <c r="C52" s="62">
        <v>4</v>
      </c>
      <c r="D52" s="47">
        <v>2</v>
      </c>
      <c r="E52" s="47">
        <v>2</v>
      </c>
      <c r="F52" s="47">
        <v>95</v>
      </c>
      <c r="G52" s="51" t="str">
        <f>HYPERLINK("https://www.info.gov.hk/gia/general/202003/19/P2020031900018.htm","Source")</f>
        <v>Source</v>
      </c>
      <c r="H52" s="28"/>
      <c r="I52" s="28"/>
      <c r="J52" s="39"/>
      <c r="K52" s="39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spans="1:24" ht="27.75" customHeight="1">
      <c r="A53" s="40" t="s">
        <v>79</v>
      </c>
      <c r="B53" s="62">
        <v>191</v>
      </c>
      <c r="C53" s="62">
        <v>2</v>
      </c>
      <c r="D53" s="47"/>
      <c r="E53" s="47"/>
      <c r="F53" s="47"/>
      <c r="G53" s="51" t="str">
        <f>HYPERLINK("https://twitter.com/drfahrettinkoca/status/1240369082916057089","Source")</f>
        <v>Source</v>
      </c>
      <c r="H53" s="28"/>
      <c r="I53" s="28"/>
      <c r="J53" s="39"/>
      <c r="K53" s="39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spans="1:24" ht="30" customHeight="1">
      <c r="A54" s="40" t="s">
        <v>58</v>
      </c>
      <c r="B54" s="62">
        <v>177</v>
      </c>
      <c r="C54" s="62">
        <v>12</v>
      </c>
      <c r="D54" s="47" t="s">
        <v>91</v>
      </c>
      <c r="E54" s="47" t="s">
        <v>91</v>
      </c>
      <c r="F54" s="47">
        <v>49</v>
      </c>
      <c r="G54" s="51" t="e">
        <f>HYPERLINK("https://www.facebook.com/MOH.GOV.IQ/photos/a.860171854037214/2811071398947240/?type=3&amp;__xts__%5B0%5D=68.ARC-8CsxoReB3J6AfBZyJD1R42HgQBkyxGHYmUKrS5Lp4ypJBCITyYWILTaNu2ptUoi6XkXNIeHlAxGIvMStmfjUMMnAVZLexLR1a_8e2xxj7AKeLgx2UfZL43ut2SOWZBDq7zINpVzPPojl7RLIPZr"&amp;"zY0rhbU1TO_hBjAGMXEL7Y_Mvn2RIwVYvAsgiRI9TxZVpgVjmdTkg6FffeDLT3YzY5VT_sDWzl8yjlGhs8q2UVnd1mSN-EKpf0OvKU0DeEwivQenFxwhxAWqLm967qCglpXz_ba88BwR6NY75Ld2CApVhrEinqmr4i-rvEzOqNfMsH3YBq-1wdyAeLnsNYWiymw&amp;__tn__=-R","Source")</f>
        <v>#VALUE!</v>
      </c>
      <c r="H54" s="28"/>
      <c r="I54" s="28"/>
      <c r="J54" s="39"/>
      <c r="K54" s="39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spans="1:24" ht="30" customHeight="1">
      <c r="A55" s="40" t="s">
        <v>59</v>
      </c>
      <c r="B55" s="62">
        <v>173</v>
      </c>
      <c r="C55" s="62">
        <v>4</v>
      </c>
      <c r="D55" s="47" t="s">
        <v>91</v>
      </c>
      <c r="E55" s="47" t="s">
        <v>91</v>
      </c>
      <c r="F55" s="47">
        <v>15</v>
      </c>
      <c r="G55" s="51" t="str">
        <f>HYPERLINK("https://www.mohfw.gov.in/","Source")</f>
        <v>Source</v>
      </c>
      <c r="H55" s="28"/>
      <c r="I55" s="28"/>
      <c r="J55" s="39"/>
      <c r="K55" s="39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 ht="30" customHeight="1">
      <c r="A56" s="40" t="s">
        <v>83</v>
      </c>
      <c r="B56" s="62">
        <v>168</v>
      </c>
      <c r="C56" s="62">
        <v>3</v>
      </c>
      <c r="D56" s="64">
        <v>6</v>
      </c>
      <c r="E56" s="47"/>
      <c r="F56" s="47" t="s">
        <v>91</v>
      </c>
      <c r="G56" s="51" t="str">
        <f>HYPERLINK("https://www.salud.gob.ec/actualizacion-de-casos-de-coronavirus-en-ecuador/","Source")</f>
        <v>Source</v>
      </c>
      <c r="H56" s="28"/>
      <c r="I56" s="28"/>
      <c r="J56" s="39"/>
      <c r="K56" s="39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 ht="30" customHeight="1">
      <c r="A57" s="40" t="s">
        <v>76</v>
      </c>
      <c r="B57" s="62">
        <v>164</v>
      </c>
      <c r="C57" s="62">
        <v>1</v>
      </c>
      <c r="D57" s="64">
        <v>3</v>
      </c>
      <c r="E57" s="64" t="s">
        <v>91</v>
      </c>
      <c r="F57" s="47">
        <v>3</v>
      </c>
      <c r="G57" s="51" t="str">
        <f>HYPERLINK("https://twitter.com/SSalud_mx/status/1240805453128290305","Source")</f>
        <v>Source</v>
      </c>
      <c r="H57" s="72"/>
      <c r="I57" s="39"/>
      <c r="J57" s="39"/>
      <c r="K57" s="39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ht="27.75" customHeight="1">
      <c r="A58" s="40" t="s">
        <v>68</v>
      </c>
      <c r="B58" s="62">
        <v>150</v>
      </c>
      <c r="C58" s="62">
        <v>0</v>
      </c>
      <c r="D58" s="47"/>
      <c r="E58" s="47"/>
      <c r="F58" s="47"/>
      <c r="G58" s="51" t="str">
        <f>HYPERLINK("https://www.timeslive.co.za/politics/2020-03-19-breaking-rise-in-confirmed-cases-of-coronavirus-to-150/?utm_medium=Social&amp;utm_source=Twitter#Echobox=1584620951","Source")</f>
        <v>Source</v>
      </c>
      <c r="H58" s="28"/>
      <c r="I58" s="39"/>
      <c r="J58" s="39"/>
      <c r="K58" s="39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 ht="30" customHeight="1">
      <c r="A59" s="40" t="s">
        <v>62</v>
      </c>
      <c r="B59" s="62">
        <v>149</v>
      </c>
      <c r="C59" s="62">
        <v>4</v>
      </c>
      <c r="D59" s="47" t="s">
        <v>91</v>
      </c>
      <c r="E59" s="47">
        <v>2</v>
      </c>
      <c r="F59" s="47">
        <v>3</v>
      </c>
      <c r="G59" s="51" t="str">
        <f>HYPERLINK("https://twitter.com/aawsat_eng/status/1240604120119226368","Source")</f>
        <v>Source</v>
      </c>
      <c r="H59" s="28"/>
      <c r="I59" s="28"/>
      <c r="J59" s="39"/>
      <c r="K59" s="39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 ht="30" customHeight="1">
      <c r="A60" s="40" t="s">
        <v>60</v>
      </c>
      <c r="B60" s="62">
        <v>148</v>
      </c>
      <c r="C60" s="62">
        <v>0</v>
      </c>
      <c r="D60" s="47">
        <v>5</v>
      </c>
      <c r="E60" s="47" t="s">
        <v>91</v>
      </c>
      <c r="F60" s="47">
        <v>18</v>
      </c>
      <c r="G60" s="51" t="str">
        <f>HYPERLINK("https://twitter.com/KUWAIT_MOH/status/1240547188821893121","Source")</f>
        <v>Source</v>
      </c>
      <c r="H60" s="28"/>
      <c r="I60" s="28"/>
      <c r="J60" s="39"/>
      <c r="K60" s="39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 ht="30" customHeight="1">
      <c r="A61" s="40" t="s">
        <v>65</v>
      </c>
      <c r="B61" s="62">
        <v>145</v>
      </c>
      <c r="C61" s="62">
        <v>0</v>
      </c>
      <c r="D61" s="47">
        <v>16</v>
      </c>
      <c r="E61" s="47"/>
      <c r="F61" s="47">
        <v>1</v>
      </c>
      <c r="G61" s="51" t="str">
        <f>HYPERLINK("https://twitter.com/Minsa_Peru/status/1240305962256343040","Source")</f>
        <v>Source</v>
      </c>
      <c r="H61" s="28"/>
      <c r="I61" s="28"/>
      <c r="J61" s="39"/>
      <c r="K61" s="39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 spans="1:24" ht="30" customHeight="1">
      <c r="A62" s="40" t="s">
        <v>61</v>
      </c>
      <c r="B62" s="62">
        <v>140</v>
      </c>
      <c r="C62" s="62">
        <v>14</v>
      </c>
      <c r="D62" s="47">
        <v>6</v>
      </c>
      <c r="E62" s="47" t="s">
        <v>91</v>
      </c>
      <c r="F62" s="47">
        <v>4</v>
      </c>
      <c r="G62" s="51" t="str">
        <f>HYPERLINK("http://www.iss.sm/on-line/home/articolo49014135.html","Source")</f>
        <v>Source</v>
      </c>
      <c r="H62" s="92"/>
      <c r="I62" s="28"/>
      <c r="J62" s="39"/>
      <c r="K62" s="39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 spans="1:24" ht="27.75" customHeight="1">
      <c r="A63" s="40" t="s">
        <v>75</v>
      </c>
      <c r="B63" s="62">
        <v>137</v>
      </c>
      <c r="C63" s="62">
        <v>1</v>
      </c>
      <c r="D63" s="47">
        <v>8</v>
      </c>
      <c r="E63" s="47"/>
      <c r="F63" s="47">
        <v>0</v>
      </c>
      <c r="G63" s="51" t="str">
        <f>HYPERLINK("https://geosocial.maps.arcgis.com/apps/opsdashboard/index.html#/2c6e932c690d467b85375af52b614472","Source")</f>
        <v>Source</v>
      </c>
      <c r="H63" s="43"/>
      <c r="I63" s="39"/>
      <c r="J63" s="39"/>
      <c r="K63" s="39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 spans="1:24" ht="30" customHeight="1">
      <c r="A64" s="40" t="s">
        <v>92</v>
      </c>
      <c r="B64" s="62">
        <v>115</v>
      </c>
      <c r="C64" s="62">
        <v>0</v>
      </c>
      <c r="D64" s="47">
        <v>0</v>
      </c>
      <c r="E64" s="47">
        <v>0</v>
      </c>
      <c r="F64" s="47">
        <v>1</v>
      </c>
      <c r="G64" s="51" t="str">
        <f>HYPERLINK("https://news.am/eng/news/566974.html","Source")</f>
        <v>Source</v>
      </c>
      <c r="H64" s="28"/>
      <c r="I64" s="28"/>
      <c r="J64" s="39"/>
      <c r="K64" s="39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 spans="1:24" ht="30" customHeight="1">
      <c r="A65" s="40" t="s">
        <v>63</v>
      </c>
      <c r="B65" s="62">
        <v>113</v>
      </c>
      <c r="C65" s="62">
        <v>0</v>
      </c>
      <c r="D65" s="47" t="s">
        <v>91</v>
      </c>
      <c r="E65" s="47" t="s">
        <v>91</v>
      </c>
      <c r="F65" s="47">
        <v>26</v>
      </c>
      <c r="G65" s="51" t="str">
        <f>HYPERLINK("https://twitter.com/mohapuae/status/1240141369659871234","Source")</f>
        <v>Source</v>
      </c>
      <c r="H65" s="28"/>
      <c r="I65" s="28"/>
      <c r="J65" s="39"/>
      <c r="K65" s="39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 ht="30" customHeight="1">
      <c r="A66" s="40" t="s">
        <v>67</v>
      </c>
      <c r="B66" s="62">
        <v>108</v>
      </c>
      <c r="C66" s="62">
        <v>1</v>
      </c>
      <c r="D66" s="47">
        <v>0</v>
      </c>
      <c r="E66" s="47">
        <v>0</v>
      </c>
      <c r="F66" s="47">
        <v>26</v>
      </c>
      <c r="G66" s="51" t="str">
        <f>HYPERLINK("https://www.cdc.gov.tw/Bulletin/Detail/vcmwTQgymqoIKGU86YFjhg?typeid=9","Source")</f>
        <v>Source</v>
      </c>
      <c r="H66" s="28"/>
      <c r="I66" s="28"/>
      <c r="J66" s="39"/>
      <c r="K66" s="39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1:24" ht="30" customHeight="1">
      <c r="A67" s="40" t="s">
        <v>69</v>
      </c>
      <c r="B67" s="62">
        <v>105</v>
      </c>
      <c r="C67" s="62">
        <v>0</v>
      </c>
      <c r="D67" s="78"/>
      <c r="E67" s="78"/>
      <c r="F67" s="78"/>
      <c r="G67" s="51" t="str">
        <f>HYPERLINK("https://www.health.gov.sk/Clanok?covid-19-105-pozitivnych-18-3-2020","Source")</f>
        <v>Source</v>
      </c>
      <c r="H67" s="28"/>
      <c r="I67" s="28"/>
      <c r="J67" s="39"/>
      <c r="K67" s="39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 spans="1:24" ht="27.75" customHeight="1">
      <c r="A68" s="40" t="s">
        <v>80</v>
      </c>
      <c r="B68" s="62">
        <v>102</v>
      </c>
      <c r="C68" s="62">
        <v>0</v>
      </c>
      <c r="D68" s="47"/>
      <c r="E68" s="47"/>
      <c r="F68" s="47"/>
      <c r="G68" s="51" t="str">
        <f>HYPERLINK("https://twitter.com/MinSaludCol/status/1240463700622036992","Source")</f>
        <v>Source</v>
      </c>
      <c r="H68" s="28"/>
      <c r="I68" s="28"/>
      <c r="J68" s="39"/>
      <c r="K68" s="39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 spans="1:24" ht="27.75" customHeight="1">
      <c r="A69" s="40" t="s">
        <v>74</v>
      </c>
      <c r="B69" s="62">
        <v>97</v>
      </c>
      <c r="C69" s="62">
        <v>0</v>
      </c>
      <c r="D69" s="47">
        <v>1</v>
      </c>
      <c r="E69" s="47"/>
      <c r="F69" s="47"/>
      <c r="G69" s="51" t="str">
        <f>HYPERLINK("https://covid19.rs/homepage-english/","Source")</f>
        <v>Source</v>
      </c>
      <c r="H69" s="28"/>
      <c r="I69" s="28"/>
      <c r="J69" s="39"/>
      <c r="K69" s="39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 spans="1:24" ht="27.75" customHeight="1">
      <c r="A70" s="40" t="s">
        <v>72</v>
      </c>
      <c r="B70" s="62">
        <v>97</v>
      </c>
      <c r="C70" s="62">
        <v>2</v>
      </c>
      <c r="D70" s="78"/>
      <c r="E70" s="78"/>
      <c r="F70" s="78"/>
      <c r="G70" s="51" t="str">
        <f>HYPERLINK("https://www.argentina.gob.ar/sites/default/files/18-03-20_reporte_diario_covid-19_1.pdf","Source")</f>
        <v>Source</v>
      </c>
      <c r="H70" s="28"/>
      <c r="I70" s="28"/>
      <c r="J70" s="39"/>
      <c r="K70" s="39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 spans="1:24" ht="30" customHeight="1">
      <c r="A71" s="40" t="s">
        <v>73</v>
      </c>
      <c r="B71" s="62">
        <v>97</v>
      </c>
      <c r="C71" s="62">
        <v>0</v>
      </c>
      <c r="D71" s="47" t="s">
        <v>91</v>
      </c>
      <c r="E71" s="47" t="s">
        <v>91</v>
      </c>
      <c r="F71" s="47">
        <v>4</v>
      </c>
      <c r="G71" s="51" t="str">
        <f>HYPERLINK("https://vijesti.hrt.hr/592957/u-srbiji-ukupno-97-zarazenih-od-sinoc-osam-novih-slucajeva","Source")</f>
        <v>Source</v>
      </c>
      <c r="H71" s="80"/>
      <c r="I71" s="28"/>
      <c r="J71" s="39"/>
      <c r="K71" s="39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spans="1:24" ht="30" customHeight="1">
      <c r="A72" s="40" t="s">
        <v>77</v>
      </c>
      <c r="B72" s="62">
        <v>94</v>
      </c>
      <c r="C72" s="62">
        <v>3</v>
      </c>
      <c r="D72" s="47"/>
      <c r="E72" s="47"/>
      <c r="F72" s="47"/>
      <c r="G72" s="51" t="str">
        <f>HYPERLINK("http://www.mh.government.bg/bg/novini/aktualno/2-sa-novite-sluchai-na-covid-19-potvrdeni-u-nas/","Source")</f>
        <v>Source</v>
      </c>
      <c r="H72" s="28"/>
      <c r="I72" s="28"/>
      <c r="J72" s="39"/>
      <c r="K72" s="39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 spans="1:24" ht="30" customHeight="1">
      <c r="A73" s="40" t="s">
        <v>90</v>
      </c>
      <c r="B73" s="62">
        <v>86</v>
      </c>
      <c r="C73" s="62">
        <v>0</v>
      </c>
      <c r="D73" s="78"/>
      <c r="E73" s="78"/>
      <c r="F73" s="78"/>
      <c r="G73" s="51" t="str">
        <f>HYPERLINK("https://twitter.com/SPKCentrs/status/1240549725327294464","Source")</f>
        <v>Source</v>
      </c>
      <c r="H73" s="28"/>
      <c r="I73" s="28"/>
      <c r="J73" s="39"/>
      <c r="K73" s="39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 spans="1:24" ht="30" customHeight="1">
      <c r="A74" s="40" t="s">
        <v>70</v>
      </c>
      <c r="B74" s="62">
        <v>82</v>
      </c>
      <c r="C74" s="62">
        <v>8</v>
      </c>
      <c r="D74" s="47" t="s">
        <v>91</v>
      </c>
      <c r="E74" s="47" t="s">
        <v>91</v>
      </c>
      <c r="F74" s="47">
        <v>10</v>
      </c>
      <c r="G74" s="51" t="str">
        <f>HYPERLINK("http://www.sante.gov.dz/communiques/82-documentation/538-suivi-quotidien-du-coronavirus-covid-19-le-19-mars-2020.html","Source")</f>
        <v>Source</v>
      </c>
      <c r="H74" s="28"/>
      <c r="I74" s="28"/>
      <c r="J74" s="39"/>
      <c r="K74" s="39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 spans="1:24" ht="30" customHeight="1">
      <c r="A75" s="40" t="s">
        <v>262</v>
      </c>
      <c r="B75" s="62">
        <v>79</v>
      </c>
      <c r="C75" s="62">
        <v>0</v>
      </c>
      <c r="D75" s="78"/>
      <c r="E75" s="78"/>
      <c r="F75" s="47">
        <v>2</v>
      </c>
      <c r="G75" s="51" t="str">
        <f>HYPERLINK("https://twitter.com/MSPUruguay/status/1240448613995724800","Source")</f>
        <v>Source</v>
      </c>
      <c r="H75" s="28"/>
      <c r="I75" s="28"/>
      <c r="J75" s="39"/>
      <c r="K75" s="39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 spans="1:24" ht="30" customHeight="1">
      <c r="A76" s="40" t="s">
        <v>71</v>
      </c>
      <c r="B76" s="62">
        <v>76</v>
      </c>
      <c r="C76" s="62">
        <v>0</v>
      </c>
      <c r="D76" s="47" t="s">
        <v>91</v>
      </c>
      <c r="E76" s="47" t="s">
        <v>91</v>
      </c>
      <c r="F76" s="47">
        <v>16</v>
      </c>
      <c r="G76" s="51" t="str">
        <f>HYPERLINK("http://news.chinhphu.vn/Home/VN-reports-8-more-coronavirus-cases-including-3-foreign-nationals/20203/39270.vgp","Source")</f>
        <v>Source</v>
      </c>
      <c r="H76" s="28"/>
      <c r="I76" s="28"/>
      <c r="J76" s="39"/>
      <c r="K76" s="39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 spans="1:24" ht="30" customHeight="1">
      <c r="A77" s="40" t="s">
        <v>87</v>
      </c>
      <c r="B77" s="62">
        <v>73</v>
      </c>
      <c r="C77" s="62">
        <v>1</v>
      </c>
      <c r="D77" s="47" t="s">
        <v>91</v>
      </c>
      <c r="E77" s="47" t="s">
        <v>91</v>
      </c>
      <c r="F77" s="47">
        <v>2</v>
      </c>
      <c r="G77" s="51" t="str">
        <f>HYPERLINK("https://koronavirus.gov.hu","Source")</f>
        <v>Source</v>
      </c>
      <c r="H77" s="28"/>
      <c r="I77" s="28"/>
      <c r="J77" s="39"/>
      <c r="K77" s="39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 spans="1:24" ht="30" customHeight="1">
      <c r="A78" s="40" t="s">
        <v>85</v>
      </c>
      <c r="B78" s="62">
        <v>69</v>
      </c>
      <c r="C78" s="62">
        <v>1</v>
      </c>
      <c r="D78" s="47">
        <v>1</v>
      </c>
      <c r="E78" s="78"/>
      <c r="F78" s="78"/>
      <c r="G78" s="51" t="str">
        <f>HYPERLINK("https://twitter.com/msaludcr/status/1240408006367621122","Source")</f>
        <v>Source</v>
      </c>
      <c r="H78" s="28"/>
      <c r="I78" s="28"/>
      <c r="J78" s="39"/>
      <c r="K78" s="39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 spans="1:24" ht="30" customHeight="1">
      <c r="A79" s="40" t="s">
        <v>78</v>
      </c>
      <c r="B79" s="62">
        <v>68</v>
      </c>
      <c r="C79" s="62">
        <v>0</v>
      </c>
      <c r="D79" s="64" t="s">
        <v>91</v>
      </c>
      <c r="E79" s="47">
        <v>2</v>
      </c>
      <c r="F79" s="47">
        <v>0</v>
      </c>
      <c r="G79" s="51" t="str">
        <f>HYPERLINK("http://moh.gov.bn/SitePages/COVID-19.aspx","Source")</f>
        <v>Source</v>
      </c>
      <c r="H79" s="28"/>
      <c r="I79" s="28"/>
      <c r="J79" s="39"/>
      <c r="K79" s="39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 spans="1:24" ht="30" customHeight="1">
      <c r="A80" s="40" t="s">
        <v>81</v>
      </c>
      <c r="B80" s="62">
        <v>59</v>
      </c>
      <c r="C80" s="62">
        <v>2</v>
      </c>
      <c r="D80" s="47">
        <v>3</v>
      </c>
      <c r="E80" s="78"/>
      <c r="F80" s="47">
        <v>0</v>
      </c>
      <c r="G80" s="51" t="str">
        <f>HYPERLINK("https://shendetesia.gov.al/18-mars-2020-informacion-i-perditesuar-per-koronavirusin-covid-19/","Source")</f>
        <v>Source</v>
      </c>
      <c r="H80" s="28"/>
      <c r="I80" s="28"/>
      <c r="J80" s="39"/>
      <c r="K80" s="39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 spans="1:24" ht="30" customHeight="1">
      <c r="A81" s="40" t="s">
        <v>89</v>
      </c>
      <c r="B81" s="62">
        <v>59</v>
      </c>
      <c r="C81" s="62">
        <v>0</v>
      </c>
      <c r="D81" s="47"/>
      <c r="E81" s="47"/>
      <c r="F81" s="47"/>
      <c r="G81" s="51" t="str">
        <f>HYPERLINK("http://www.cna.org.cy/WebNews-en.aspx?a=80baa5d93e5c4bef91b5b8b6e7e14891","Source")</f>
        <v>Source</v>
      </c>
      <c r="H81" s="28"/>
      <c r="I81" s="28"/>
      <c r="J81" s="39"/>
      <c r="K81" s="39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 spans="1:24" ht="30" customHeight="1">
      <c r="A82" s="40" t="s">
        <v>84</v>
      </c>
      <c r="B82" s="62">
        <v>58</v>
      </c>
      <c r="C82" s="62">
        <v>2</v>
      </c>
      <c r="D82" s="78"/>
      <c r="E82" s="78"/>
      <c r="F82" s="47">
        <v>1</v>
      </c>
      <c r="G82" s="51" t="str">
        <f>HYPERLINK("http://www.covidmaroc.ma/","Source")</f>
        <v>Source</v>
      </c>
      <c r="H82" s="28"/>
      <c r="I82" s="28"/>
      <c r="J82" s="39"/>
      <c r="K82" s="39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</row>
    <row r="83" spans="1:24" ht="30" customHeight="1">
      <c r="A83" s="40" t="s">
        <v>93</v>
      </c>
      <c r="B83" s="62">
        <v>56</v>
      </c>
      <c r="C83" s="62">
        <v>0</v>
      </c>
      <c r="D83" s="78"/>
      <c r="E83" s="78"/>
      <c r="F83" s="47">
        <v>1</v>
      </c>
      <c r="G83" s="51" t="str">
        <f>HYPERLINK("https://corona.moh.gov.jo/ar","Source")</f>
        <v>Source</v>
      </c>
      <c r="H83" s="28"/>
      <c r="I83" s="28"/>
      <c r="J83" s="39"/>
      <c r="K83" s="39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 ht="30" customHeight="1">
      <c r="A84" s="40" t="s">
        <v>108</v>
      </c>
      <c r="B84" s="62">
        <v>53</v>
      </c>
      <c r="C84" s="62">
        <v>0</v>
      </c>
      <c r="D84" s="78"/>
      <c r="E84" s="78"/>
      <c r="F84" s="78"/>
      <c r="G84" s="51" t="str">
        <f>HYPERLINK("https://twitter.com/GovernAndorra/status/1240356647115112451","Source")</f>
        <v>Source</v>
      </c>
      <c r="H84" s="28"/>
      <c r="I84" s="28"/>
      <c r="J84" s="39"/>
      <c r="K84" s="39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 ht="30" customHeight="1">
      <c r="A85" s="40" t="s">
        <v>94</v>
      </c>
      <c r="B85" s="62">
        <v>51</v>
      </c>
      <c r="C85" s="62">
        <v>0</v>
      </c>
      <c r="D85" s="47" t="s">
        <v>91</v>
      </c>
      <c r="E85" s="47" t="s">
        <v>91</v>
      </c>
      <c r="F85" s="47">
        <v>5</v>
      </c>
      <c r="G85" s="51" t="str">
        <f>HYPERLINK("http://minzdrav.gov.by/ru/sobytiya/situatsiya-s-koronavirusnoy-infektsiey-rastsenivaetsya-kak-kontroliruemaya/","Source")</f>
        <v>Source</v>
      </c>
      <c r="H85" s="28"/>
      <c r="I85" s="28"/>
      <c r="J85" s="39"/>
      <c r="K85" s="39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 ht="30" customHeight="1">
      <c r="A86" s="40" t="s">
        <v>104</v>
      </c>
      <c r="B86" s="62">
        <v>50</v>
      </c>
      <c r="C86" s="62">
        <v>0</v>
      </c>
      <c r="D86" s="47" t="s">
        <v>91</v>
      </c>
      <c r="E86" s="47" t="s">
        <v>91</v>
      </c>
      <c r="F86" s="47">
        <v>1</v>
      </c>
      <c r="G86" s="51" t="str">
        <f>HYPERLINK("http://www.colombopage.com/archive_20A/Mar18_1584554982CH.php","Source")</f>
        <v>Source</v>
      </c>
      <c r="H86" s="28"/>
      <c r="I86" s="28"/>
      <c r="J86" s="39"/>
      <c r="K86" s="39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 ht="27.75" customHeight="1">
      <c r="A87" s="40" t="s">
        <v>101</v>
      </c>
      <c r="B87" s="62">
        <v>48</v>
      </c>
      <c r="C87" s="62">
        <v>0</v>
      </c>
      <c r="D87" s="47"/>
      <c r="E87" s="47"/>
      <c r="F87" s="47">
        <v>2</v>
      </c>
      <c r="G87" s="51" t="str">
        <f>HYPERLINK("https://timesofmalta.com/articles/view/watch-health-authorities-report-latest-coronavirus-developments.779066","Source")</f>
        <v>Source</v>
      </c>
      <c r="H87" s="28"/>
      <c r="I87" s="28"/>
      <c r="J87" s="39"/>
      <c r="K87" s="39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 spans="1:24" ht="30" customHeight="1">
      <c r="A88" s="40" t="s">
        <v>82</v>
      </c>
      <c r="B88" s="62">
        <v>47</v>
      </c>
      <c r="C88" s="62">
        <v>0</v>
      </c>
      <c r="D88" s="47">
        <v>0</v>
      </c>
      <c r="E88" s="47">
        <v>0</v>
      </c>
      <c r="F88" s="47">
        <v>0</v>
      </c>
      <c r="G88" s="51" t="e">
        <f>HYPERLINK("https://www.facebook.com/mohps/videos/226521108751160/?__xts__%5B0%5D=68.ARBPgUwIAwwjiU3pIIb99vx_wv-vvIt6M-_eUPmhwJdpC6aUbPOEJ7_BWaSjoS3b86hUFpAQJ2XnolEv8uWSFWTTc6MfT2f8SSaxFb_wYlDyNn-XimFJvqkNBmX0qhcJt9PEvNF3LKguh3pXCidjmFmoOFCveMQdm0Yw0NfQwo3befz9x-OBsy"&amp;"bV4bN844wB-zYkawDbYpKlYFb6P7iliQym-tpGpCEOIDYUXmW2yVizYhalJTmmUcutEGs-l1U857Nc1mPWt9k91_p-qu0igOzE2Oesbua5fJ85npIxhdPKIEgrFLisaNbf4aBXeWmxPjeJIVQodzsdulFmUP_b7KO9SW-MmZe6p78&amp;__tn__=-R","Source")</f>
        <v>#VALUE!</v>
      </c>
      <c r="H88" s="28"/>
      <c r="I88" s="28"/>
      <c r="J88" s="39"/>
      <c r="K88" s="39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 spans="1:24" ht="30" customHeight="1">
      <c r="A89" s="40" t="s">
        <v>115</v>
      </c>
      <c r="B89" s="62">
        <v>44</v>
      </c>
      <c r="C89" s="62">
        <v>0</v>
      </c>
      <c r="D89" s="47"/>
      <c r="E89" s="47"/>
      <c r="F89" s="47"/>
      <c r="G89" s="51" t="str">
        <f>HYPERLINK("https://www.interfax.kz/?lang=eng&amp;int_id=21&amp;news_id=43461","Source")</f>
        <v>Source</v>
      </c>
      <c r="H89" s="28"/>
      <c r="I89" s="28"/>
      <c r="J89" s="39"/>
      <c r="K89" s="39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 spans="1:24" ht="30" customHeight="1">
      <c r="A90" s="40" t="s">
        <v>103</v>
      </c>
      <c r="B90" s="62">
        <v>42</v>
      </c>
      <c r="C90" s="62">
        <v>0</v>
      </c>
      <c r="D90" s="47">
        <v>0</v>
      </c>
      <c r="E90" s="47">
        <v>0</v>
      </c>
      <c r="F90" s="47">
        <v>1</v>
      </c>
      <c r="G90" s="51" t="str">
        <f>HYPERLINK("https://twitter.com/ZdravstvoMK/status/1240391440171180033","Source")</f>
        <v>Source</v>
      </c>
      <c r="H90" s="28"/>
      <c r="I90" s="28"/>
      <c r="J90" s="39"/>
      <c r="K90" s="39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 spans="1:24" ht="30" customHeight="1">
      <c r="A91" s="40" t="s">
        <v>86</v>
      </c>
      <c r="B91" s="62">
        <v>40</v>
      </c>
      <c r="C91" s="62">
        <v>0</v>
      </c>
      <c r="D91" s="47">
        <v>1</v>
      </c>
      <c r="E91" s="47" t="s">
        <v>91</v>
      </c>
      <c r="F91" s="47">
        <v>1</v>
      </c>
      <c r="G91" s="51" t="str">
        <f>HYPERLINK("https://www.kvirispalitra.ge/public/62134-saqarthveloshi-koronavirusith-inficirebultha-raodenoba-35-mde-gaizarda.html","Source")</f>
        <v>Source</v>
      </c>
      <c r="H91" s="28"/>
      <c r="I91" s="28"/>
      <c r="J91" s="39"/>
      <c r="K91" s="39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 spans="1:24" ht="30" customHeight="1">
      <c r="A92" s="40" t="s">
        <v>97</v>
      </c>
      <c r="B92" s="62">
        <v>39</v>
      </c>
      <c r="C92" s="62">
        <v>0</v>
      </c>
      <c r="D92" s="47">
        <v>0</v>
      </c>
      <c r="E92" s="47">
        <v>0</v>
      </c>
      <c r="F92" s="47">
        <v>13</v>
      </c>
      <c r="G92" s="51" t="str">
        <f>HYPERLINK("https://twitter.com/OmaniMOH/status/1240362994627944453","Source")</f>
        <v>Source</v>
      </c>
      <c r="H92" s="80"/>
      <c r="I92" s="28"/>
      <c r="J92" s="39"/>
      <c r="K92" s="39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 spans="1:24" ht="30" customHeight="1">
      <c r="A93" s="40" t="s">
        <v>114</v>
      </c>
      <c r="B93" s="62">
        <v>39</v>
      </c>
      <c r="C93" s="62">
        <v>0</v>
      </c>
      <c r="D93" s="47" t="s">
        <v>91</v>
      </c>
      <c r="E93" s="47" t="s">
        <v>91</v>
      </c>
      <c r="F93" s="47" t="s">
        <v>91</v>
      </c>
      <c r="G93" s="51" t="str">
        <f>HYPERLINK("https://www.health.govt.nz/news-media/news-items/covid-19-livestream-media-update-20-march","Source")</f>
        <v>Source</v>
      </c>
      <c r="H93" s="39"/>
      <c r="I93" s="39"/>
      <c r="J93" s="39"/>
      <c r="K93" s="39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 spans="1:24" ht="30" customHeight="1">
      <c r="A94" s="40" t="s">
        <v>95</v>
      </c>
      <c r="B94" s="62">
        <v>38</v>
      </c>
      <c r="C94" s="62">
        <v>0</v>
      </c>
      <c r="D94" s="47" t="s">
        <v>91</v>
      </c>
      <c r="E94" s="47" t="s">
        <v>91</v>
      </c>
      <c r="F94" s="47">
        <v>5</v>
      </c>
      <c r="G94" s="51" t="str">
        <f>HYPERLINK("https://twitter.com/MinisteredelaS1/status/1240696813411172352","Source")</f>
        <v>Source</v>
      </c>
      <c r="H94" s="72"/>
      <c r="I94" s="39"/>
      <c r="J94" s="39"/>
      <c r="K94" s="39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4" ht="30" customHeight="1">
      <c r="A95" s="40" t="s">
        <v>110</v>
      </c>
      <c r="B95" s="62">
        <v>37</v>
      </c>
      <c r="C95" s="62">
        <v>0</v>
      </c>
      <c r="D95" s="47" t="s">
        <v>91</v>
      </c>
      <c r="E95" s="47" t="s">
        <v>91</v>
      </c>
      <c r="F95" s="47">
        <v>1</v>
      </c>
      <c r="G95" s="51" t="str">
        <f>HYPERLINK("https://www.voacambodia.com/a/coronavirus-tally-increases-to-37-ministry-says-most-are-mild-cases/5335168.html","Source")</f>
        <v>Source</v>
      </c>
      <c r="H95" s="28"/>
      <c r="I95" s="28"/>
      <c r="J95" s="39"/>
      <c r="K95" s="39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spans="1:24" ht="27.75" customHeight="1">
      <c r="A96" s="40" t="s">
        <v>98</v>
      </c>
      <c r="B96" s="62">
        <v>36</v>
      </c>
      <c r="C96" s="62">
        <v>0</v>
      </c>
      <c r="D96" s="47"/>
      <c r="E96" s="47"/>
      <c r="F96" s="47"/>
      <c r="G96" s="51" t="str">
        <f>HYPERLINK("https://www.aa.com.tr/ba/balkan/dva-nova-slu%C4%8Daja-korona-virusa-u-bih-/1770268","Source")</f>
        <v>Source</v>
      </c>
      <c r="H96" s="28"/>
      <c r="I96" s="28"/>
      <c r="J96" s="39"/>
      <c r="K96" s="39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 spans="1:24" ht="30" customHeight="1">
      <c r="A97" s="40" t="s">
        <v>105</v>
      </c>
      <c r="B97" s="62">
        <v>36</v>
      </c>
      <c r="C97" s="62">
        <v>0</v>
      </c>
      <c r="D97" s="78"/>
      <c r="E97" s="78"/>
      <c r="F97" s="78"/>
      <c r="G97" s="51" t="str">
        <f>HYPERLINK("https://www.elnacional.com/venezuela/delcy-rodriguez-no-se-confirmaron-nuevos-casos-de-coronavirus-en-las-ultimas-24-horas/","Source")</f>
        <v>Source</v>
      </c>
      <c r="H97" s="28"/>
      <c r="I97" s="28"/>
      <c r="J97" s="39"/>
      <c r="K97" s="39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 spans="1:24" ht="27.75" customHeight="1">
      <c r="A98" s="40" t="s">
        <v>99</v>
      </c>
      <c r="B98" s="62">
        <v>36</v>
      </c>
      <c r="C98" s="62">
        <v>1</v>
      </c>
      <c r="D98" s="47"/>
      <c r="E98" s="47">
        <v>1</v>
      </c>
      <c r="F98" s="47">
        <v>1</v>
      </c>
      <c r="G98" s="51" t="str">
        <f>HYPERLINK("https://msmps.gov.md/ro/content/6-cazuri-de-covid-19-confirmate-ultimele-24-de-ore","Source")</f>
        <v>Source</v>
      </c>
      <c r="H98" s="28"/>
      <c r="I98" s="28"/>
      <c r="J98" s="39"/>
      <c r="K98" s="39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 spans="1:24" ht="30" customHeight="1">
      <c r="A99" s="40" t="s">
        <v>96</v>
      </c>
      <c r="B99" s="62">
        <v>34</v>
      </c>
      <c r="C99" s="62">
        <v>1</v>
      </c>
      <c r="D99" s="47" t="s">
        <v>91</v>
      </c>
      <c r="E99" s="47" t="s">
        <v>91</v>
      </c>
      <c r="F99" s="64">
        <v>10</v>
      </c>
      <c r="G99" s="51" t="str">
        <f>HYPERLINK("https://report.az/siyasi-xeberler/daxili-siyaset/azerbaycanda-koronavirusa-yoluxan-daha-4-nefer-sagalib/","Source")</f>
        <v>Source</v>
      </c>
      <c r="H99" s="80"/>
      <c r="I99" s="28"/>
      <c r="J99" s="39"/>
      <c r="K99" s="39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 spans="1:24" ht="30" customHeight="1">
      <c r="A100" s="40" t="s">
        <v>106</v>
      </c>
      <c r="B100" s="62">
        <v>34</v>
      </c>
      <c r="C100" s="62">
        <v>0</v>
      </c>
      <c r="D100" s="47" t="s">
        <v>91</v>
      </c>
      <c r="E100" s="47" t="s">
        <v>91</v>
      </c>
      <c r="F100" s="47">
        <v>1</v>
      </c>
      <c r="G100" s="51" t="str">
        <f>HYPERLINK("http://sam.lrv.lt/koronavirusas","Source")</f>
        <v>Source</v>
      </c>
      <c r="H100" s="80"/>
      <c r="I100" s="28"/>
      <c r="J100" s="39"/>
      <c r="K100" s="39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 spans="1:24" ht="30" customHeight="1">
      <c r="A101" s="40" t="s">
        <v>111</v>
      </c>
      <c r="B101" s="62">
        <v>34</v>
      </c>
      <c r="C101" s="62">
        <v>2</v>
      </c>
      <c r="D101" s="78"/>
      <c r="E101" s="78"/>
      <c r="F101" s="78"/>
      <c r="G101" s="51" t="str">
        <f>HYPERLINK("https://listindiario.com/la-republica/2020/03/19/609267/informan-de-2-muertes-y-34-infectados-por-coronavirus","Source")</f>
        <v>Source</v>
      </c>
      <c r="H101" s="28"/>
      <c r="I101" s="28"/>
      <c r="J101" s="39"/>
      <c r="K101" s="39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 spans="1:24" ht="30" customHeight="1">
      <c r="A102" s="40" t="s">
        <v>102</v>
      </c>
      <c r="B102" s="62">
        <v>29</v>
      </c>
      <c r="C102" s="62">
        <v>0</v>
      </c>
      <c r="D102" s="78"/>
      <c r="E102" s="78"/>
      <c r="F102" s="47">
        <v>1</v>
      </c>
      <c r="G102" s="51" t="e">
        <f>HYPERLINK("https://www.facebook.com/santetunisie.rns.tn/photos/a.186499378055841/2961807487191669/?type=3&amp;__xts__%5B0%5D=68.ARCqO4QrxXxRyizFFaZFKfqY0EciNjvZguW-l4-JmzgOBlyysIQRbw8gJVpCv94fHCt814xZ6gaXUCpTfT101hM7XrDYlyxN2kY5c44T8OG30rEvjVnoIPueL0JxwX3KLqX9Q6WsBwDDju"&amp;"Ae0wl4vAAcmO7UMpix4m-U2_P9RibR-KMEPjTBJb6Okcql50wA3QO2wCN8TAkUxfHg1z81CtZjQgmL1whGAdOzyPgPlKRnixw6lF9kz0BeVB5fEWkuWnhXhB4MU59XWcByGzh4j5Pvf0A_suk7B7WoHJPo6d5cVOjRG1fLjQlYBYuXE36-GWKqQSWShYAWgSUROiy2npLXEA&amp;__tn__=-R","Source")</f>
        <v>#VALUE!</v>
      </c>
      <c r="H102" s="28"/>
      <c r="I102" s="28"/>
      <c r="J102" s="39"/>
      <c r="K102" s="39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 ht="27.75" customHeight="1">
      <c r="A103" s="40" t="s">
        <v>118</v>
      </c>
      <c r="B103" s="62">
        <v>28</v>
      </c>
      <c r="C103" s="62">
        <v>0</v>
      </c>
      <c r="D103" s="78"/>
      <c r="E103" s="78"/>
      <c r="F103" s="78"/>
      <c r="G103" s="51" t="str">
        <f>HYPERLINK("https://www.volksblatt.li/Nachricht.aspx?src=vb&amp;id=248138","Source")</f>
        <v>Source</v>
      </c>
      <c r="H103" s="28"/>
      <c r="I103" s="28"/>
      <c r="J103" s="39"/>
      <c r="K103" s="39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 spans="1:24" ht="27.75" customHeight="1">
      <c r="A104" s="40" t="s">
        <v>119</v>
      </c>
      <c r="B104" s="62">
        <v>27</v>
      </c>
      <c r="C104" s="62">
        <v>1</v>
      </c>
      <c r="D104" s="78"/>
      <c r="E104" s="78"/>
      <c r="F104" s="78"/>
      <c r="G104" s="51" t="str">
        <f>HYPERLINK("https://lefaso.net/spip.php?article95569","Source")</f>
        <v>Source</v>
      </c>
      <c r="H104" s="28"/>
      <c r="I104" s="28"/>
      <c r="J104" s="39"/>
      <c r="K104" s="39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spans="1:24" ht="30" customHeight="1">
      <c r="A105" s="40" t="s">
        <v>122</v>
      </c>
      <c r="B105" s="62">
        <v>23</v>
      </c>
      <c r="C105" s="62">
        <v>0</v>
      </c>
      <c r="D105" s="47"/>
      <c r="E105" s="47"/>
      <c r="F105" s="47"/>
      <c r="G105" s="51" t="str">
        <f>HYPERLINK("https://upl.uz/obshestvo/14834-news.html","Source")</f>
        <v>Source</v>
      </c>
      <c r="H105" s="28"/>
      <c r="I105" s="28"/>
      <c r="J105" s="39"/>
      <c r="K105" s="39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spans="1:24" ht="30" customHeight="1">
      <c r="A106" s="40" t="s">
        <v>100</v>
      </c>
      <c r="B106" s="62">
        <v>22</v>
      </c>
      <c r="C106" s="62">
        <v>0</v>
      </c>
      <c r="D106" s="47" t="s">
        <v>91</v>
      </c>
      <c r="E106" s="47" t="s">
        <v>91</v>
      </c>
      <c r="F106" s="47">
        <v>1</v>
      </c>
      <c r="G106" s="51" t="str">
        <f>HYPERLINK("https://www.humanitarianresponse.info/sites/www.humanitarianresponse.info/files/documents/files/20200318-sitrep-covid-19.pdf","Source")</f>
        <v>Source</v>
      </c>
      <c r="H106" s="28"/>
      <c r="I106" s="28"/>
      <c r="J106" s="39"/>
      <c r="K106" s="39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 spans="1:24" ht="27.75" customHeight="1">
      <c r="A107" s="40" t="s">
        <v>263</v>
      </c>
      <c r="B107" s="62">
        <v>20</v>
      </c>
      <c r="C107" s="62">
        <v>0</v>
      </c>
      <c r="D107" s="47"/>
      <c r="E107" s="47"/>
      <c r="F107" s="47"/>
      <c r="G107" s="51" t="str">
        <f>HYPERLINK("https://www.kibrisgazetesi.com/kibris/kktcde-13-koronavirus-vakasi-h85188.html","Source")</f>
        <v>Source</v>
      </c>
      <c r="H107" s="28"/>
      <c r="I107" s="28"/>
      <c r="J107" s="39"/>
      <c r="K107" s="39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</row>
    <row r="108" spans="1:24" ht="30" customHeight="1">
      <c r="A108" s="40" t="s">
        <v>264</v>
      </c>
      <c r="B108" s="62">
        <v>19</v>
      </c>
      <c r="C108" s="62">
        <v>0</v>
      </c>
      <c r="D108" s="47"/>
      <c r="E108" s="47"/>
      <c r="F108" s="47"/>
      <c r="G108" s="51" t="str">
        <f>HYPERLINK("https://www.danas.rs/drustvo/jos-dve-osobe-zarazene-korona-virusom-na-kosovu-ukupno-19/","Source")</f>
        <v>Source</v>
      </c>
      <c r="H108" s="28"/>
      <c r="I108" s="28"/>
      <c r="J108" s="39"/>
      <c r="K108" s="39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 spans="1:24" ht="30" customHeight="1">
      <c r="A109" s="40" t="s">
        <v>112</v>
      </c>
      <c r="B109" s="62">
        <v>17</v>
      </c>
      <c r="C109" s="62">
        <v>0</v>
      </c>
      <c r="D109" s="47" t="s">
        <v>91</v>
      </c>
      <c r="E109" s="47" t="s">
        <v>91</v>
      </c>
      <c r="F109" s="47">
        <v>10</v>
      </c>
      <c r="G109" s="51" t="str">
        <f>HYPERLINK("https://news.gov.mo/detail/zh-hant/N20CS2arZP;jsessionid=B3178E813CFCBAF58E681B5139228865.app03?0","Source")</f>
        <v>Source</v>
      </c>
      <c r="H109" s="28"/>
      <c r="I109" s="28"/>
      <c r="J109" s="39"/>
      <c r="K109" s="39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 spans="1:24" ht="27.75" customHeight="1">
      <c r="A110" s="40" t="s">
        <v>117</v>
      </c>
      <c r="B110" s="62">
        <v>17</v>
      </c>
      <c r="C110" s="62">
        <v>1</v>
      </c>
      <c r="D110" s="47"/>
      <c r="E110" s="47"/>
      <c r="F110" s="47"/>
      <c r="G110" s="51" t="str">
        <f>HYPERLINK("https://www.thedailystar.net/coronavirus-deadly-new-threat/news/3-new-coronavirus-cases-detected-dghs-1882915","Source")</f>
        <v>Source</v>
      </c>
      <c r="H110" s="28"/>
      <c r="I110" s="28"/>
      <c r="J110" s="39"/>
      <c r="K110" s="39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 spans="1:24" ht="30" customHeight="1">
      <c r="A111" s="40" t="s">
        <v>128</v>
      </c>
      <c r="B111" s="62">
        <v>16</v>
      </c>
      <c r="C111" s="62">
        <v>2</v>
      </c>
      <c r="D111" s="78"/>
      <c r="E111" s="78"/>
      <c r="F111" s="78"/>
      <c r="G111" s="51" t="str">
        <f>HYPERLINK("https://moz.gov.ua/article/news/v-ukraini-stanom-na-vechir-18032020-laboratorno-pidtverdzheno-16-vipadkiv-zahvorjuvannja-na-covid-19","Source")</f>
        <v>Source</v>
      </c>
      <c r="H111" s="28"/>
      <c r="I111" s="28"/>
      <c r="J111" s="39"/>
      <c r="K111" s="39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 ht="30" customHeight="1">
      <c r="A112" s="40" t="s">
        <v>113</v>
      </c>
      <c r="B112" s="62">
        <v>15</v>
      </c>
      <c r="C112" s="62">
        <v>0</v>
      </c>
      <c r="D112" s="47"/>
      <c r="E112" s="47"/>
      <c r="F112" s="47"/>
      <c r="G112" s="51" t="str">
        <f>HYPERLINK("https://twitter.com/MinSaludBolivia/status/1240614534441840640","Source")</f>
        <v>Source</v>
      </c>
      <c r="H112" s="28"/>
      <c r="I112" s="39"/>
      <c r="J112" s="39"/>
      <c r="K112" s="39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 ht="30" customHeight="1">
      <c r="A113" s="40" t="s">
        <v>107</v>
      </c>
      <c r="B113" s="62">
        <v>15</v>
      </c>
      <c r="C113" s="62">
        <v>1</v>
      </c>
      <c r="D113" s="47"/>
      <c r="E113" s="47"/>
      <c r="F113" s="47"/>
      <c r="G113" s="51" t="str">
        <f>HYPERLINK("https://twitter.com/themohwgovjm/status/1240453287683514371","Source")</f>
        <v>Source</v>
      </c>
      <c r="H113" s="28"/>
      <c r="I113" s="28"/>
      <c r="J113" s="39"/>
      <c r="K113" s="39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 spans="1:24" ht="30" customHeight="1">
      <c r="A114" s="40" t="s">
        <v>130</v>
      </c>
      <c r="B114" s="62">
        <v>14</v>
      </c>
      <c r="C114" s="62">
        <v>0</v>
      </c>
      <c r="D114" s="47"/>
      <c r="E114" s="47"/>
      <c r="F114" s="47"/>
      <c r="G114" s="51" t="str">
        <f>HYPERLINK("https://twitter.com/EteniLongondo/status/1240350708752429061","Source")</f>
        <v>Source</v>
      </c>
      <c r="H114" s="28"/>
      <c r="I114" s="28"/>
      <c r="J114" s="39"/>
      <c r="K114" s="39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spans="1:24" ht="27.75" customHeight="1">
      <c r="A115" s="40" t="s">
        <v>109</v>
      </c>
      <c r="B115" s="62">
        <v>13</v>
      </c>
      <c r="C115" s="62">
        <v>0</v>
      </c>
      <c r="D115" s="47"/>
      <c r="E115" s="47"/>
      <c r="F115" s="47"/>
      <c r="G115" s="51" t="str">
        <f>HYPERLINK("https://covid19.health.gov.mv/en/","Source")</f>
        <v>Source</v>
      </c>
      <c r="H115" s="28"/>
      <c r="I115" s="28"/>
      <c r="J115" s="39"/>
      <c r="K115" s="39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 spans="1:24" ht="27.75" customHeight="1">
      <c r="A116" s="40" t="s">
        <v>123</v>
      </c>
      <c r="B116" s="62">
        <v>12</v>
      </c>
      <c r="C116" s="62">
        <v>0</v>
      </c>
      <c r="D116" s="47"/>
      <c r="E116" s="47"/>
      <c r="F116" s="47"/>
      <c r="G116" s="51" t="str">
        <f>HYPERLINK("https://covid19honduras.org/","Source")</f>
        <v>Source</v>
      </c>
      <c r="H116" s="28"/>
      <c r="I116" s="28"/>
      <c r="J116" s="39"/>
      <c r="K116" s="39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spans="1:24" ht="27.75" customHeight="1">
      <c r="A117" s="40" t="s">
        <v>116</v>
      </c>
      <c r="B117" s="62">
        <v>11</v>
      </c>
      <c r="C117" s="62">
        <v>0</v>
      </c>
      <c r="D117" s="47">
        <v>1</v>
      </c>
      <c r="E117" s="47"/>
      <c r="F117" s="47"/>
      <c r="G117" s="51" t="str">
        <f>HYPERLINK("https://twitter.com/msaludpy/status/1240068756778426372","Source")</f>
        <v>Source</v>
      </c>
      <c r="H117" s="28"/>
      <c r="I117" s="28"/>
      <c r="J117" s="39"/>
      <c r="K117" s="39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 spans="1:24" ht="30" customHeight="1">
      <c r="A118" s="40" t="s">
        <v>120</v>
      </c>
      <c r="B118" s="62">
        <v>11</v>
      </c>
      <c r="C118" s="62">
        <v>0</v>
      </c>
      <c r="D118" s="47"/>
      <c r="E118" s="47"/>
      <c r="F118" s="47"/>
      <c r="G118" s="51" t="str">
        <f>HYPERLINK("https://twitter.com/RwandaHealth/status/1240349249914757121","Source")</f>
        <v>Source</v>
      </c>
      <c r="H118" s="28"/>
      <c r="I118" s="28"/>
      <c r="J118" s="39"/>
      <c r="K118" s="39"/>
      <c r="L118" s="30"/>
      <c r="M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spans="1:24" ht="27.75" customHeight="1">
      <c r="A119" s="40" t="s">
        <v>261</v>
      </c>
      <c r="B119" s="62">
        <v>11</v>
      </c>
      <c r="C119" s="62">
        <v>1</v>
      </c>
      <c r="D119" s="47"/>
      <c r="E119" s="47">
        <v>1</v>
      </c>
      <c r="F119" s="47"/>
      <c r="G119" s="51" t="str">
        <f>HYPERLINK("https://salud.msp.gob.cu/?p=4236","Source")</f>
        <v>Source</v>
      </c>
      <c r="H119" s="28"/>
      <c r="I119" s="28"/>
      <c r="J119" s="39"/>
      <c r="K119" s="39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 ht="27.75" customHeight="1">
      <c r="A120" s="40" t="s">
        <v>125</v>
      </c>
      <c r="B120" s="62">
        <v>11</v>
      </c>
      <c r="C120" s="62">
        <v>0</v>
      </c>
      <c r="D120" s="47"/>
      <c r="E120" s="47"/>
      <c r="F120" s="47"/>
      <c r="G120" s="51" t="str">
        <f>HYPERLINK("https://www.facebook.com/MINSANTE.PageOfficielle/photos/a.1374981629183978/3391069074241880/?type=3","Source")</f>
        <v>Source</v>
      </c>
      <c r="H120" s="28"/>
      <c r="I120" s="28"/>
      <c r="J120" s="39"/>
      <c r="K120" s="39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spans="1:24" ht="30" customHeight="1">
      <c r="A121" s="40" t="s">
        <v>135</v>
      </c>
      <c r="B121" s="62">
        <v>10</v>
      </c>
      <c r="C121" s="62">
        <v>0</v>
      </c>
      <c r="D121" s="47" t="s">
        <v>91</v>
      </c>
      <c r="E121" s="47" t="s">
        <v>91</v>
      </c>
      <c r="F121" s="47" t="s">
        <v>91</v>
      </c>
      <c r="G121" s="51" t="str">
        <f>HYPERLINK("https://twitter.com/W7VOA/status/1240654174620131330","Source")</f>
        <v>Source</v>
      </c>
      <c r="H121" s="28"/>
      <c r="I121" s="28"/>
      <c r="J121" s="39"/>
      <c r="K121" s="39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spans="1:24" ht="30" customHeight="1">
      <c r="A122" s="40" t="s">
        <v>121</v>
      </c>
      <c r="B122" s="62">
        <v>9</v>
      </c>
      <c r="C122" s="62">
        <v>0</v>
      </c>
      <c r="D122" s="47"/>
      <c r="E122" s="47"/>
      <c r="F122" s="47"/>
      <c r="G122" s="51" t="str">
        <f>HYPERLINK("https://www.ghanahealthservice.org/covid19/","Source")</f>
        <v>Source</v>
      </c>
      <c r="H122" s="28"/>
      <c r="I122" s="28"/>
      <c r="J122" s="39"/>
      <c r="K122" s="39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 ht="30" customHeight="1">
      <c r="A123" s="40" t="s">
        <v>265</v>
      </c>
      <c r="B123" s="62">
        <v>9</v>
      </c>
      <c r="C123" s="62">
        <v>0</v>
      </c>
      <c r="D123" s="47"/>
      <c r="E123" s="47"/>
      <c r="F123" s="47"/>
      <c r="G123" s="51" t="str">
        <f>HYPERLINK("https://trinidadexpress.com/news/t-t-now-has-cases-of-covid/article_2d9b004e-69c5-11ea-a498-5b9a526e67c6.html","Source")</f>
        <v>Source</v>
      </c>
      <c r="H123" s="28"/>
      <c r="I123" s="28"/>
      <c r="J123" s="39"/>
      <c r="K123" s="39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4" ht="30" customHeight="1">
      <c r="A124" s="40" t="s">
        <v>266</v>
      </c>
      <c r="B124" s="62">
        <v>8</v>
      </c>
      <c r="C124" s="62">
        <v>0</v>
      </c>
      <c r="D124" s="47"/>
      <c r="E124" s="47"/>
      <c r="F124" s="47"/>
      <c r="G124" s="51" t="str">
        <f>HYPERLINK("https://www.vijesti.me/vijesti/drustvo/sve-najbitnije-crna-gora-i-koronavirus","Source")</f>
        <v>Source</v>
      </c>
      <c r="H124" s="28"/>
      <c r="I124" s="28"/>
      <c r="J124" s="39"/>
      <c r="K124" s="39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spans="1:24" ht="27.75" customHeight="1">
      <c r="A125" s="40" t="s">
        <v>131</v>
      </c>
      <c r="B125" s="62">
        <v>8</v>
      </c>
      <c r="C125" s="62">
        <v>0</v>
      </c>
      <c r="D125" s="47">
        <v>1</v>
      </c>
      <c r="E125" s="47"/>
      <c r="F125" s="47">
        <v>2</v>
      </c>
      <c r="G125" s="51" t="str">
        <f>HYPERLINK("https://twitter.com/GibraltarGov/status/1240253725874237440","Source")</f>
        <v>Source</v>
      </c>
      <c r="H125" s="28"/>
      <c r="I125" s="28"/>
      <c r="J125" s="39"/>
      <c r="K125" s="39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 spans="1:24" ht="30" customHeight="1">
      <c r="A126" s="40" t="s">
        <v>133</v>
      </c>
      <c r="B126" s="62">
        <v>8</v>
      </c>
      <c r="C126" s="62">
        <v>0</v>
      </c>
      <c r="D126" s="47"/>
      <c r="E126" s="47"/>
      <c r="F126" s="47">
        <v>0</v>
      </c>
      <c r="G126" s="51" t="str">
        <f>HYPERLINK("https://twitter.com/NCDCgov/status/1240225860067745792","Source")</f>
        <v>Source</v>
      </c>
      <c r="H126" s="28"/>
      <c r="I126" s="28"/>
      <c r="J126" s="39"/>
      <c r="K126" s="39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 ht="30" customHeight="1">
      <c r="A127" s="40" t="s">
        <v>132</v>
      </c>
      <c r="B127" s="62">
        <v>7</v>
      </c>
      <c r="C127" s="62">
        <v>0</v>
      </c>
      <c r="D127" s="47"/>
      <c r="E127" s="47"/>
      <c r="F127" s="47"/>
      <c r="G127" s="51" t="str">
        <f>HYPERLINK("https://twitter.com/MOH_Kenya/status/1240251444915142657","Source")</f>
        <v>Source</v>
      </c>
      <c r="H127" s="28"/>
      <c r="I127" s="28"/>
      <c r="J127" s="39"/>
      <c r="K127" s="39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 ht="27.75" customHeight="1">
      <c r="A128" s="40" t="s">
        <v>124</v>
      </c>
      <c r="B128" s="62">
        <v>7</v>
      </c>
      <c r="C128" s="62">
        <v>1</v>
      </c>
      <c r="D128" s="47"/>
      <c r="E128" s="47"/>
      <c r="F128" s="47"/>
      <c r="G128" s="51" t="str">
        <f>HYPERLINK("https://www.youtube.com/watch?v=WjPonIzjZFc&amp;feature=youtu.be","Source")</f>
        <v>Source</v>
      </c>
      <c r="H128" s="28"/>
      <c r="I128" s="28"/>
      <c r="J128" s="39"/>
      <c r="K128" s="39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spans="1:24" ht="27.75" customHeight="1">
      <c r="A129" s="40" t="s">
        <v>126</v>
      </c>
      <c r="B129" s="62">
        <v>6</v>
      </c>
      <c r="C129" s="62">
        <v>0</v>
      </c>
      <c r="D129" s="47"/>
      <c r="E129" s="47"/>
      <c r="F129" s="47"/>
      <c r="G129" s="51" t="str">
        <f>HYPERLINK("https://twitter.com/OmsCotedivoire/status/1239825825618374657","Source")</f>
        <v>Source</v>
      </c>
      <c r="H129" s="28"/>
      <c r="I129" s="28"/>
      <c r="J129" s="39"/>
      <c r="K129" s="39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 ht="30" customHeight="1">
      <c r="A130" s="40" t="s">
        <v>127</v>
      </c>
      <c r="B130" s="62">
        <v>6</v>
      </c>
      <c r="C130" s="62">
        <v>0</v>
      </c>
      <c r="D130" s="47"/>
      <c r="E130" s="47"/>
      <c r="F130" s="47"/>
      <c r="G130" s="51" t="str">
        <f>HYPERLINK("https://twitter.com/lia_tadesse/status/1239953550287032322","Source")</f>
        <v>Source</v>
      </c>
      <c r="H130" s="28"/>
      <c r="I130" s="28"/>
      <c r="J130" s="39"/>
      <c r="K130" s="39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spans="1:24" ht="30" customHeight="1">
      <c r="A131" s="40" t="s">
        <v>267</v>
      </c>
      <c r="B131" s="62">
        <v>6</v>
      </c>
      <c r="C131" s="62">
        <v>0</v>
      </c>
      <c r="D131" s="47"/>
      <c r="E131" s="47"/>
      <c r="F131" s="47"/>
      <c r="G131" s="51" t="str">
        <f>HYPERLINK("https://www.gov.je/Health/Coronavirus/Pages/CoronavirusCases.aspx","Source")</f>
        <v>Source</v>
      </c>
      <c r="H131" s="28"/>
      <c r="I131" s="28"/>
      <c r="J131" s="39"/>
      <c r="K131" s="39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 spans="1:24" ht="30" customHeight="1">
      <c r="A132" s="40" t="s">
        <v>129</v>
      </c>
      <c r="B132" s="62">
        <v>6</v>
      </c>
      <c r="C132" s="62">
        <v>0</v>
      </c>
      <c r="D132" s="47"/>
      <c r="E132" s="47"/>
      <c r="F132" s="47"/>
      <c r="G132" s="51" t="str">
        <f>HYPERLINK("http://www.seychellesnewsagency.com/articles/12610/Seychelles+and+COVID-++cases+now+confirmed","Source")</f>
        <v>Source</v>
      </c>
      <c r="H132" s="28"/>
      <c r="I132" s="28"/>
      <c r="J132" s="39"/>
      <c r="K132" s="39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spans="1:24" ht="30" customHeight="1">
      <c r="A133" s="40" t="s">
        <v>268</v>
      </c>
      <c r="B133" s="62">
        <v>6</v>
      </c>
      <c r="C133" s="62">
        <v>0</v>
      </c>
      <c r="D133" s="47"/>
      <c r="E133" s="47"/>
      <c r="F133" s="47"/>
      <c r="G133" s="51" t="str">
        <f>HYPERLINK("https://montsame.mn/en/read/219278","Source")</f>
        <v>Source</v>
      </c>
      <c r="H133" s="28"/>
      <c r="I133" s="28"/>
      <c r="J133" s="39"/>
      <c r="K133" s="39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 spans="1:24" ht="30" customHeight="1">
      <c r="A134" s="40" t="s">
        <v>269</v>
      </c>
      <c r="B134" s="62">
        <v>6</v>
      </c>
      <c r="C134" s="62">
        <v>0</v>
      </c>
      <c r="D134" s="47"/>
      <c r="E134" s="47"/>
      <c r="F134" s="47"/>
      <c r="G134" s="51" t="str">
        <f>HYPERLINK("https://www.tahiti-infos.com/Six-cas-de-coronavirus-en-Polynesie_a189674.html","Source")</f>
        <v>Source</v>
      </c>
      <c r="H134" s="28"/>
      <c r="I134" s="28"/>
      <c r="J134" s="39"/>
      <c r="K134" s="39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 ht="30" customHeight="1">
      <c r="A135" s="40" t="s">
        <v>270</v>
      </c>
      <c r="B135" s="62">
        <v>6</v>
      </c>
      <c r="C135" s="62">
        <v>0</v>
      </c>
      <c r="D135" s="47"/>
      <c r="E135" s="47"/>
      <c r="F135" s="47"/>
      <c r="G135" s="51" t="str">
        <f>HYPERLINK("https://twitter.com/NationBreaking/status/1240576982783528960","Source")</f>
        <v>Source</v>
      </c>
      <c r="H135" s="28"/>
      <c r="I135" s="28"/>
      <c r="J135" s="39"/>
      <c r="K135" s="39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spans="1:24" ht="30" customHeight="1">
      <c r="A136" s="40" t="s">
        <v>271</v>
      </c>
      <c r="B136" s="62">
        <v>4</v>
      </c>
      <c r="C136" s="62">
        <v>0</v>
      </c>
      <c r="D136" s="47"/>
      <c r="E136" s="47"/>
      <c r="F136" s="47"/>
      <c r="G136" s="51" t="str">
        <f>HYPERLINK("https://www.who.int/docs/default-source/coronaviruse/situation-reports/20200318-sitrep-58-covid-19.pdf?sfvrsn=20876712_2","Source")</f>
        <v>Source</v>
      </c>
      <c r="H136" s="28"/>
      <c r="I136" s="28"/>
      <c r="J136" s="39"/>
      <c r="K136" s="39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spans="1:24" ht="30" customHeight="1">
      <c r="A137" s="40" t="s">
        <v>272</v>
      </c>
      <c r="B137" s="62">
        <v>4</v>
      </c>
      <c r="C137" s="62">
        <v>0</v>
      </c>
      <c r="D137" s="47"/>
      <c r="E137" s="47"/>
      <c r="F137" s="47"/>
      <c r="G137" s="51" t="str">
        <f>HYPERLINK("https://www.arubacovid19.org/","Source")</f>
        <v>Source</v>
      </c>
      <c r="H137" s="28"/>
      <c r="I137" s="28"/>
      <c r="J137" s="39"/>
      <c r="K137" s="39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 spans="1:24" ht="30" customHeight="1">
      <c r="A138" s="40" t="s">
        <v>141</v>
      </c>
      <c r="B138" s="62">
        <v>3</v>
      </c>
      <c r="C138" s="62">
        <v>0</v>
      </c>
      <c r="D138" s="47"/>
      <c r="E138" s="47"/>
      <c r="F138" s="47"/>
      <c r="G138" s="51" t="str">
        <f>HYPERLINK("https://www.gabonmediatime.com/coronavirus-deux-nouveaux-cas-testes-positifs-au-gabon/","Source")</f>
        <v>Source</v>
      </c>
      <c r="H138" s="28"/>
      <c r="I138" s="28"/>
      <c r="J138" s="39"/>
      <c r="K138" s="39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 spans="1:24" ht="30" customHeight="1">
      <c r="A139" s="40" t="s">
        <v>140</v>
      </c>
      <c r="B139" s="62">
        <v>3</v>
      </c>
      <c r="C139" s="62">
        <v>0</v>
      </c>
      <c r="D139" s="47"/>
      <c r="E139" s="47"/>
      <c r="F139" s="47"/>
      <c r="G139" s="51" t="str">
        <f>HYPERLINK("https://www.guineaecuatorialpress.com/noticia.php?id=15125","Source")</f>
        <v>Source</v>
      </c>
      <c r="H139" s="28"/>
      <c r="I139" s="28"/>
      <c r="J139" s="39"/>
      <c r="K139" s="39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 spans="1:24" ht="30" customHeight="1">
      <c r="A140" s="40" t="s">
        <v>273</v>
      </c>
      <c r="B140" s="62">
        <v>3</v>
      </c>
      <c r="C140" s="62">
        <v>0</v>
      </c>
      <c r="D140" s="47"/>
      <c r="E140" s="47"/>
      <c r="F140" s="47"/>
      <c r="G140" s="51" t="str">
        <f>HYPERLINK("https://tass.com/world/1131599","Source")</f>
        <v>Source</v>
      </c>
      <c r="H140" s="28"/>
      <c r="I140" s="28"/>
      <c r="J140" s="39"/>
      <c r="K140" s="39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spans="1:24" ht="30" customHeight="1">
      <c r="A141" s="40" t="s">
        <v>137</v>
      </c>
      <c r="B141" s="62">
        <v>3</v>
      </c>
      <c r="C141" s="62">
        <v>0</v>
      </c>
      <c r="D141" s="47"/>
      <c r="E141" s="47"/>
      <c r="F141" s="47"/>
      <c r="G141" s="51" t="e">
        <f>HYPERLINK("http://www.bahamas.gov.bs/wps/portal/public/news%20and%20press%20release/bahamas%20ministry%20of%20health%20covid-19%20dashboard%20(18th%20march%202020)/!ut/p/b1/vZbbjqM4EEC_pT8gjc3FmEfud0MIBMILCiEhCUkgCQHaXz9p7axWo93pfpmN_WJLVTqlo3LJTM5kTH5ZD4d63R_ay_r0e"&amp;"c9RwZmBP1d57GPES8CGMbE1PeRMDjIpk1krQdFav9b1dPD3j7hq9FWy9h_bkVZEfWaeQln2rE5M-6ooaUGaItj0673oZ-41sXcQbYM2k1uj7Ggy0z4GljVSOgWSs3EL_ySPG3UbmJVdmKWbBYZ6Ok4nrCI-I3bG19cULcEdWTVvz9pIM1Mx0luzHJaj2khOCtUWq2J4dgBLOloZB3FB77WzWV_EdpmoZjZEfT_aZt8vsSsj8_Y4r8VFurvU0q4-"&amp;"hESfvz0lrJ4SwG-WDP5yBExflp-OAjb-dKRC5CYCwBr6mf9FwLeO818RpgAQsJPQk0PRYgMe_Az4qsSvi-SZ1TNA_H2AyMRMBvhicfzobNrQ6EjnwI-XNolXFNJkvDc0JbHOkX4NY20FQZmMfnIHPvW5nkYkrqywWkaJImuhVn88vgYuPP61QByjVwO5FwM58Gog-2qg8GKg8-ou5f78O3SY_FCe38fN-R28CwBCloNYYDkRiSyzdDa1oLbyqOt"&amp;"adId7H4Gpd_kDYfVVeVjkra30kx1abNlnRajMeWvzMclzzw2q6lztktQylAl2kuzPE6NTI2-42ibbOhcxulzK8XqUlZtZnk-FQp2wkXZ400rsDbWlc80zKr-9McRqz9tvrCj_1dnjQrNBT-UJHD_taBmJDYdUOem1yAGAhb7mPM9zSI7LIO7Lv61gVjnV300n9FogVuCrgeL_DnRZ7gn0OI9gFS5M7sVA_Oeb5penhCWOlQQRYB5DAQLILLsEi2"&amp;"XjT5r3cI06JI1xdKBV3rg6wLl6aSi6k5lcebtEeFh017KuITvQbuaOgcB2U4MTv3T309FyPUeBDzqe-2AfpWzWQTUCzscaov0tWWI9g0LjDm2Umg-Et-HtqATPz5bXT2Oy6_P-Mpz2RoxXV23fcjHRJNzEFExaHduTYNSHhSgp2cLgF3tPhgcWFTvdsCx9PJVXrZuFlGgONGeq7ki0G1iw4i6yN9xn1i1b70loeZ1Zl9Xmevd40Igmya9QmJXom"&amp;"hU0J2wxlFZSD0NVvzHdeXA9FFk0-9femsP5n_0cBD8A_frAEw!!/dl4/d5/L2dBISEvZ0FBIS9nQSEh/","Source")</f>
        <v>#VALUE!</v>
      </c>
      <c r="H141" s="28"/>
      <c r="I141" s="28"/>
      <c r="J141" s="39"/>
      <c r="K141" s="39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spans="1:24" ht="30" customHeight="1">
      <c r="A142" s="40" t="s">
        <v>274</v>
      </c>
      <c r="B142" s="62">
        <v>3</v>
      </c>
      <c r="C142" s="62">
        <v>1</v>
      </c>
      <c r="D142" s="47"/>
      <c r="E142" s="47"/>
      <c r="F142" s="47"/>
      <c r="G142" s="51" t="str">
        <f>HYPERLINK("https://www.thedailyherald.sx/islands/first-coronavirus-death-in-curacao","Source")</f>
        <v>Source</v>
      </c>
      <c r="H142" s="28"/>
      <c r="I142" s="28"/>
      <c r="J142" s="39"/>
      <c r="K142" s="39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spans="1:24" ht="30" customHeight="1">
      <c r="A143" s="40" t="s">
        <v>275</v>
      </c>
      <c r="B143" s="62">
        <v>3</v>
      </c>
      <c r="C143" s="62">
        <v>0</v>
      </c>
      <c r="D143" s="47"/>
      <c r="E143" s="47"/>
      <c r="F143" s="47"/>
      <c r="G143" s="51" t="str">
        <f>HYPERLINK("http://www.govmu.org/English/News/Pages/3-cases-of-Covid-19-reported-in-Mauritius.aspx","Source")</f>
        <v>Source</v>
      </c>
      <c r="H143" s="28"/>
      <c r="I143" s="28"/>
      <c r="J143" s="39"/>
      <c r="K143" s="39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 spans="1:24" ht="30" customHeight="1">
      <c r="A144" s="40" t="s">
        <v>142</v>
      </c>
      <c r="B144" s="62">
        <v>3</v>
      </c>
      <c r="C144" s="62">
        <v>0</v>
      </c>
      <c r="D144" s="47"/>
      <c r="E144" s="47"/>
      <c r="F144" s="47"/>
      <c r="G144" s="51" t="str">
        <f>HYPERLINK("http://apanews.net/en/news/congo-confirms-three-covid-19-cases","Source")</f>
        <v>Source</v>
      </c>
      <c r="H144" s="28"/>
      <c r="I144" s="28"/>
      <c r="J144" s="39"/>
      <c r="K144" s="39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spans="1:24" ht="30" customHeight="1">
      <c r="A145" s="40" t="s">
        <v>276</v>
      </c>
      <c r="B145" s="62">
        <v>2</v>
      </c>
      <c r="C145" s="62">
        <v>0</v>
      </c>
      <c r="D145" s="47"/>
      <c r="E145" s="47"/>
      <c r="F145" s="47"/>
      <c r="G145" s="51" t="str">
        <f>HYPERLINK("https://www.gov.bb/news_article.php?id=69","Source")</f>
        <v>Source</v>
      </c>
      <c r="H145" s="28"/>
      <c r="I145" s="39"/>
      <c r="J145" s="39"/>
      <c r="K145" s="39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spans="1:24" ht="30" customHeight="1">
      <c r="A146" s="40" t="s">
        <v>136</v>
      </c>
      <c r="B146" s="62">
        <v>2</v>
      </c>
      <c r="C146" s="62">
        <v>0</v>
      </c>
      <c r="D146" s="47"/>
      <c r="E146" s="47"/>
      <c r="F146" s="47"/>
      <c r="G146" s="51" t="str">
        <f>HYPERLINK("https://news.trust.org/item/20200314105045-1u9ll","Source")</f>
        <v>Source</v>
      </c>
      <c r="H146" s="28"/>
      <c r="I146" s="28"/>
      <c r="J146" s="39"/>
      <c r="K146" s="39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 spans="1:24" ht="30" customHeight="1">
      <c r="A147" s="40" t="s">
        <v>138</v>
      </c>
      <c r="B147" s="62">
        <v>2</v>
      </c>
      <c r="C147" s="62">
        <v>0</v>
      </c>
      <c r="D147" s="47"/>
      <c r="E147" s="47"/>
      <c r="F147" s="47"/>
      <c r="G147" s="51" t="e">
        <f>HYPERLINK("https://www.facebook.com/executivemansionliberia/photos/a.622167858131996/1204504093231700/?type=3&amp;__xts__%5B0%5D=68.ARCtlVuQ5CP9UA-z9lP5oiw3WCuQWZ0a8XBkOsG4q5XebUlDOk8KTii15DXdRDbLNtUDbopIxpJBG1Fm75PhJsOPuM6hM-GDAX1Vx82A8CrCveTYseTCrhoVLCqwXcuXL1YyAfjleC"&amp;"iByj2VZHj80Y4kiJ_gLbP9RNuKroaQLiYG3nCz2lxrnavK4dYEEOApAJH0xOQ9L9ydxLo-Aiga8W5g7LG5eKgooGW30Aybv2D_k5CtqySqqwF8L-B0vi6TFD-KoIdyz6dKyI2ifA7dRpBV3v6wCXYMVx-D2ic5dvLoX9oM8De_RGsydA5oxLj8dEj5_RtKK5axTw6T490f8GPoHg&amp;__tn__=-R","Source")</f>
        <v>#VALUE!</v>
      </c>
      <c r="H147" s="28"/>
      <c r="I147" s="28"/>
      <c r="J147" s="39"/>
      <c r="K147" s="39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 spans="1:24" ht="30" customHeight="1">
      <c r="A148" s="40" t="s">
        <v>277</v>
      </c>
      <c r="B148" s="62">
        <v>2</v>
      </c>
      <c r="C148" s="62">
        <v>0</v>
      </c>
      <c r="D148" s="47"/>
      <c r="E148" s="47"/>
      <c r="F148" s="47"/>
      <c r="G148" s="51" t="str">
        <f>HYPERLINK("https://www.who.int/docs/default-source/coronaviruse/situation-reports/20200318-sitrep-58-covid-19.pdf?sfvrsn=20876712_2","Source")</f>
        <v>Source</v>
      </c>
      <c r="H148" s="28"/>
      <c r="I148" s="28"/>
      <c r="J148" s="39"/>
      <c r="K148" s="39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 ht="30" customHeight="1">
      <c r="A149" s="40" t="s">
        <v>278</v>
      </c>
      <c r="B149" s="62">
        <v>2</v>
      </c>
      <c r="C149" s="62">
        <v>0</v>
      </c>
      <c r="D149" s="47"/>
      <c r="E149" s="47"/>
      <c r="F149" s="47"/>
      <c r="G149" s="51" t="str">
        <f>HYPERLINK("https://sermitsiaq.ag/to-smittetnuuk-isoleres-steder-lukkes","Source")</f>
        <v>Source</v>
      </c>
      <c r="H149" s="28"/>
      <c r="I149" s="28"/>
      <c r="J149" s="39"/>
      <c r="K149" s="39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 ht="30" customHeight="1">
      <c r="A150" s="40" t="s">
        <v>146</v>
      </c>
      <c r="B150" s="62">
        <v>2</v>
      </c>
      <c r="C150" s="62">
        <v>0</v>
      </c>
      <c r="D150" s="47"/>
      <c r="E150" s="47"/>
      <c r="F150" s="47"/>
      <c r="G150" s="51" t="str">
        <f>HYPERLINK("http://apanews.net/en/news/guinea-reports-second-covid-19-case","Source")</f>
        <v>Source</v>
      </c>
      <c r="H150" s="28"/>
      <c r="I150" s="28"/>
      <c r="J150" s="39"/>
      <c r="K150" s="39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 ht="30" customHeight="1">
      <c r="A151" s="40" t="s">
        <v>144</v>
      </c>
      <c r="B151" s="62">
        <v>2</v>
      </c>
      <c r="C151" s="62">
        <v>0</v>
      </c>
      <c r="D151" s="47"/>
      <c r="E151" s="47"/>
      <c r="F151" s="47"/>
      <c r="G151" s="51" t="str">
        <f>HYPERLINK("http://apanews.net/en/news/mauritania-records-second-covid-19-case/","Source")</f>
        <v>Source</v>
      </c>
      <c r="H151" s="28"/>
      <c r="I151" s="28"/>
      <c r="J151" s="39"/>
      <c r="K151" s="39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 spans="1:24" ht="30" customHeight="1">
      <c r="A152" s="40" t="s">
        <v>279</v>
      </c>
      <c r="B152" s="62">
        <v>2</v>
      </c>
      <c r="C152" s="62">
        <v>0</v>
      </c>
      <c r="D152" s="47"/>
      <c r="E152" s="47"/>
      <c r="F152" s="47"/>
      <c r="G152" s="51" t="e">
        <f>HYPERLINK("https://www.facebook.com/EdgarChagwaLungu/photos/a.831065900282970/2937718349617704/?type=3&amp;__xts__%5B0%5D=68.ARBSft-uqfh7thude15DENyapJw-NPt-xHcWqlppTu0rnR8Q2sfwtjbmbANdHn__hP_xeMkwjkvMuhAk1BKlllESkTjoeo1YumihSny_7ogY0y0gODPEGaP1SQowGM6gz9uY9FV7SyHCHwxg5"&amp;"CZ7FyVjX9NGVTn1kt4IlfzUFAlMTJyuAEqrAn0twZDfwUBt2x0R_rK_78025Bjp15luu9_OpzDjS3KVAPr7_iPcm-0UgS9ESVF2odsCrKUh1yCXQhIJNliqh9VAbnenQZs6m7MxPJIG2ivcdaXVB4UZx8rgHDwvDruZhbTSpW1uX313my3UWHzA-AhRxbMTCPBiVfv8mA&amp;__tn__=-R","Source")</f>
        <v>#VALUE!</v>
      </c>
      <c r="H152" s="28"/>
      <c r="I152" s="28"/>
      <c r="J152" s="39"/>
      <c r="K152" s="39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 ht="30" customHeight="1">
      <c r="A153" s="40" t="s">
        <v>280</v>
      </c>
      <c r="B153" s="62">
        <v>2</v>
      </c>
      <c r="C153" s="62">
        <v>0</v>
      </c>
      <c r="D153" s="47"/>
      <c r="E153" s="47"/>
      <c r="F153" s="47"/>
      <c r="G153" s="51" t="str">
        <f>HYPERLINK("http://www.china.org.cn/world/Off_the_Wire/2020-03/19/content_75831862.htm","Source")</f>
        <v>Source</v>
      </c>
      <c r="H153" s="28"/>
      <c r="I153" s="28"/>
      <c r="J153" s="39"/>
      <c r="K153" s="39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 ht="30" customHeight="1">
      <c r="A154" s="40" t="s">
        <v>281</v>
      </c>
      <c r="B154" s="62">
        <v>1</v>
      </c>
      <c r="C154" s="62">
        <v>0</v>
      </c>
      <c r="D154" s="47"/>
      <c r="E154" s="47"/>
      <c r="F154" s="47"/>
      <c r="G154" s="51" t="str">
        <f>HYPERLINK("https://twitter.com/prensagrafica/status/1240465686926888973","Source")</f>
        <v>Source</v>
      </c>
      <c r="H154" s="28"/>
      <c r="I154" s="28"/>
      <c r="J154" s="39"/>
      <c r="K154" s="39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 spans="1:24" ht="30" customHeight="1">
      <c r="A155" s="40" t="s">
        <v>282</v>
      </c>
      <c r="B155" s="62">
        <v>1</v>
      </c>
      <c r="C155" s="62">
        <v>0</v>
      </c>
      <c r="D155" s="47"/>
      <c r="E155" s="47"/>
      <c r="F155" s="47"/>
      <c r="G155" s="51" t="str">
        <f t="shared" ref="G155:G156" si="1">HYPERLINK("https://www.who.int/docs/default-source/coronaviruse/situation-reports/20200318-sitrep-58-covid-19.pdf?sfvrsn=20876712_2","Source")</f>
        <v>Source</v>
      </c>
      <c r="H155" s="28"/>
      <c r="I155" s="28"/>
      <c r="J155" s="39"/>
      <c r="K155" s="39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 spans="1:24" ht="30" customHeight="1">
      <c r="A156" s="40" t="s">
        <v>283</v>
      </c>
      <c r="B156" s="62">
        <v>1</v>
      </c>
      <c r="C156" s="62">
        <v>0</v>
      </c>
      <c r="D156" s="47"/>
      <c r="E156" s="47"/>
      <c r="F156" s="47"/>
      <c r="G156" s="51" t="str">
        <f t="shared" si="1"/>
        <v>Source</v>
      </c>
      <c r="H156" s="28"/>
      <c r="I156" s="28"/>
      <c r="J156" s="39"/>
      <c r="K156" s="39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 ht="30" customHeight="1">
      <c r="A157" s="40" t="s">
        <v>284</v>
      </c>
      <c r="B157" s="62">
        <v>1</v>
      </c>
      <c r="C157" s="62">
        <v>0</v>
      </c>
      <c r="D157" s="47"/>
      <c r="E157" s="47"/>
      <c r="F157" s="47"/>
      <c r="G157" s="51" t="str">
        <f>HYPERLINK("https://gov.gg/CHttpHandler.ashx?id=123828&amp;p=0","Source")</f>
        <v>Source</v>
      </c>
      <c r="H157" s="28"/>
      <c r="I157" s="28"/>
      <c r="J157" s="39"/>
      <c r="K157" s="39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 ht="30" customHeight="1">
      <c r="A158" s="40" t="s">
        <v>285</v>
      </c>
      <c r="B158" s="62">
        <v>1</v>
      </c>
      <c r="C158" s="62">
        <v>0</v>
      </c>
      <c r="D158" s="47"/>
      <c r="E158" s="47"/>
      <c r="F158" s="47"/>
      <c r="G158" s="51" t="str">
        <f>HYPERLINK("http://www.gov.ky/portal/page/portal/cighome/pressroom/archive/March%202020/First%20Case%20of%20COVID-19%20Confirmed","Source")</f>
        <v>Source</v>
      </c>
      <c r="H158" s="28"/>
      <c r="I158" s="28"/>
      <c r="J158" s="39"/>
      <c r="K158" s="39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 ht="30" customHeight="1">
      <c r="A159" s="40" t="s">
        <v>286</v>
      </c>
      <c r="B159" s="62">
        <v>1</v>
      </c>
      <c r="C159" s="62">
        <v>0</v>
      </c>
      <c r="D159" s="47"/>
      <c r="E159" s="47"/>
      <c r="F159" s="47"/>
      <c r="G159" s="51" t="str">
        <f>HYPERLINK("https://www.laprensa.com.ni/2020/03/18/nacionales/2648113-nicaragua-confirma-el-primer-caso-de-coronavirus","Source")</f>
        <v>Source</v>
      </c>
      <c r="H159" s="28"/>
      <c r="I159" s="28"/>
      <c r="J159" s="39"/>
      <c r="K159" s="39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 ht="30" customHeight="1">
      <c r="A160" s="40" t="s">
        <v>287</v>
      </c>
      <c r="B160" s="62">
        <v>1</v>
      </c>
      <c r="C160" s="62">
        <v>0</v>
      </c>
      <c r="D160" s="47"/>
      <c r="E160" s="47"/>
      <c r="F160" s="47"/>
      <c r="G160" s="51" t="str">
        <f>HYPERLINK("https://www.facebook.com/minister.sante.dj/photos/pcb.2944775612228020/2944775518894696/?type=3&amp;theater","Source")</f>
        <v>Source</v>
      </c>
      <c r="H160" s="28"/>
      <c r="I160" s="28"/>
      <c r="J160" s="39"/>
      <c r="K160" s="39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 ht="30" customHeight="1">
      <c r="A161" s="40" t="s">
        <v>288</v>
      </c>
      <c r="B161" s="62">
        <v>1</v>
      </c>
      <c r="C161" s="62">
        <v>0</v>
      </c>
      <c r="D161" s="47">
        <v>0</v>
      </c>
      <c r="E161" s="47">
        <v>0</v>
      </c>
      <c r="F161" s="47">
        <v>0</v>
      </c>
      <c r="G161" s="51" t="str">
        <f>HYPERLINK("https://ab.gov.ag/media_page.php?page=227","Source")</f>
        <v>Source</v>
      </c>
      <c r="H161" s="28"/>
      <c r="I161" s="28"/>
      <c r="J161" s="39"/>
      <c r="K161" s="39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4" ht="30" customHeight="1">
      <c r="A162" s="40" t="s">
        <v>143</v>
      </c>
      <c r="B162" s="62">
        <v>1</v>
      </c>
      <c r="C162" s="62">
        <v>1</v>
      </c>
      <c r="D162" s="47"/>
      <c r="E162" s="47"/>
      <c r="F162" s="47"/>
      <c r="G162" s="51" t="str">
        <f>HYPERLINK("https://twitter.com/AJENews/status/1238482993196544001","Source")</f>
        <v>Source</v>
      </c>
      <c r="H162" s="28"/>
      <c r="I162" s="28"/>
      <c r="J162" s="39"/>
      <c r="K162" s="39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 spans="1:24" ht="30" customHeight="1">
      <c r="A163" s="40" t="s">
        <v>289</v>
      </c>
      <c r="B163" s="62">
        <v>1</v>
      </c>
      <c r="C163" s="62">
        <v>0</v>
      </c>
      <c r="D163" s="47"/>
      <c r="E163" s="47"/>
      <c r="F163" s="47"/>
      <c r="G163" s="51" t="str">
        <f>HYPERLINK("http://www.gov.ms/statement-montserrat-confirms-a-covid-19-case/","Source")</f>
        <v>Source</v>
      </c>
      <c r="H163" s="28"/>
      <c r="I163" s="28"/>
      <c r="J163" s="39"/>
      <c r="K163" s="39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 spans="1:24" ht="30" customHeight="1">
      <c r="A164" s="40" t="s">
        <v>290</v>
      </c>
      <c r="B164" s="62">
        <v>1</v>
      </c>
      <c r="C164" s="62">
        <v>0</v>
      </c>
      <c r="D164" s="47"/>
      <c r="E164" s="47"/>
      <c r="F164" s="47"/>
      <c r="G164" s="51" t="str">
        <f>HYPERLINK("https://twitter.com/MohGambia/status/1240024648785571841","Source")</f>
        <v>Source</v>
      </c>
      <c r="H164" s="28"/>
      <c r="I164" s="28"/>
      <c r="J164" s="39"/>
      <c r="K164" s="39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 ht="30" customHeight="1">
      <c r="A165" s="40" t="s">
        <v>139</v>
      </c>
      <c r="B165" s="62">
        <v>1</v>
      </c>
      <c r="C165" s="62">
        <v>0</v>
      </c>
      <c r="D165" s="47"/>
      <c r="E165" s="47"/>
      <c r="F165" s="47"/>
      <c r="G165" s="51" t="str">
        <f>HYPERLINK("https://twitter.com/WHOAFRO/status/1239482557101674496","Source")</f>
        <v>Source</v>
      </c>
      <c r="H165" s="28"/>
      <c r="I165" s="28"/>
      <c r="J165" s="39"/>
      <c r="K165" s="39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 spans="1:24" ht="30" customHeight="1">
      <c r="A166" s="40" t="s">
        <v>291</v>
      </c>
      <c r="B166" s="62">
        <v>1</v>
      </c>
      <c r="C166" s="62">
        <v>0</v>
      </c>
      <c r="D166" s="47"/>
      <c r="E166" s="47"/>
      <c r="F166" s="47"/>
      <c r="G166" s="51" t="str">
        <f>HYPERLINK("https://news.trust.org/item/20200316134048-5il6b","Source")</f>
        <v>Source</v>
      </c>
      <c r="H166" s="28"/>
      <c r="I166" s="28"/>
      <c r="J166" s="39"/>
      <c r="K166" s="39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 spans="1:24" ht="30" customHeight="1">
      <c r="A167" s="40" t="s">
        <v>145</v>
      </c>
      <c r="B167" s="62">
        <v>1</v>
      </c>
      <c r="C167" s="62">
        <v>0</v>
      </c>
      <c r="D167" s="47"/>
      <c r="E167" s="47"/>
      <c r="F167" s="47"/>
      <c r="G167" s="51" t="str">
        <f>HYPERLINK("https://news.trust.org/item/20200314193058-yce0v","Source")</f>
        <v>Source</v>
      </c>
      <c r="H167" s="28"/>
      <c r="I167" s="28"/>
      <c r="J167" s="39"/>
      <c r="K167" s="39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 spans="1:24" ht="27.75" customHeight="1">
      <c r="A168" s="40" t="s">
        <v>147</v>
      </c>
      <c r="B168" s="62">
        <v>1</v>
      </c>
      <c r="C168" s="62">
        <v>0</v>
      </c>
      <c r="D168" s="47"/>
      <c r="E168" s="47"/>
      <c r="F168" s="47"/>
      <c r="G168" s="51" t="str">
        <f>HYPERLINK("https://news.trust.org/item/20200306140422-lxn7v","Source")</f>
        <v>Source</v>
      </c>
      <c r="H168" s="28"/>
      <c r="I168" s="28"/>
      <c r="J168" s="39"/>
      <c r="K168" s="39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 spans="1:24" ht="30" customHeight="1">
      <c r="A169" s="40" t="s">
        <v>148</v>
      </c>
      <c r="B169" s="62">
        <v>1</v>
      </c>
      <c r="C169" s="62">
        <v>0</v>
      </c>
      <c r="D169" s="47" t="s">
        <v>91</v>
      </c>
      <c r="E169" s="47" t="s">
        <v>91</v>
      </c>
      <c r="F169" s="47">
        <v>1</v>
      </c>
      <c r="G169" s="51" t="str">
        <f>HYPERLINK("https://www.bbc.com/nepali/news-51941471","Source")</f>
        <v>Source</v>
      </c>
      <c r="H169" s="28"/>
      <c r="I169" s="28"/>
      <c r="J169" s="39"/>
      <c r="K169" s="39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 spans="1:24" ht="27.75" customHeight="1">
      <c r="A170" s="40" t="s">
        <v>149</v>
      </c>
      <c r="B170" s="62">
        <v>1</v>
      </c>
      <c r="C170" s="62">
        <v>0</v>
      </c>
      <c r="D170" s="47"/>
      <c r="E170" s="47"/>
      <c r="F170" s="47"/>
      <c r="G170" s="51" t="str">
        <f>HYPERLINK("https://www.facebook.com/MoHBhutan/posts/2974352729292990","Source")</f>
        <v>Source</v>
      </c>
      <c r="H170" s="28"/>
      <c r="I170" s="28"/>
      <c r="J170" s="39"/>
      <c r="K170" s="39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 spans="1:24" ht="27.75" customHeight="1">
      <c r="A171" s="40" t="s">
        <v>150</v>
      </c>
      <c r="B171" s="62">
        <v>1</v>
      </c>
      <c r="C171" s="62">
        <v>0</v>
      </c>
      <c r="D171" s="47"/>
      <c r="E171" s="47"/>
      <c r="F171" s="47"/>
      <c r="G171" s="51" t="str">
        <f>HYPERLINK("https://news.trust.org/item/20200306084828-6r4o6","Source")</f>
        <v>Source</v>
      </c>
      <c r="H171" s="28"/>
      <c r="I171" s="28"/>
      <c r="J171" s="39"/>
      <c r="K171" s="39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 spans="1:24" ht="27.75" customHeight="1">
      <c r="A172" s="108" t="s">
        <v>151</v>
      </c>
      <c r="B172" s="109">
        <v>3130</v>
      </c>
      <c r="C172" s="109">
        <v>153</v>
      </c>
      <c r="D172" s="110"/>
      <c r="E172" s="110"/>
      <c r="F172" s="110"/>
      <c r="G172" s="111"/>
      <c r="H172" s="103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</row>
    <row r="173" spans="1:24" ht="30" customHeight="1">
      <c r="A173" s="112" t="s">
        <v>155</v>
      </c>
      <c r="B173" s="113">
        <f t="shared" ref="B173:C173" si="2">SUM(B7:B172)</f>
        <v>246722</v>
      </c>
      <c r="C173" s="114">
        <f t="shared" si="2"/>
        <v>10178</v>
      </c>
      <c r="D173" s="114">
        <f t="shared" ref="D173:F173" si="3">SUM(D7:D171)</f>
        <v>7013</v>
      </c>
      <c r="E173" s="115">
        <f t="shared" si="3"/>
        <v>222</v>
      </c>
      <c r="F173" s="116">
        <f t="shared" si="3"/>
        <v>86054</v>
      </c>
      <c r="G173" s="117"/>
      <c r="H173" s="28"/>
      <c r="I173" s="39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 spans="1:24" ht="30" customHeight="1">
      <c r="A174" s="112"/>
      <c r="B174" s="118"/>
      <c r="C174" s="115"/>
      <c r="D174" s="115"/>
      <c r="E174" s="115"/>
      <c r="F174" s="119"/>
      <c r="G174" s="117"/>
      <c r="H174" s="28"/>
      <c r="I174" s="39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</sheetData>
  <mergeCells count="6">
    <mergeCell ref="B3:C3"/>
    <mergeCell ref="D3:E3"/>
    <mergeCell ref="F3:G3"/>
    <mergeCell ref="B4:C4"/>
    <mergeCell ref="D4:E4"/>
    <mergeCell ref="F4:G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0"/>
  <sheetViews>
    <sheetView showGridLines="0" workbookViewId="0">
      <selection sqref="A1:F1"/>
    </sheetView>
  </sheetViews>
  <sheetFormatPr baseColWidth="10" defaultColWidth="14.5" defaultRowHeight="15.75" customHeight="1"/>
  <cols>
    <col min="1" max="1" width="18.5" customWidth="1"/>
    <col min="2" max="2" width="9.5" customWidth="1"/>
    <col min="3" max="3" width="8.5" customWidth="1"/>
    <col min="4" max="4" width="9.6640625" customWidth="1"/>
    <col min="5" max="5" width="8.6640625" customWidth="1"/>
    <col min="6" max="6" width="12.5" customWidth="1"/>
    <col min="7" max="7" width="14" customWidth="1"/>
    <col min="8" max="8" width="0.83203125" customWidth="1"/>
  </cols>
  <sheetData>
    <row r="1" spans="1:24" ht="27.75" customHeight="1">
      <c r="A1" s="127" t="s">
        <v>0</v>
      </c>
      <c r="B1" s="121"/>
      <c r="C1" s="121"/>
      <c r="D1" s="121"/>
      <c r="E1" s="121"/>
      <c r="F1" s="12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>
      <c r="A2" s="5" t="s">
        <v>1</v>
      </c>
      <c r="B2" s="120" t="s">
        <v>2</v>
      </c>
      <c r="C2" s="121"/>
      <c r="D2" s="122" t="s">
        <v>3</v>
      </c>
      <c r="E2" s="121"/>
      <c r="F2" s="9"/>
      <c r="G2" s="1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7">
      <c r="A3" s="14">
        <f t="shared" ref="A3:B3" si="0">SUM(B66, B67)</f>
        <v>14145</v>
      </c>
      <c r="B3" s="124">
        <f t="shared" si="0"/>
        <v>207</v>
      </c>
      <c r="C3" s="121"/>
      <c r="D3" s="125">
        <f>SUM(F66, F67)</f>
        <v>8</v>
      </c>
      <c r="E3" s="121"/>
      <c r="F3" s="9"/>
      <c r="G3" s="10"/>
      <c r="H3" s="20"/>
      <c r="I3" s="2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">
      <c r="A4" s="22"/>
      <c r="B4" s="10"/>
      <c r="C4" s="10"/>
      <c r="D4" s="9"/>
      <c r="E4" s="9"/>
      <c r="F4" s="9"/>
      <c r="G4" s="10"/>
      <c r="H4" s="20"/>
      <c r="I4" s="2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30" customHeight="1">
      <c r="A5" s="25" t="s">
        <v>24</v>
      </c>
      <c r="B5" s="26" t="s">
        <v>5</v>
      </c>
      <c r="C5" s="26" t="s">
        <v>6</v>
      </c>
      <c r="D5" s="27" t="s">
        <v>31</v>
      </c>
      <c r="E5" s="27" t="s">
        <v>34</v>
      </c>
      <c r="F5" s="27" t="s">
        <v>35</v>
      </c>
      <c r="G5" s="26" t="s">
        <v>36</v>
      </c>
      <c r="H5" s="28"/>
      <c r="I5" s="28"/>
      <c r="J5" s="29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30" customHeight="1">
      <c r="A6" s="32" t="s">
        <v>43</v>
      </c>
      <c r="B6" s="34">
        <v>5637</v>
      </c>
      <c r="C6" s="36">
        <v>36</v>
      </c>
      <c r="D6" s="38">
        <v>60</v>
      </c>
      <c r="E6" s="38"/>
      <c r="F6" s="38"/>
      <c r="G6" s="41" t="str">
        <f>HYPERLINK("https://www.nbcnewyork.com/news/local/how-many-in-tri-state-have-tested-positive-for-coronavirus-here-are-latest-cases-by-the-numbers/2317721/","Source")</f>
        <v>Source</v>
      </c>
      <c r="H6" s="43"/>
      <c r="I6" s="28"/>
      <c r="J6" s="3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ht="30" customHeight="1">
      <c r="A7" s="45" t="s">
        <v>88</v>
      </c>
      <c r="B7" s="46">
        <v>1376</v>
      </c>
      <c r="C7" s="48">
        <v>74</v>
      </c>
      <c r="D7" s="49"/>
      <c r="E7" s="49"/>
      <c r="F7" s="52">
        <v>1</v>
      </c>
      <c r="G7" s="54" t="str">
        <f>HYPERLINK("https://www.doh.wa.gov/Emergencies/Coronavirus","Source")</f>
        <v>Source</v>
      </c>
      <c r="H7" s="43"/>
      <c r="I7" s="28"/>
      <c r="J7" s="3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1:24" ht="30" customHeight="1">
      <c r="A8" s="55" t="s">
        <v>134</v>
      </c>
      <c r="B8" s="57">
        <v>958</v>
      </c>
      <c r="C8" s="58">
        <v>19</v>
      </c>
      <c r="D8" s="59"/>
      <c r="E8" s="59">
        <v>1</v>
      </c>
      <c r="F8" s="59">
        <v>1</v>
      </c>
      <c r="G8" s="60" t="str">
        <f>HYPERLINK("https://www.latimes.com/projects/california-coronavirus-cases-tracking-outbreak/","Source")</f>
        <v>Source</v>
      </c>
      <c r="H8" s="28"/>
      <c r="I8" s="28"/>
      <c r="J8" s="3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 ht="27.75" customHeight="1">
      <c r="A9" s="45" t="s">
        <v>152</v>
      </c>
      <c r="B9" s="46">
        <v>742</v>
      </c>
      <c r="C9" s="48">
        <v>9</v>
      </c>
      <c r="D9" s="52"/>
      <c r="E9" s="49"/>
      <c r="F9" s="49"/>
      <c r="G9" s="54" t="str">
        <f>HYPERLINK("https://www.nj.gov/health/cd/topics/covid2019_dashboard.shtml","Source")</f>
        <v>Source</v>
      </c>
      <c r="H9" s="43"/>
      <c r="I9" s="28"/>
      <c r="J9" s="3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27.75" customHeight="1">
      <c r="A10" s="45" t="s">
        <v>153</v>
      </c>
      <c r="B10" s="46">
        <v>392</v>
      </c>
      <c r="C10" s="48">
        <v>10</v>
      </c>
      <c r="D10" s="52"/>
      <c r="E10" s="49"/>
      <c r="F10" s="49"/>
      <c r="G10" s="54" t="str">
        <f>HYPERLINK("http://ldh.la.gov/coronavirus/","Source")</f>
        <v>Source</v>
      </c>
      <c r="H10" s="43"/>
      <c r="I10" s="39"/>
      <c r="J10" s="3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30" customHeight="1">
      <c r="A11" s="55" t="s">
        <v>154</v>
      </c>
      <c r="B11" s="58">
        <v>432</v>
      </c>
      <c r="C11" s="58">
        <v>9</v>
      </c>
      <c r="D11" s="59"/>
      <c r="E11" s="66"/>
      <c r="F11" s="66"/>
      <c r="G11" s="60" t="str">
        <f>HYPERLINK("https://floridahealthcovid19.gov/","Source")</f>
        <v>Source</v>
      </c>
      <c r="H11" s="43"/>
      <c r="I11" s="28"/>
      <c r="J11" s="3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27.75" customHeight="1">
      <c r="A12" s="45" t="s">
        <v>156</v>
      </c>
      <c r="B12" s="46">
        <v>422</v>
      </c>
      <c r="C12" s="48">
        <v>4</v>
      </c>
      <c r="D12" s="52"/>
      <c r="E12" s="52"/>
      <c r="F12" s="52">
        <v>2</v>
      </c>
      <c r="G12" s="54" t="str">
        <f>HYPERLINK("http://www.dph.illinois.gov/topics-services/diseases-and-conditions/diseases-a-z-list/coronavirus","Source")</f>
        <v>Source</v>
      </c>
      <c r="H12" s="43"/>
      <c r="I12" s="28"/>
      <c r="J12" s="3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27.75" customHeight="1">
      <c r="A13" s="45" t="s">
        <v>157</v>
      </c>
      <c r="B13" s="46">
        <v>334</v>
      </c>
      <c r="C13" s="48">
        <v>1</v>
      </c>
      <c r="D13" s="52"/>
      <c r="E13" s="49"/>
      <c r="F13" s="49"/>
      <c r="G13" s="54" t="str">
        <f>HYPERLINK("https://www.abc12.com/content/news/Michigan-coronavirus-cases-skyrocket-to-336-including-3-in-Mid-Michigan-568935281.html","Source")</f>
        <v>Source</v>
      </c>
      <c r="H13" s="72"/>
      <c r="I13" s="39"/>
      <c r="J13" s="3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27.75" customHeight="1">
      <c r="A14" s="45" t="s">
        <v>158</v>
      </c>
      <c r="B14" s="46">
        <v>328</v>
      </c>
      <c r="C14" s="48">
        <v>0</v>
      </c>
      <c r="D14" s="52"/>
      <c r="E14" s="49"/>
      <c r="F14" s="49"/>
      <c r="G14" s="54" t="str">
        <f>HYPERLINK("https://www.mass.gov/info-details/covid-19-cases-quarantine-and-monitoring#covid-19-cases-in-massachusetts-","Source")</f>
        <v>Source</v>
      </c>
      <c r="H14" s="43"/>
      <c r="I14" s="28"/>
      <c r="J14" s="3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27.75" customHeight="1">
      <c r="A15" s="45" t="s">
        <v>159</v>
      </c>
      <c r="B15" s="46">
        <v>277</v>
      </c>
      <c r="C15" s="48">
        <v>2</v>
      </c>
      <c r="D15" s="52"/>
      <c r="E15" s="49"/>
      <c r="F15" s="49"/>
      <c r="G15" s="54" t="str">
        <f>HYPERLINK("https://covid19.colorado.gov/data","Source")</f>
        <v>Source</v>
      </c>
      <c r="H15" s="43"/>
      <c r="I15" s="28"/>
      <c r="J15" s="39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pans="1:24" ht="30" customHeight="1">
      <c r="A16" s="55" t="s">
        <v>160</v>
      </c>
      <c r="B16" s="58">
        <v>200</v>
      </c>
      <c r="C16" s="58">
        <v>3</v>
      </c>
      <c r="D16" s="59"/>
      <c r="E16" s="59">
        <v>1</v>
      </c>
      <c r="F16" s="66"/>
      <c r="G16" s="60" t="str">
        <f>HYPERLINK("https://www.houstonchronicle.com/coronavirus/article/texas-coronavirus-map-cases-houston-covid-19-15137466.php","Source")</f>
        <v>Source</v>
      </c>
      <c r="H16" s="43"/>
      <c r="I16" s="28"/>
      <c r="J16" s="3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spans="1:24" ht="30" customHeight="1">
      <c r="A17" s="45" t="s">
        <v>86</v>
      </c>
      <c r="B17" s="46">
        <v>197</v>
      </c>
      <c r="C17" s="48">
        <v>4</v>
      </c>
      <c r="D17" s="52"/>
      <c r="E17" s="52"/>
      <c r="F17" s="49"/>
      <c r="G17" s="54" t="str">
        <f>HYPERLINK("https://wgxa.tv/news/coronavirus/georgias-coronavirus-deaths-rise-to-4","Source")</f>
        <v>Source</v>
      </c>
      <c r="H17" s="28"/>
      <c r="I17" s="28"/>
      <c r="J17" s="3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 ht="27.75" customHeight="1">
      <c r="A18" s="45" t="s">
        <v>161</v>
      </c>
      <c r="B18" s="46">
        <v>185</v>
      </c>
      <c r="C18" s="48">
        <v>1</v>
      </c>
      <c r="D18" s="52"/>
      <c r="E18" s="52">
        <v>1</v>
      </c>
      <c r="F18" s="49"/>
      <c r="G18" s="54" t="str">
        <f>HYPERLINK("https://www.health.pa.gov/topics/disease/coronavirus/Pages/Coronavirus.aspx","Source")</f>
        <v>Source</v>
      </c>
      <c r="H18" s="72"/>
      <c r="I18" s="39"/>
      <c r="J18" s="3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ht="27.75" customHeight="1">
      <c r="A19" s="45" t="s">
        <v>162</v>
      </c>
      <c r="B19" s="46">
        <v>159</v>
      </c>
      <c r="C19" s="48">
        <v>2</v>
      </c>
      <c r="D19" s="52"/>
      <c r="E19" s="49"/>
      <c r="F19" s="49"/>
      <c r="G19" s="54" t="str">
        <f>HYPERLINK("https://portal.ct.gov/Coronavirus","Source")</f>
        <v>Source</v>
      </c>
      <c r="H19" s="43"/>
      <c r="I19" s="39"/>
      <c r="J19" s="3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 ht="27.75" customHeight="1">
      <c r="A20" s="45" t="s">
        <v>163</v>
      </c>
      <c r="B20" s="46">
        <v>155</v>
      </c>
      <c r="C20" s="48">
        <v>2</v>
      </c>
      <c r="D20" s="52"/>
      <c r="E20" s="49"/>
      <c r="F20" s="52">
        <v>1</v>
      </c>
      <c r="G20" s="54" t="str">
        <f>HYPERLINK("https://www.channel3000.com/gov-evers-confirms-2-deaths-in-wisconsin-as-result-of-coronavirus/","Source")</f>
        <v>Source</v>
      </c>
      <c r="H20" s="43"/>
      <c r="I20" s="39"/>
      <c r="J20" s="3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spans="1:24" ht="27.75" customHeight="1">
      <c r="A21" s="45" t="s">
        <v>164</v>
      </c>
      <c r="B21" s="46">
        <v>154</v>
      </c>
      <c r="C21" s="48">
        <v>0</v>
      </c>
      <c r="D21" s="52"/>
      <c r="E21" s="49"/>
      <c r="F21" s="49"/>
      <c r="G21" s="54" t="str">
        <f>HYPERLINK("https://twitter.com/TNDeptofHealth/status/1240352296220983298","Source")</f>
        <v>Source</v>
      </c>
      <c r="H21" s="72"/>
      <c r="I21" s="39"/>
      <c r="J21" s="3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 ht="27.75" customHeight="1">
      <c r="A22" s="45" t="s">
        <v>166</v>
      </c>
      <c r="B22" s="46">
        <v>119</v>
      </c>
      <c r="C22" s="48">
        <v>0</v>
      </c>
      <c r="D22" s="52"/>
      <c r="E22" s="49"/>
      <c r="F22" s="49"/>
      <c r="G22" s="54" t="str">
        <f>HYPERLINK("https://coronavirus.ohio.gov/wps/portal/gov/covid-19/","Source")</f>
        <v>Source</v>
      </c>
      <c r="H22" s="72"/>
      <c r="I22" s="39"/>
      <c r="J22" s="3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pans="1:24" ht="27.75" customHeight="1">
      <c r="A23" s="45" t="s">
        <v>168</v>
      </c>
      <c r="B23" s="46">
        <v>107</v>
      </c>
      <c r="C23" s="48">
        <v>1</v>
      </c>
      <c r="D23" s="52"/>
      <c r="E23" s="52"/>
      <c r="F23" s="52">
        <v>0</v>
      </c>
      <c r="G23" s="54" t="str">
        <f>HYPERLINK("https://governor.maryland.gov/2020/03/18/governor-hogan-announces-first-coronavirus-death-in-maryland/","Source")</f>
        <v>Source</v>
      </c>
      <c r="H23" s="39"/>
      <c r="I23" s="39"/>
      <c r="J23" s="3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spans="1:24" ht="30" customHeight="1">
      <c r="A24" s="55" t="s">
        <v>169</v>
      </c>
      <c r="B24" s="57">
        <v>97</v>
      </c>
      <c r="C24" s="57">
        <v>0</v>
      </c>
      <c r="D24" s="75"/>
      <c r="E24" s="66"/>
      <c r="F24" s="66"/>
      <c r="G24" s="60" t="str">
        <f>HYPERLINK("https://myfox8.com/news/number-of-coronavirus-cases-in-north-carolina-now-at-92-u-s-number-tops-7000/","Source")</f>
        <v>Source</v>
      </c>
      <c r="H24" s="43"/>
      <c r="I24" s="28"/>
      <c r="J24" s="3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 ht="27.75" customHeight="1">
      <c r="A25" s="45" t="s">
        <v>171</v>
      </c>
      <c r="B25" s="46">
        <v>95</v>
      </c>
      <c r="C25" s="48">
        <v>1</v>
      </c>
      <c r="D25" s="52"/>
      <c r="E25" s="49"/>
      <c r="F25" s="49"/>
      <c r="G25" s="54" t="str">
        <f>HYPERLINK("https://thenevadaindependent.com/article/live-blog-no-more-coronavirus-cases-in-washoe-reported-as-health-officials-identify-test-close-contacts","Source")</f>
        <v>Source</v>
      </c>
      <c r="H25" s="72"/>
      <c r="I25" s="39"/>
      <c r="J25" s="3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 ht="30" customHeight="1">
      <c r="A26" s="55" t="s">
        <v>173</v>
      </c>
      <c r="B26" s="57">
        <v>94</v>
      </c>
      <c r="C26" s="57">
        <v>2</v>
      </c>
      <c r="D26" s="75"/>
      <c r="E26" s="66"/>
      <c r="F26" s="66"/>
      <c r="G26" s="60" t="str">
        <f>HYPERLINK("http://www.vdh.virginia.gov/coronavirus/","Source")</f>
        <v>Source</v>
      </c>
      <c r="H26" s="43"/>
      <c r="I26" s="28"/>
      <c r="J26" s="3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24" ht="30" customHeight="1">
      <c r="A27" s="55" t="s">
        <v>175</v>
      </c>
      <c r="B27" s="57">
        <v>89</v>
      </c>
      <c r="C27" s="57">
        <v>0</v>
      </c>
      <c r="D27" s="75"/>
      <c r="E27" s="59">
        <v>1</v>
      </c>
      <c r="F27" s="59"/>
      <c r="G27" s="60" t="str">
        <f>HYPERLINK("https://www.health.state.mn.us/diseases/coronavirus/situation.html","Source")</f>
        <v>Source</v>
      </c>
      <c r="H27" s="43"/>
      <c r="I27" s="28"/>
      <c r="J27" s="39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 ht="27.75" customHeight="1">
      <c r="A28" s="45" t="s">
        <v>176</v>
      </c>
      <c r="B28" s="46">
        <v>88</v>
      </c>
      <c r="C28" s="48">
        <v>3</v>
      </c>
      <c r="D28" s="52"/>
      <c r="E28" s="49"/>
      <c r="F28" s="49"/>
      <c r="G28" s="54" t="str">
        <f>HYPERLINK("https://www.kezi.com/content/news/Coronavirus-in-Oregon-75-cases-three-deaths-568901871.html","Source")</f>
        <v>Source</v>
      </c>
      <c r="H28" s="43"/>
      <c r="I28" s="28"/>
      <c r="J28" s="3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4" ht="30" customHeight="1">
      <c r="A29" s="55" t="s">
        <v>178</v>
      </c>
      <c r="B29" s="57">
        <v>81</v>
      </c>
      <c r="C29" s="57">
        <v>1</v>
      </c>
      <c r="D29" s="75"/>
      <c r="E29" s="66"/>
      <c r="F29" s="66"/>
      <c r="G29" s="60" t="str">
        <f>HYPERLINK("https://www.scdhec.gov/news-releases/dhec-announces-21-additional-cases-2019-novel-coronavirus-south-carolina","Source")</f>
        <v>Source</v>
      </c>
      <c r="H29" s="72"/>
      <c r="I29" s="39"/>
      <c r="J29" s="39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 ht="27.75" customHeight="1">
      <c r="A30" s="45" t="s">
        <v>180</v>
      </c>
      <c r="B30" s="46">
        <v>78</v>
      </c>
      <c r="C30" s="48">
        <v>0</v>
      </c>
      <c r="D30" s="52"/>
      <c r="E30" s="49"/>
      <c r="F30" s="49"/>
      <c r="G30" s="54" t="str">
        <f>HYPERLINK("http://alabamapublichealth.gov/infectiousdiseases/2019-coronavirus.html","Source")</f>
        <v>Source</v>
      </c>
      <c r="H30" s="72"/>
      <c r="I30" s="39"/>
      <c r="J30" s="3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 ht="30" customHeight="1">
      <c r="A31" s="55" t="s">
        <v>182</v>
      </c>
      <c r="B31" s="57">
        <v>78</v>
      </c>
      <c r="C31" s="57">
        <v>0</v>
      </c>
      <c r="D31" s="75"/>
      <c r="E31" s="66"/>
      <c r="F31" s="66"/>
      <c r="G31" s="60" t="str">
        <f>HYPERLINK("https://twitter.com/UtahCoronavirus/status/1240728592566214656","Source")</f>
        <v>Source</v>
      </c>
      <c r="H31" s="43"/>
      <c r="I31" s="28"/>
      <c r="J31" s="28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 ht="27.75" customHeight="1">
      <c r="A32" s="45" t="s">
        <v>185</v>
      </c>
      <c r="B32" s="46">
        <v>62</v>
      </c>
      <c r="C32" s="48">
        <v>0</v>
      </c>
      <c r="D32" s="52"/>
      <c r="E32" s="49"/>
      <c r="F32" s="49"/>
      <c r="G32" s="54" t="str">
        <f>HYPERLINK("https://www.healthy.arkansas.gov/programs-services/topics/novel-coronavirus","Source")</f>
        <v>Source</v>
      </c>
      <c r="H32" s="72"/>
      <c r="I32" s="39"/>
      <c r="J32" s="39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30" customHeight="1">
      <c r="A33" s="55" t="s">
        <v>186</v>
      </c>
      <c r="B33" s="57">
        <v>56</v>
      </c>
      <c r="C33" s="57">
        <v>2</v>
      </c>
      <c r="D33" s="75"/>
      <c r="E33" s="66"/>
      <c r="F33" s="66"/>
      <c r="G33" s="60" t="str">
        <f>HYPERLINK("https://www.in.gov/coronavirus/","Source")</f>
        <v>Source</v>
      </c>
      <c r="H33" s="39"/>
      <c r="I33" s="39"/>
      <c r="J33" s="39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27.75" customHeight="1">
      <c r="A34" s="45" t="s">
        <v>187</v>
      </c>
      <c r="B34" s="46">
        <v>53</v>
      </c>
      <c r="C34" s="48">
        <v>0</v>
      </c>
      <c r="D34" s="52"/>
      <c r="E34" s="49"/>
      <c r="F34" s="49"/>
      <c r="G34" s="54" t="str">
        <f>HYPERLINK("https://www.maine.gov/dhhs/mecdc/infectious-disease/epi/airborne/coronavirus.shtml","Source")</f>
        <v>Source</v>
      </c>
      <c r="H34" s="72"/>
      <c r="I34" s="39"/>
      <c r="J34" s="3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27.75" customHeight="1">
      <c r="A35" s="45" t="s">
        <v>188</v>
      </c>
      <c r="B35" s="46">
        <v>50</v>
      </c>
      <c r="C35" s="48">
        <v>1</v>
      </c>
      <c r="D35" s="52"/>
      <c r="E35" s="49"/>
      <c r="F35" s="49"/>
      <c r="G35" s="54" t="str">
        <f>HYPERLINK("https://msdh.ms.gov/msdhsite/_static/14,0,420.html","Source")</f>
        <v>Source</v>
      </c>
      <c r="H35" s="72"/>
      <c r="I35" s="39"/>
      <c r="J35" s="39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33" customHeight="1">
      <c r="A36" s="45" t="s">
        <v>189</v>
      </c>
      <c r="B36" s="46">
        <v>46</v>
      </c>
      <c r="C36" s="48">
        <v>0</v>
      </c>
      <c r="D36" s="52"/>
      <c r="E36" s="49"/>
      <c r="F36" s="52">
        <v>2</v>
      </c>
      <c r="G36" s="54" t="str">
        <f>HYPERLINK("https://www.cdc.gov/coronavirus/2019-ncov/cases-in-us.html","Source")</f>
        <v>Source</v>
      </c>
      <c r="H36" s="28"/>
      <c r="I36" s="28"/>
      <c r="J36" s="28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30" customHeight="1">
      <c r="A37" s="55" t="s">
        <v>190</v>
      </c>
      <c r="B37" s="57">
        <v>46</v>
      </c>
      <c r="C37" s="57">
        <v>1</v>
      </c>
      <c r="D37" s="75"/>
      <c r="E37" s="66"/>
      <c r="F37" s="66"/>
      <c r="G37" s="60" t="str">
        <f>HYPERLINK("https://coronavirus.health.ok.gov/","Source")</f>
        <v>Source</v>
      </c>
      <c r="H37" s="72"/>
      <c r="I37" s="39"/>
      <c r="J37" s="3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 ht="27.75" customHeight="1">
      <c r="A38" s="45" t="s">
        <v>191</v>
      </c>
      <c r="B38" s="46">
        <v>45</v>
      </c>
      <c r="C38" s="48">
        <v>0</v>
      </c>
      <c r="D38" s="52"/>
      <c r="E38" s="49"/>
      <c r="F38" s="49"/>
      <c r="G38" s="54" t="str">
        <f>HYPERLINK("https://www.nytimes.com/interactive/2020/us/coronavirus-us-cases.html?action=click&amp;module=Spotlight&amp;pgtype=Homepage","Source")</f>
        <v>Source</v>
      </c>
      <c r="H38" s="28"/>
      <c r="I38" s="28"/>
      <c r="J38" s="28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30" customHeight="1">
      <c r="A39" s="55" t="s">
        <v>192</v>
      </c>
      <c r="B39" s="57">
        <v>44</v>
      </c>
      <c r="C39" s="58">
        <v>0</v>
      </c>
      <c r="D39" s="59"/>
      <c r="E39" s="66"/>
      <c r="F39" s="66"/>
      <c r="G39" s="60" t="str">
        <f>HYPERLINK("https://www.nh.gov/covid19/","Source")</f>
        <v>Source</v>
      </c>
      <c r="H39" s="72"/>
      <c r="I39" s="39"/>
      <c r="J39" s="39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27.75" customHeight="1">
      <c r="A40" s="45" t="s">
        <v>193</v>
      </c>
      <c r="B40" s="46">
        <v>44</v>
      </c>
      <c r="C40" s="48">
        <v>0</v>
      </c>
      <c r="D40" s="52"/>
      <c r="E40" s="49"/>
      <c r="F40" s="49"/>
      <c r="G40" s="54" t="str">
        <f>HYPERLINK("https://idph.iowa.gov/Emerging-Health-Issues/Novel-Coronavirus","Source")</f>
        <v>Source</v>
      </c>
      <c r="H40" s="43"/>
      <c r="I40" s="39"/>
      <c r="J40" s="39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 ht="27.75" customHeight="1">
      <c r="A41" s="45" t="s">
        <v>194</v>
      </c>
      <c r="B41" s="46">
        <v>44</v>
      </c>
      <c r="C41" s="48">
        <v>0</v>
      </c>
      <c r="D41" s="52"/>
      <c r="E41" s="49"/>
      <c r="F41" s="49"/>
      <c r="G41" s="54" t="str">
        <f>HYPERLINK("https://twitter.com/TedNesi/status/1240713490882576389","Source")</f>
        <v>Source</v>
      </c>
      <c r="H41" s="72"/>
      <c r="I41" s="39"/>
      <c r="J41" s="3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ht="27.75" customHeight="1">
      <c r="A42" s="45" t="s">
        <v>195</v>
      </c>
      <c r="B42" s="46">
        <v>40</v>
      </c>
      <c r="C42" s="48">
        <v>1</v>
      </c>
      <c r="D42" s="52"/>
      <c r="E42" s="49"/>
      <c r="F42" s="49"/>
      <c r="G42" s="54" t="str">
        <f>HYPERLINK("https://govstatus.egov.com/kycovid19","Source")</f>
        <v>Source</v>
      </c>
      <c r="H42" s="72"/>
      <c r="I42" s="39"/>
      <c r="J42" s="39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 ht="27.75" customHeight="1">
      <c r="A43" s="45" t="s">
        <v>196</v>
      </c>
      <c r="B43" s="46">
        <v>39</v>
      </c>
      <c r="C43" s="48">
        <v>0</v>
      </c>
      <c r="D43" s="52"/>
      <c r="E43" s="49"/>
      <c r="F43" s="49"/>
      <c r="G43" s="54" t="str">
        <f>HYPERLINK("https://twitter.com/MayorBowser/status/1240057350884667392","Source")</f>
        <v>Source</v>
      </c>
      <c r="H43" s="28"/>
      <c r="I43" s="28"/>
      <c r="J43" s="28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 spans="1:24" ht="27.75" customHeight="1">
      <c r="A44" s="45" t="s">
        <v>197</v>
      </c>
      <c r="B44" s="46">
        <v>35</v>
      </c>
      <c r="C44" s="48">
        <v>0</v>
      </c>
      <c r="D44" s="52"/>
      <c r="E44" s="49"/>
      <c r="F44" s="49"/>
      <c r="G44" s="54" t="str">
        <f>HYPERLINK("https://cv.nmhealth.org/","Source")</f>
        <v>Source</v>
      </c>
      <c r="H44" s="72"/>
      <c r="I44" s="39"/>
      <c r="J44" s="39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24" ht="30" customHeight="1">
      <c r="A45" s="55" t="s">
        <v>198</v>
      </c>
      <c r="B45" s="57">
        <v>34</v>
      </c>
      <c r="C45" s="57">
        <v>1</v>
      </c>
      <c r="D45" s="75"/>
      <c r="E45" s="66"/>
      <c r="F45" s="66"/>
      <c r="G45" s="60" t="str">
        <f>HYPERLINK("https://govstatus.egov.com/coronavirus","Source")</f>
        <v>Source</v>
      </c>
      <c r="H45" s="72"/>
      <c r="I45" s="39"/>
      <c r="J45" s="3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ht="27.75" customHeight="1">
      <c r="A46" s="45" t="s">
        <v>199</v>
      </c>
      <c r="B46" s="46">
        <v>30</v>
      </c>
      <c r="C46" s="48">
        <v>0</v>
      </c>
      <c r="D46" s="52"/>
      <c r="E46" s="49"/>
      <c r="F46" s="49"/>
      <c r="G46" s="54" t="str">
        <f>HYPERLINK("https://dhss.delaware.gov/dhss/dph/epi/2019novelcoronavirus.html","Source")</f>
        <v>Source</v>
      </c>
      <c r="H46" s="72"/>
      <c r="I46" s="39"/>
      <c r="J46" s="3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 ht="27.75" customHeight="1">
      <c r="A47" s="45" t="s">
        <v>200</v>
      </c>
      <c r="B47" s="46">
        <v>28</v>
      </c>
      <c r="C47" s="48">
        <v>0</v>
      </c>
      <c r="D47" s="52"/>
      <c r="E47" s="49"/>
      <c r="F47" s="52">
        <v>1</v>
      </c>
      <c r="G47" s="54" t="str">
        <f>HYPERLINK("https://twitter.com/ktarpetersamore/status/1240394893777948672","Source")</f>
        <v>Source</v>
      </c>
      <c r="H47" s="28"/>
      <c r="I47" s="28"/>
      <c r="J47" s="28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 ht="27.75" customHeight="1">
      <c r="A48" s="45" t="s">
        <v>201</v>
      </c>
      <c r="B48" s="46">
        <v>26</v>
      </c>
      <c r="C48" s="48">
        <v>0</v>
      </c>
      <c r="D48" s="52"/>
      <c r="E48" s="49"/>
      <c r="F48" s="49"/>
      <c r="G48" s="54" t="str">
        <f>HYPERLINK("https://www.staradvertiser.com/2020/03/19/breaking-news/three-more-cases-of-coronavirus-confirmed-hawaii-health-officials-say/","Source")</f>
        <v>Source</v>
      </c>
      <c r="H48" s="72"/>
      <c r="I48" s="39"/>
      <c r="J48" s="3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spans="1:24" ht="30" customHeight="1">
      <c r="A49" s="55" t="s">
        <v>202</v>
      </c>
      <c r="B49" s="57">
        <v>24</v>
      </c>
      <c r="C49" s="57">
        <v>1</v>
      </c>
      <c r="D49" s="75"/>
      <c r="E49" s="66"/>
      <c r="F49" s="66"/>
      <c r="G49" s="60" t="str">
        <f>HYPERLINK("https://health.mo.gov/living/healthcondiseases/communicable/novel-coronavirus/","Source")</f>
        <v>Source</v>
      </c>
      <c r="H49" s="28"/>
      <c r="I49" s="28"/>
      <c r="J49" s="28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 ht="27.75" customHeight="1">
      <c r="A50" s="45" t="s">
        <v>204</v>
      </c>
      <c r="B50" s="46">
        <v>23</v>
      </c>
      <c r="C50" s="48">
        <v>0</v>
      </c>
      <c r="D50" s="52"/>
      <c r="E50" s="49"/>
      <c r="F50" s="49"/>
      <c r="G50" s="54" t="str">
        <f>HYPERLINK("https://twitter.com/IdahoCOVID19/status/1240785367172698112","Source")</f>
        <v>Source</v>
      </c>
      <c r="H50" s="72"/>
      <c r="I50" s="39"/>
      <c r="J50" s="39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spans="1:24" ht="30" customHeight="1">
      <c r="A51" s="55" t="s">
        <v>206</v>
      </c>
      <c r="B51" s="57">
        <v>22</v>
      </c>
      <c r="C51" s="57">
        <v>2</v>
      </c>
      <c r="D51" s="75"/>
      <c r="E51" s="66"/>
      <c r="F51" s="66"/>
      <c r="G51" s="60" t="str">
        <f>HYPERLINK("https://www.necn.com/news/local/vt-nonprofits-offering-at-home-learning-during-covid-19-closures/2248237/","Source")</f>
        <v>Source</v>
      </c>
      <c r="H51" s="43"/>
      <c r="I51" s="39"/>
      <c r="J51" s="39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spans="1:24" ht="27.75" customHeight="1">
      <c r="A52" s="45" t="s">
        <v>208</v>
      </c>
      <c r="B52" s="46">
        <v>21</v>
      </c>
      <c r="C52" s="48">
        <v>0</v>
      </c>
      <c r="D52" s="52"/>
      <c r="E52" s="49"/>
      <c r="F52" s="49"/>
      <c r="G52" s="54" t="str">
        <f>HYPERLINK("https://www.youtube.com/watch?v=pAsq7-_3XTI","Source")</f>
        <v>Source</v>
      </c>
      <c r="H52" s="28"/>
      <c r="I52" s="28"/>
      <c r="J52" s="28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spans="1:24" ht="27.75" customHeight="1">
      <c r="A53" s="45" t="s">
        <v>209</v>
      </c>
      <c r="B53" s="46">
        <v>18</v>
      </c>
      <c r="C53" s="48">
        <v>0</v>
      </c>
      <c r="D53" s="52"/>
      <c r="E53" s="49"/>
      <c r="F53" s="49"/>
      <c r="G53" s="54" t="str">
        <f>HYPERLINK("https://health.wyo.gov/wyomings-coronavirus-case-count-goes-up/","Source")</f>
        <v>Source</v>
      </c>
      <c r="H53" s="28"/>
      <c r="I53" s="28"/>
      <c r="J53" s="28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spans="1:24" ht="27.75" customHeight="1">
      <c r="A54" s="45" t="s">
        <v>211</v>
      </c>
      <c r="B54" s="46">
        <v>14</v>
      </c>
      <c r="C54" s="48">
        <v>1</v>
      </c>
      <c r="D54" s="52"/>
      <c r="E54" s="49"/>
      <c r="F54" s="49"/>
      <c r="G54" s="54" t="str">
        <f>HYPERLINK("https://doh.sd.gov/news/coronavirus.aspx","Source")</f>
        <v>Source</v>
      </c>
      <c r="H54" s="72"/>
      <c r="I54" s="39"/>
      <c r="J54" s="39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spans="1:24" ht="27.75" customHeight="1">
      <c r="A55" s="45" t="s">
        <v>213</v>
      </c>
      <c r="B55" s="46">
        <v>12</v>
      </c>
      <c r="C55" s="48">
        <v>0</v>
      </c>
      <c r="D55" s="52"/>
      <c r="E55" s="49"/>
      <c r="F55" s="49"/>
      <c r="G55" s="54" t="str">
        <f>HYPERLINK("https://nbcmontana.com/news/coronavirus/2-more-cases-of-coronavirus-confirmed-in-montana","Source")</f>
        <v>Source</v>
      </c>
      <c r="H55" s="28"/>
      <c r="I55" s="28"/>
      <c r="J55" s="28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 ht="27.75" customHeight="1">
      <c r="A56" s="45" t="s">
        <v>215</v>
      </c>
      <c r="B56" s="46">
        <v>12</v>
      </c>
      <c r="C56" s="48">
        <v>0</v>
      </c>
      <c r="D56" s="52"/>
      <c r="E56" s="49"/>
      <c r="F56" s="49"/>
      <c r="G56" s="54" t="str">
        <f>HYPERLINK("https://bnonews.com/wp-content/uploads/2020/03/3192020Cases.pdf","Source")</f>
        <v>Source</v>
      </c>
      <c r="H56" s="72"/>
      <c r="I56" s="39"/>
      <c r="J56" s="3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 ht="27.75" customHeight="1">
      <c r="A57" s="45" t="s">
        <v>217</v>
      </c>
      <c r="B57" s="46">
        <v>7</v>
      </c>
      <c r="C57" s="48">
        <v>0</v>
      </c>
      <c r="D57" s="52"/>
      <c r="E57" s="49"/>
      <c r="F57" s="49"/>
      <c r="G57" s="54" t="str">
        <f>HYPERLINK("https://www.health.nd.gov/diseases-conditions/coronavirus/north-dakota-coronavirus-cases","Source")</f>
        <v>Source</v>
      </c>
      <c r="H57" s="28"/>
      <c r="I57" s="28"/>
      <c r="J57" s="28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ht="27.75" customHeight="1">
      <c r="A58" s="45" t="s">
        <v>219</v>
      </c>
      <c r="B58" s="46">
        <v>6</v>
      </c>
      <c r="C58" s="48">
        <v>0</v>
      </c>
      <c r="D58" s="52"/>
      <c r="E58" s="49"/>
      <c r="F58" s="49"/>
      <c r="G58" s="54" t="str">
        <f>HYPERLINK("http://dhss.alaska.gov/dph/Epi/id/Pages/COVID-19/default.aspx","Source")</f>
        <v>Source</v>
      </c>
      <c r="H58" s="28"/>
      <c r="I58" s="28"/>
      <c r="J58" s="28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 ht="27.75" customHeight="1">
      <c r="A59" s="45" t="s">
        <v>220</v>
      </c>
      <c r="B59" s="46">
        <v>5</v>
      </c>
      <c r="C59" s="48">
        <v>0</v>
      </c>
      <c r="D59" s="52"/>
      <c r="E59" s="49"/>
      <c r="F59" s="49"/>
      <c r="G59" s="54" t="str">
        <f>HYPERLINK("https://twitter.com/DeptSaludPR/status/1239581678860939267","Source")</f>
        <v>Source</v>
      </c>
      <c r="H59" s="28"/>
      <c r="I59" s="28"/>
      <c r="J59" s="28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 ht="27.75" customHeight="1">
      <c r="A60" s="45" t="s">
        <v>222</v>
      </c>
      <c r="B60" s="46">
        <v>3</v>
      </c>
      <c r="C60" s="48">
        <v>0</v>
      </c>
      <c r="D60" s="52"/>
      <c r="E60" s="49"/>
      <c r="F60" s="49"/>
      <c r="G60" s="94"/>
      <c r="H60" s="28"/>
      <c r="I60" s="28"/>
      <c r="J60" s="28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 ht="27.75" customHeight="1">
      <c r="A61" s="45" t="s">
        <v>224</v>
      </c>
      <c r="B61" s="46">
        <v>3</v>
      </c>
      <c r="C61" s="48">
        <v>0</v>
      </c>
      <c r="D61" s="52"/>
      <c r="E61" s="49"/>
      <c r="F61" s="49"/>
      <c r="G61" s="54" t="str">
        <f>HYPERLINK("https://doh.vi.gov/news/health-department-announces-third-confirmed-covid-19-case","Source")</f>
        <v>Source</v>
      </c>
      <c r="H61" s="28"/>
      <c r="I61" s="28"/>
      <c r="J61" s="28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 spans="1:24" ht="27.75" customHeight="1">
      <c r="A62" s="45" t="s">
        <v>226</v>
      </c>
      <c r="B62" s="46">
        <v>2</v>
      </c>
      <c r="C62" s="48">
        <v>0</v>
      </c>
      <c r="D62" s="52"/>
      <c r="E62" s="49"/>
      <c r="F62" s="49"/>
      <c r="G62" s="54" t="str">
        <f>HYPERLINK("https://www.youtube.com/watch?v=XnDZGccKTaw","Source")</f>
        <v>Source</v>
      </c>
      <c r="H62" s="28"/>
      <c r="I62" s="28"/>
      <c r="J62" s="28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 spans="1:24" ht="27.75" customHeight="1">
      <c r="A63" s="45" t="s">
        <v>228</v>
      </c>
      <c r="B63" s="46">
        <v>0</v>
      </c>
      <c r="C63" s="48">
        <v>0</v>
      </c>
      <c r="D63" s="52"/>
      <c r="E63" s="49"/>
      <c r="F63" s="49"/>
      <c r="G63" s="96"/>
      <c r="H63" s="28"/>
      <c r="I63" s="28"/>
      <c r="J63" s="28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 spans="1:24" ht="27.75" customHeight="1">
      <c r="A64" s="45" t="s">
        <v>231</v>
      </c>
      <c r="B64" s="46">
        <v>0</v>
      </c>
      <c r="C64" s="48">
        <v>0</v>
      </c>
      <c r="D64" s="52"/>
      <c r="E64" s="49"/>
      <c r="F64" s="49"/>
      <c r="G64" s="96"/>
      <c r="H64" s="28"/>
      <c r="I64" s="28"/>
      <c r="J64" s="28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 spans="1:24" ht="27.75" customHeight="1">
      <c r="A65" s="97"/>
      <c r="B65" s="98">
        <v>377</v>
      </c>
      <c r="C65" s="99">
        <v>13</v>
      </c>
      <c r="D65" s="100"/>
      <c r="E65" s="101"/>
      <c r="F65" s="101"/>
      <c r="G65" s="102"/>
      <c r="H65" s="103"/>
      <c r="I65" s="103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</row>
    <row r="66" spans="1:24" ht="30" customHeight="1">
      <c r="A66" s="81" t="s">
        <v>232</v>
      </c>
      <c r="B66" s="82">
        <f t="shared" ref="B66:C66" si="1">SUM(B6:B65)</f>
        <v>14145</v>
      </c>
      <c r="C66" s="82">
        <f t="shared" si="1"/>
        <v>207</v>
      </c>
      <c r="D66" s="82">
        <f t="shared" ref="D66:F66" si="2">SUM(D6:D64)</f>
        <v>60</v>
      </c>
      <c r="E66" s="82">
        <f t="shared" si="2"/>
        <v>4</v>
      </c>
      <c r="F66" s="82">
        <f t="shared" si="2"/>
        <v>8</v>
      </c>
      <c r="G66" s="83"/>
      <c r="H66" s="28"/>
      <c r="I66" s="28"/>
      <c r="J66" s="39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1:24" ht="15">
      <c r="A67" s="81"/>
      <c r="B67" s="84"/>
      <c r="C67" s="84"/>
      <c r="D67" s="84"/>
      <c r="E67" s="84"/>
      <c r="F67" s="84"/>
      <c r="G67" s="83"/>
      <c r="H67" s="20"/>
      <c r="I67" s="20"/>
      <c r="J67" s="2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">
      <c r="A68" s="87"/>
      <c r="B68" s="88"/>
      <c r="C68" s="89"/>
      <c r="D68" s="89"/>
      <c r="E68" s="89"/>
      <c r="F68" s="89"/>
      <c r="G68" s="3"/>
      <c r="H68" s="20"/>
      <c r="I68" s="20"/>
      <c r="J68" s="2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4">
      <c r="A69" s="90"/>
      <c r="B69" s="89"/>
      <c r="C69" s="89"/>
      <c r="D69" s="89"/>
      <c r="E69" s="89"/>
      <c r="F69" s="89"/>
      <c r="G69" s="3"/>
      <c r="H69" s="20"/>
      <c r="I69" s="20"/>
      <c r="J69" s="20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4">
      <c r="A70" s="90"/>
      <c r="B70" s="89"/>
      <c r="C70" s="89"/>
      <c r="D70" s="89"/>
      <c r="E70" s="89"/>
      <c r="F70" s="8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</sheetData>
  <mergeCells count="5">
    <mergeCell ref="A1:F1"/>
    <mergeCell ref="B2:C2"/>
    <mergeCell ref="D2:E2"/>
    <mergeCell ref="B3:C3"/>
    <mergeCell ref="D3:E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43"/>
  <sheetViews>
    <sheetView workbookViewId="0"/>
  </sheetViews>
  <sheetFormatPr baseColWidth="10" defaultColWidth="14.5" defaultRowHeight="15.75" customHeight="1"/>
  <cols>
    <col min="1" max="1" width="21.6640625" customWidth="1"/>
  </cols>
  <sheetData>
    <row r="1" spans="1:3">
      <c r="A1" s="1"/>
      <c r="B1" s="4"/>
      <c r="C1" s="4"/>
    </row>
    <row r="2" spans="1:3" ht="15.75" customHeight="1">
      <c r="A2" s="4"/>
      <c r="B2" s="4"/>
      <c r="C2" s="4"/>
    </row>
    <row r="3" spans="1:3" ht="15.75" customHeight="1">
      <c r="A3" s="6"/>
      <c r="B3" s="4"/>
      <c r="C3" s="4"/>
    </row>
    <row r="4" spans="1:3">
      <c r="A4" s="8"/>
      <c r="B4" s="4"/>
      <c r="C4" s="4"/>
    </row>
    <row r="5" spans="1:3" ht="15.75" customHeight="1">
      <c r="A5" s="4"/>
      <c r="B5" s="4"/>
      <c r="C5" s="4"/>
    </row>
    <row r="6" spans="1:3">
      <c r="A6" s="11" t="s">
        <v>4</v>
      </c>
      <c r="B6" s="12" t="s">
        <v>5</v>
      </c>
      <c r="C6" s="12" t="s">
        <v>6</v>
      </c>
    </row>
    <row r="7" spans="1:3">
      <c r="A7" s="13" t="s">
        <v>7</v>
      </c>
      <c r="B7" s="15">
        <v>81860</v>
      </c>
      <c r="C7" s="15">
        <v>3213</v>
      </c>
    </row>
    <row r="8" spans="1:3">
      <c r="A8" s="17" t="s">
        <v>9</v>
      </c>
      <c r="B8" s="18">
        <v>29980</v>
      </c>
      <c r="C8" s="18">
        <v>2158</v>
      </c>
    </row>
    <row r="9" spans="1:3">
      <c r="A9" s="13" t="s">
        <v>10</v>
      </c>
      <c r="B9" s="15">
        <v>14991</v>
      </c>
      <c r="C9" s="19">
        <v>853</v>
      </c>
    </row>
    <row r="10" spans="1:3">
      <c r="A10" s="17" t="s">
        <v>11</v>
      </c>
      <c r="B10" s="18">
        <v>9942</v>
      </c>
      <c r="C10" s="21">
        <v>342</v>
      </c>
    </row>
    <row r="11" spans="1:3">
      <c r="A11" s="13" t="s">
        <v>12</v>
      </c>
      <c r="B11" s="15">
        <v>8236</v>
      </c>
      <c r="C11" s="19">
        <v>75</v>
      </c>
    </row>
    <row r="12" spans="1:3">
      <c r="A12" s="17" t="s">
        <v>13</v>
      </c>
      <c r="B12" s="18">
        <v>7272</v>
      </c>
      <c r="C12" s="21">
        <v>17</v>
      </c>
    </row>
    <row r="13" spans="1:3">
      <c r="A13" s="13" t="s">
        <v>14</v>
      </c>
      <c r="B13" s="15">
        <v>6653</v>
      </c>
      <c r="C13" s="19">
        <v>148</v>
      </c>
    </row>
    <row r="14" spans="1:3">
      <c r="A14" s="17" t="s">
        <v>15</v>
      </c>
      <c r="B14" s="18">
        <v>4525</v>
      </c>
      <c r="C14" s="21">
        <v>81</v>
      </c>
    </row>
    <row r="15" spans="1:3">
      <c r="A15" s="13" t="s">
        <v>16</v>
      </c>
      <c r="B15" s="15">
        <v>2200</v>
      </c>
      <c r="C15" s="19">
        <v>14</v>
      </c>
    </row>
    <row r="16" spans="1:3">
      <c r="A16" s="17" t="s">
        <v>17</v>
      </c>
      <c r="B16" s="18">
        <v>1543</v>
      </c>
      <c r="C16" s="21">
        <v>55</v>
      </c>
    </row>
    <row r="17" spans="1:3">
      <c r="A17" s="13" t="s">
        <v>18</v>
      </c>
      <c r="B17" s="15">
        <v>1413</v>
      </c>
      <c r="C17" s="19">
        <v>24</v>
      </c>
    </row>
    <row r="18" spans="1:3">
      <c r="A18" s="17" t="s">
        <v>19</v>
      </c>
      <c r="B18" s="18">
        <v>1256</v>
      </c>
      <c r="C18" s="21">
        <v>3</v>
      </c>
    </row>
    <row r="19" spans="1:3">
      <c r="A19" s="13" t="s">
        <v>20</v>
      </c>
      <c r="B19" s="15">
        <v>1085</v>
      </c>
      <c r="C19" s="19">
        <v>5</v>
      </c>
    </row>
    <row r="20" spans="1:3">
      <c r="A20" s="17" t="s">
        <v>21</v>
      </c>
      <c r="B20" s="18">
        <v>1032</v>
      </c>
      <c r="C20" s="21">
        <v>3</v>
      </c>
    </row>
    <row r="21" spans="1:3">
      <c r="A21" s="13" t="s">
        <v>22</v>
      </c>
      <c r="B21" s="19">
        <v>959</v>
      </c>
      <c r="C21" s="19">
        <v>1</v>
      </c>
    </row>
    <row r="22" spans="1:3">
      <c r="A22" s="17" t="s">
        <v>23</v>
      </c>
      <c r="B22" s="21">
        <v>932</v>
      </c>
      <c r="C22" s="21">
        <v>1</v>
      </c>
    </row>
    <row r="23" spans="1:3">
      <c r="A23" s="13" t="s">
        <v>25</v>
      </c>
      <c r="B23" s="19">
        <v>818</v>
      </c>
      <c r="C23" s="19">
        <v>24</v>
      </c>
    </row>
    <row r="24" spans="1:3">
      <c r="A24" s="17" t="s">
        <v>26</v>
      </c>
      <c r="B24" s="21">
        <v>697</v>
      </c>
      <c r="C24" s="21">
        <v>7</v>
      </c>
    </row>
    <row r="25" spans="1:3">
      <c r="A25" s="13" t="s">
        <v>27</v>
      </c>
      <c r="B25" s="19">
        <v>553</v>
      </c>
      <c r="C25" s="19">
        <v>0</v>
      </c>
    </row>
    <row r="26" spans="1:3">
      <c r="A26" s="17" t="s">
        <v>28</v>
      </c>
      <c r="B26" s="21">
        <v>401</v>
      </c>
      <c r="C26" s="21">
        <v>0</v>
      </c>
    </row>
    <row r="27" spans="1:3">
      <c r="A27" s="13" t="s">
        <v>29</v>
      </c>
      <c r="B27" s="19">
        <v>373</v>
      </c>
      <c r="C27" s="19">
        <v>4</v>
      </c>
    </row>
    <row r="28" spans="1:3">
      <c r="A28" s="17" t="s">
        <v>30</v>
      </c>
      <c r="B28" s="21">
        <v>383</v>
      </c>
      <c r="C28" s="21">
        <v>5</v>
      </c>
    </row>
    <row r="29" spans="1:3">
      <c r="A29" s="13" t="s">
        <v>32</v>
      </c>
      <c r="B29" s="19">
        <v>331</v>
      </c>
      <c r="C29" s="19">
        <v>4</v>
      </c>
    </row>
    <row r="30" spans="1:3">
      <c r="A30" s="17" t="s">
        <v>33</v>
      </c>
      <c r="B30" s="21">
        <v>331</v>
      </c>
      <c r="C30" s="21">
        <v>1</v>
      </c>
    </row>
    <row r="31" spans="1:3">
      <c r="A31" s="13" t="s">
        <v>37</v>
      </c>
      <c r="B31" s="19">
        <v>298</v>
      </c>
      <c r="C31" s="19">
        <v>0</v>
      </c>
    </row>
    <row r="32" spans="1:3">
      <c r="A32" s="17" t="s">
        <v>38</v>
      </c>
      <c r="B32" s="21">
        <v>277</v>
      </c>
      <c r="C32" s="21">
        <v>0</v>
      </c>
    </row>
    <row r="33" spans="1:3">
      <c r="A33" s="13" t="s">
        <v>39</v>
      </c>
      <c r="B33" s="19">
        <v>272</v>
      </c>
      <c r="C33" s="19">
        <v>0</v>
      </c>
    </row>
    <row r="34" spans="1:3">
      <c r="A34" s="17" t="s">
        <v>40</v>
      </c>
      <c r="B34" s="21">
        <v>234</v>
      </c>
      <c r="C34" s="21">
        <v>0</v>
      </c>
    </row>
    <row r="35" spans="1:3">
      <c r="A35" s="13" t="s">
        <v>41</v>
      </c>
      <c r="B35" s="19">
        <v>226</v>
      </c>
      <c r="C35" s="19">
        <v>0</v>
      </c>
    </row>
    <row r="36" spans="1:3">
      <c r="A36" s="17" t="s">
        <v>42</v>
      </c>
      <c r="B36" s="21">
        <v>223</v>
      </c>
      <c r="C36" s="21">
        <v>2</v>
      </c>
    </row>
    <row r="37" spans="1:3">
      <c r="A37" s="13" t="s">
        <v>44</v>
      </c>
      <c r="B37" s="19">
        <v>221</v>
      </c>
      <c r="C37" s="19">
        <v>1</v>
      </c>
    </row>
    <row r="38" spans="1:3">
      <c r="A38" s="17" t="s">
        <v>45</v>
      </c>
      <c r="B38" s="21">
        <v>219</v>
      </c>
      <c r="C38" s="21">
        <v>1</v>
      </c>
    </row>
    <row r="39" spans="1:3">
      <c r="A39" s="13" t="s">
        <v>46</v>
      </c>
      <c r="B39" s="19">
        <v>180</v>
      </c>
      <c r="C39" s="19">
        <v>0</v>
      </c>
    </row>
    <row r="40" spans="1:3">
      <c r="A40" s="17" t="s">
        <v>47</v>
      </c>
      <c r="B40" s="21">
        <v>179</v>
      </c>
      <c r="C40" s="21">
        <v>0</v>
      </c>
    </row>
    <row r="41" spans="1:3">
      <c r="A41" s="13" t="s">
        <v>48</v>
      </c>
      <c r="B41" s="19">
        <v>177</v>
      </c>
      <c r="C41" s="19">
        <v>4</v>
      </c>
    </row>
    <row r="42" spans="1:3">
      <c r="A42" s="17" t="s">
        <v>49</v>
      </c>
      <c r="B42" s="21">
        <v>171</v>
      </c>
      <c r="C42" s="21">
        <v>0</v>
      </c>
    </row>
    <row r="43" spans="1:3">
      <c r="A43" s="13" t="s">
        <v>50</v>
      </c>
      <c r="B43" s="19">
        <v>168</v>
      </c>
      <c r="C43" s="19">
        <v>0</v>
      </c>
    </row>
    <row r="44" spans="1:3">
      <c r="A44" s="17" t="s">
        <v>51</v>
      </c>
      <c r="B44" s="21">
        <v>166</v>
      </c>
      <c r="C44" s="21">
        <v>4</v>
      </c>
    </row>
    <row r="45" spans="1:3">
      <c r="A45" s="13" t="s">
        <v>52</v>
      </c>
      <c r="B45" s="19">
        <v>156</v>
      </c>
      <c r="C45" s="19">
        <v>0</v>
      </c>
    </row>
    <row r="46" spans="1:3">
      <c r="A46" s="17" t="s">
        <v>53</v>
      </c>
      <c r="B46" s="21">
        <v>149</v>
      </c>
      <c r="C46" s="21">
        <v>4</v>
      </c>
    </row>
    <row r="47" spans="1:3">
      <c r="A47" s="13" t="s">
        <v>54</v>
      </c>
      <c r="B47" s="19">
        <v>147</v>
      </c>
      <c r="C47" s="19">
        <v>1</v>
      </c>
    </row>
    <row r="48" spans="1:3">
      <c r="A48" s="17" t="s">
        <v>55</v>
      </c>
      <c r="B48" s="21">
        <v>142</v>
      </c>
      <c r="C48" s="21">
        <v>12</v>
      </c>
    </row>
    <row r="49" spans="1:3">
      <c r="A49" s="13" t="s">
        <v>56</v>
      </c>
      <c r="B49" s="19">
        <v>134</v>
      </c>
      <c r="C49" s="19">
        <v>5</v>
      </c>
    </row>
    <row r="50" spans="1:3">
      <c r="A50" s="17" t="s">
        <v>57</v>
      </c>
      <c r="B50" s="21">
        <v>133</v>
      </c>
      <c r="C50" s="21">
        <v>0</v>
      </c>
    </row>
    <row r="51" spans="1:3">
      <c r="A51" s="13" t="s">
        <v>58</v>
      </c>
      <c r="B51" s="19">
        <v>133</v>
      </c>
      <c r="C51" s="19">
        <v>10</v>
      </c>
    </row>
    <row r="52" spans="1:3">
      <c r="A52" s="17" t="s">
        <v>59</v>
      </c>
      <c r="B52" s="21">
        <v>130</v>
      </c>
      <c r="C52" s="21">
        <v>2</v>
      </c>
    </row>
    <row r="53" spans="1:3">
      <c r="A53" s="13" t="s">
        <v>60</v>
      </c>
      <c r="B53" s="19">
        <v>112</v>
      </c>
      <c r="C53" s="19">
        <v>0</v>
      </c>
    </row>
    <row r="54" spans="1:3">
      <c r="A54" s="17" t="s">
        <v>61</v>
      </c>
      <c r="B54" s="21">
        <v>109</v>
      </c>
      <c r="C54" s="21">
        <v>7</v>
      </c>
    </row>
    <row r="55" spans="1:3">
      <c r="A55" s="13" t="s">
        <v>62</v>
      </c>
      <c r="B55" s="19">
        <v>109</v>
      </c>
      <c r="C55" s="19">
        <v>3</v>
      </c>
    </row>
    <row r="56" spans="1:3">
      <c r="A56" s="17" t="s">
        <v>63</v>
      </c>
      <c r="B56" s="21">
        <v>98</v>
      </c>
      <c r="C56" s="21">
        <v>0</v>
      </c>
    </row>
    <row r="57" spans="1:3">
      <c r="A57" s="13" t="s">
        <v>64</v>
      </c>
      <c r="B57" s="19">
        <v>93</v>
      </c>
      <c r="C57" s="19">
        <v>0</v>
      </c>
    </row>
    <row r="58" spans="1:3">
      <c r="A58" s="17" t="s">
        <v>65</v>
      </c>
      <c r="B58" s="21">
        <v>86</v>
      </c>
      <c r="C58" s="21">
        <v>0</v>
      </c>
    </row>
    <row r="59" spans="1:3" ht="15">
      <c r="A59" s="13" t="s">
        <v>66</v>
      </c>
      <c r="B59" s="19">
        <v>77</v>
      </c>
      <c r="C59" s="19">
        <v>1</v>
      </c>
    </row>
    <row r="60" spans="1:3" ht="15">
      <c r="A60" s="17" t="s">
        <v>67</v>
      </c>
      <c r="B60" s="21">
        <v>67</v>
      </c>
      <c r="C60" s="21">
        <v>1</v>
      </c>
    </row>
    <row r="61" spans="1:3" ht="15">
      <c r="A61" s="13" t="s">
        <v>68</v>
      </c>
      <c r="B61" s="19">
        <v>62</v>
      </c>
      <c r="C61" s="19">
        <v>0</v>
      </c>
    </row>
    <row r="62" spans="1:3" ht="15">
      <c r="A62" s="17" t="s">
        <v>69</v>
      </c>
      <c r="B62" s="21">
        <v>61</v>
      </c>
      <c r="C62" s="21">
        <v>0</v>
      </c>
    </row>
    <row r="63" spans="1:3" ht="15">
      <c r="A63" s="13" t="s">
        <v>70</v>
      </c>
      <c r="B63" s="19">
        <v>60</v>
      </c>
      <c r="C63" s="19">
        <v>4</v>
      </c>
    </row>
    <row r="64" spans="1:3" ht="15">
      <c r="A64" s="17" t="s">
        <v>71</v>
      </c>
      <c r="B64" s="21">
        <v>57</v>
      </c>
      <c r="C64" s="21">
        <v>0</v>
      </c>
    </row>
    <row r="65" spans="1:3" ht="15">
      <c r="A65" s="13" t="s">
        <v>72</v>
      </c>
      <c r="B65" s="19">
        <v>56</v>
      </c>
      <c r="C65" s="19">
        <v>2</v>
      </c>
    </row>
    <row r="66" spans="1:3" ht="15">
      <c r="A66" s="17" t="s">
        <v>73</v>
      </c>
      <c r="B66" s="21">
        <v>56</v>
      </c>
      <c r="C66" s="21">
        <v>0</v>
      </c>
    </row>
    <row r="67" spans="1:3" ht="15">
      <c r="A67" s="13" t="s">
        <v>74</v>
      </c>
      <c r="B67" s="19">
        <v>55</v>
      </c>
      <c r="C67" s="19">
        <v>0</v>
      </c>
    </row>
    <row r="68" spans="1:3" ht="15">
      <c r="A68" s="17" t="s">
        <v>75</v>
      </c>
      <c r="B68" s="21">
        <v>55</v>
      </c>
      <c r="C68" s="21">
        <v>1</v>
      </c>
    </row>
    <row r="69" spans="1:3" ht="15">
      <c r="A69" s="13" t="s">
        <v>76</v>
      </c>
      <c r="B69" s="19">
        <v>53</v>
      </c>
      <c r="C69" s="19">
        <v>0</v>
      </c>
    </row>
    <row r="70" spans="1:3" ht="15">
      <c r="A70" s="17" t="s">
        <v>77</v>
      </c>
      <c r="B70" s="21">
        <v>51</v>
      </c>
      <c r="C70" s="21">
        <v>2</v>
      </c>
    </row>
    <row r="71" spans="1:3" ht="15">
      <c r="A71" s="13" t="s">
        <v>78</v>
      </c>
      <c r="B71" s="19">
        <v>50</v>
      </c>
      <c r="C71" s="19">
        <v>0</v>
      </c>
    </row>
    <row r="72" spans="1:3" ht="15">
      <c r="A72" s="17" t="s">
        <v>79</v>
      </c>
      <c r="B72" s="21">
        <v>47</v>
      </c>
      <c r="C72" s="21">
        <v>0</v>
      </c>
    </row>
    <row r="73" spans="1:3" ht="15">
      <c r="A73" s="13" t="s">
        <v>80</v>
      </c>
      <c r="B73" s="19">
        <v>45</v>
      </c>
      <c r="C73" s="19">
        <v>0</v>
      </c>
    </row>
    <row r="74" spans="1:3" ht="15">
      <c r="A74" s="17" t="s">
        <v>81</v>
      </c>
      <c r="B74" s="21">
        <v>42</v>
      </c>
      <c r="C74" s="21">
        <v>1</v>
      </c>
    </row>
    <row r="75" spans="1:3" ht="15">
      <c r="A75" s="13" t="s">
        <v>82</v>
      </c>
      <c r="B75" s="19">
        <v>38</v>
      </c>
      <c r="C75" s="19">
        <v>0</v>
      </c>
    </row>
    <row r="76" spans="1:3" ht="15">
      <c r="A76" s="17" t="s">
        <v>83</v>
      </c>
      <c r="B76" s="21">
        <v>37</v>
      </c>
      <c r="C76" s="21">
        <v>2</v>
      </c>
    </row>
    <row r="77" spans="1:3" ht="15">
      <c r="A77" s="13" t="s">
        <v>84</v>
      </c>
      <c r="B77" s="19">
        <v>37</v>
      </c>
      <c r="C77" s="19">
        <v>1</v>
      </c>
    </row>
    <row r="78" spans="1:3" ht="15">
      <c r="A78" s="17" t="s">
        <v>85</v>
      </c>
      <c r="B78" s="21">
        <v>35</v>
      </c>
      <c r="C78" s="21">
        <v>0</v>
      </c>
    </row>
    <row r="79" spans="1:3" ht="15">
      <c r="A79" s="13" t="s">
        <v>86</v>
      </c>
      <c r="B79" s="19">
        <v>33</v>
      </c>
      <c r="C79" s="19">
        <v>0</v>
      </c>
    </row>
    <row r="80" spans="1:3" ht="15">
      <c r="A80" s="17" t="s">
        <v>87</v>
      </c>
      <c r="B80" s="21">
        <v>32</v>
      </c>
      <c r="C80" s="21">
        <v>1</v>
      </c>
    </row>
    <row r="81" spans="1:3" ht="15">
      <c r="A81" s="13" t="s">
        <v>89</v>
      </c>
      <c r="B81" s="19">
        <v>33</v>
      </c>
      <c r="C81" s="19">
        <v>0</v>
      </c>
    </row>
    <row r="82" spans="1:3" ht="15">
      <c r="A82" s="17" t="s">
        <v>90</v>
      </c>
      <c r="B82" s="21">
        <v>30</v>
      </c>
      <c r="C82" s="21">
        <v>0</v>
      </c>
    </row>
    <row r="83" spans="1:3" ht="15">
      <c r="A83" s="13" t="s">
        <v>92</v>
      </c>
      <c r="B83" s="19">
        <v>30</v>
      </c>
      <c r="C83" s="19">
        <v>0</v>
      </c>
    </row>
    <row r="84" spans="1:3" ht="15">
      <c r="A84" s="17" t="s">
        <v>93</v>
      </c>
      <c r="B84" s="21">
        <v>29</v>
      </c>
      <c r="C84" s="21">
        <v>0</v>
      </c>
    </row>
    <row r="85" spans="1:3" ht="15">
      <c r="A85" s="13" t="s">
        <v>94</v>
      </c>
      <c r="B85" s="19">
        <v>27</v>
      </c>
      <c r="C85" s="19">
        <v>0</v>
      </c>
    </row>
    <row r="86" spans="1:3" ht="15">
      <c r="A86" s="17" t="s">
        <v>95</v>
      </c>
      <c r="B86" s="21">
        <v>27</v>
      </c>
      <c r="C86" s="21">
        <v>0</v>
      </c>
    </row>
    <row r="87" spans="1:3" ht="15">
      <c r="A87" s="13" t="s">
        <v>96</v>
      </c>
      <c r="B87" s="19">
        <v>25</v>
      </c>
      <c r="C87" s="19">
        <v>1</v>
      </c>
    </row>
    <row r="88" spans="1:3" ht="15">
      <c r="A88" s="17" t="s">
        <v>97</v>
      </c>
      <c r="B88" s="21">
        <v>24</v>
      </c>
      <c r="C88" s="21">
        <v>0</v>
      </c>
    </row>
    <row r="89" spans="1:3" ht="15">
      <c r="A89" s="13" t="s">
        <v>98</v>
      </c>
      <c r="B89" s="19">
        <v>24</v>
      </c>
      <c r="C89" s="19">
        <v>0</v>
      </c>
    </row>
    <row r="90" spans="1:3" ht="15">
      <c r="A90" s="17" t="s">
        <v>99</v>
      </c>
      <c r="B90" s="21">
        <v>23</v>
      </c>
      <c r="C90" s="21">
        <v>0</v>
      </c>
    </row>
    <row r="91" spans="1:3" ht="15">
      <c r="A91" s="13" t="s">
        <v>100</v>
      </c>
      <c r="B91" s="19">
        <v>21</v>
      </c>
      <c r="C91" s="19">
        <v>0</v>
      </c>
    </row>
    <row r="92" spans="1:3" ht="15">
      <c r="A92" s="17" t="s">
        <v>101</v>
      </c>
      <c r="B92" s="21">
        <v>21</v>
      </c>
      <c r="C92" s="21">
        <v>0</v>
      </c>
    </row>
    <row r="93" spans="1:3" ht="15">
      <c r="A93" s="13" t="s">
        <v>102</v>
      </c>
      <c r="B93" s="19">
        <v>20</v>
      </c>
      <c r="C93" s="19">
        <v>0</v>
      </c>
    </row>
    <row r="94" spans="1:3" ht="15">
      <c r="A94" s="17" t="s">
        <v>103</v>
      </c>
      <c r="B94" s="21">
        <v>19</v>
      </c>
      <c r="C94" s="21">
        <v>0</v>
      </c>
    </row>
    <row r="95" spans="1:3" ht="15">
      <c r="A95" s="13" t="s">
        <v>104</v>
      </c>
      <c r="B95" s="19">
        <v>18</v>
      </c>
      <c r="C95" s="19">
        <v>0</v>
      </c>
    </row>
    <row r="96" spans="1:3" ht="15">
      <c r="A96" s="17" t="s">
        <v>105</v>
      </c>
      <c r="B96" s="21">
        <v>17</v>
      </c>
      <c r="C96" s="21">
        <v>0</v>
      </c>
    </row>
    <row r="97" spans="1:3" ht="15">
      <c r="A97" s="13" t="s">
        <v>106</v>
      </c>
      <c r="B97" s="19">
        <v>17</v>
      </c>
      <c r="C97" s="19">
        <v>0</v>
      </c>
    </row>
    <row r="98" spans="1:3" ht="15">
      <c r="A98" s="17" t="s">
        <v>107</v>
      </c>
      <c r="B98" s="21">
        <v>15</v>
      </c>
      <c r="C98" s="21">
        <v>0</v>
      </c>
    </row>
    <row r="99" spans="1:3" ht="15">
      <c r="A99" s="13" t="s">
        <v>108</v>
      </c>
      <c r="B99" s="19">
        <v>14</v>
      </c>
      <c r="C99" s="19">
        <v>0</v>
      </c>
    </row>
    <row r="100" spans="1:3" ht="15">
      <c r="A100" s="17" t="s">
        <v>109</v>
      </c>
      <c r="B100" s="21">
        <v>13</v>
      </c>
      <c r="C100" s="21">
        <v>0</v>
      </c>
    </row>
    <row r="101" spans="1:3" ht="15">
      <c r="A101" s="13" t="s">
        <v>110</v>
      </c>
      <c r="B101" s="19">
        <v>12</v>
      </c>
      <c r="C101" s="19">
        <v>0</v>
      </c>
    </row>
    <row r="102" spans="1:3" ht="15">
      <c r="A102" s="17" t="s">
        <v>111</v>
      </c>
      <c r="B102" s="21">
        <v>11</v>
      </c>
      <c r="C102" s="21">
        <v>0</v>
      </c>
    </row>
    <row r="103" spans="1:3" ht="15">
      <c r="A103" s="13" t="s">
        <v>112</v>
      </c>
      <c r="B103" s="19">
        <v>11</v>
      </c>
      <c r="C103" s="19">
        <v>0</v>
      </c>
    </row>
    <row r="104" spans="1:3" ht="15">
      <c r="A104" s="17" t="s">
        <v>113</v>
      </c>
      <c r="B104" s="21">
        <v>10</v>
      </c>
      <c r="C104" s="50"/>
    </row>
    <row r="105" spans="1:3" ht="15">
      <c r="A105" s="13" t="s">
        <v>114</v>
      </c>
      <c r="B105" s="19">
        <v>10</v>
      </c>
      <c r="C105" s="19">
        <v>0</v>
      </c>
    </row>
    <row r="106" spans="1:3" ht="15">
      <c r="A106" s="17" t="s">
        <v>115</v>
      </c>
      <c r="B106" s="21">
        <v>9</v>
      </c>
      <c r="C106" s="21">
        <v>0</v>
      </c>
    </row>
    <row r="107" spans="1:3" ht="15">
      <c r="A107" s="13" t="s">
        <v>116</v>
      </c>
      <c r="B107" s="19">
        <v>8</v>
      </c>
      <c r="C107" s="19">
        <v>0</v>
      </c>
    </row>
    <row r="108" spans="1:3" ht="15">
      <c r="A108" s="17" t="s">
        <v>117</v>
      </c>
      <c r="B108" s="21">
        <v>8</v>
      </c>
      <c r="C108" s="21">
        <v>0</v>
      </c>
    </row>
    <row r="109" spans="1:3" ht="15">
      <c r="A109" s="13" t="s">
        <v>118</v>
      </c>
      <c r="B109" s="19">
        <v>7</v>
      </c>
      <c r="C109" s="19">
        <v>0</v>
      </c>
    </row>
    <row r="110" spans="1:3" ht="15">
      <c r="A110" s="17" t="s">
        <v>119</v>
      </c>
      <c r="B110" s="21">
        <v>7</v>
      </c>
      <c r="C110" s="21">
        <v>0</v>
      </c>
    </row>
    <row r="111" spans="1:3" ht="15">
      <c r="A111" s="13" t="s">
        <v>120</v>
      </c>
      <c r="B111" s="19">
        <v>7</v>
      </c>
      <c r="C111" s="19">
        <v>0</v>
      </c>
    </row>
    <row r="112" spans="1:3" ht="15">
      <c r="A112" s="17" t="s">
        <v>121</v>
      </c>
      <c r="B112" s="21">
        <v>6</v>
      </c>
      <c r="C112" s="21">
        <v>0</v>
      </c>
    </row>
    <row r="113" spans="1:3" ht="15">
      <c r="A113" s="13" t="s">
        <v>122</v>
      </c>
      <c r="B113" s="19">
        <v>6</v>
      </c>
      <c r="C113" s="19">
        <v>0</v>
      </c>
    </row>
    <row r="114" spans="1:3" ht="15">
      <c r="A114" s="17" t="s">
        <v>123</v>
      </c>
      <c r="B114" s="21">
        <v>6</v>
      </c>
      <c r="C114" s="21">
        <v>0</v>
      </c>
    </row>
    <row r="115" spans="1:3" ht="15">
      <c r="A115" s="13" t="s">
        <v>124</v>
      </c>
      <c r="B115" s="19">
        <v>6</v>
      </c>
      <c r="C115" s="19">
        <v>1</v>
      </c>
    </row>
    <row r="116" spans="1:3" ht="15">
      <c r="A116" s="17" t="s">
        <v>125</v>
      </c>
      <c r="B116" s="21">
        <v>5</v>
      </c>
      <c r="C116" s="21">
        <v>0</v>
      </c>
    </row>
    <row r="117" spans="1:3" ht="15">
      <c r="A117" s="13" t="s">
        <v>126</v>
      </c>
      <c r="B117" s="19">
        <v>5</v>
      </c>
      <c r="C117" s="19">
        <v>0</v>
      </c>
    </row>
    <row r="118" spans="1:3" ht="15">
      <c r="A118" s="17" t="s">
        <v>127</v>
      </c>
      <c r="B118" s="21">
        <v>4</v>
      </c>
      <c r="C118" s="21">
        <v>0</v>
      </c>
    </row>
    <row r="119" spans="1:3" ht="15">
      <c r="A119" s="13" t="s">
        <v>128</v>
      </c>
      <c r="B119" s="19">
        <v>3</v>
      </c>
      <c r="C119" s="19">
        <v>1</v>
      </c>
    </row>
    <row r="120" spans="1:3" ht="15">
      <c r="A120" s="17" t="s">
        <v>129</v>
      </c>
      <c r="B120" s="21">
        <v>3</v>
      </c>
      <c r="C120" s="21">
        <v>0</v>
      </c>
    </row>
    <row r="121" spans="1:3" ht="15">
      <c r="A121" s="13" t="s">
        <v>130</v>
      </c>
      <c r="B121" s="19">
        <v>3</v>
      </c>
      <c r="C121" s="19">
        <v>0</v>
      </c>
    </row>
    <row r="122" spans="1:3" ht="15">
      <c r="A122" s="17" t="s">
        <v>131</v>
      </c>
      <c r="B122" s="21">
        <v>3</v>
      </c>
      <c r="C122" s="21">
        <v>0</v>
      </c>
    </row>
    <row r="123" spans="1:3" ht="15">
      <c r="A123" s="13" t="s">
        <v>132</v>
      </c>
      <c r="B123" s="19">
        <v>3</v>
      </c>
      <c r="C123" s="19">
        <v>0</v>
      </c>
    </row>
    <row r="124" spans="1:3" ht="15">
      <c r="A124" s="17" t="s">
        <v>133</v>
      </c>
      <c r="B124" s="21">
        <v>2</v>
      </c>
      <c r="C124" s="21">
        <v>0</v>
      </c>
    </row>
    <row r="125" spans="1:3" ht="15">
      <c r="A125" s="13" t="s">
        <v>135</v>
      </c>
      <c r="B125" s="19">
        <v>2</v>
      </c>
      <c r="C125" s="19">
        <v>0</v>
      </c>
    </row>
    <row r="126" spans="1:3" ht="15">
      <c r="A126" s="17" t="s">
        <v>136</v>
      </c>
      <c r="B126" s="21">
        <v>2</v>
      </c>
      <c r="C126" s="21">
        <v>0</v>
      </c>
    </row>
    <row r="127" spans="1:3" ht="15">
      <c r="A127" s="13" t="s">
        <v>137</v>
      </c>
      <c r="B127" s="19">
        <v>1</v>
      </c>
      <c r="C127" s="19">
        <v>0</v>
      </c>
    </row>
    <row r="128" spans="1:3" ht="15">
      <c r="A128" s="17" t="s">
        <v>138</v>
      </c>
      <c r="B128" s="21">
        <v>1</v>
      </c>
      <c r="C128" s="21">
        <v>0</v>
      </c>
    </row>
    <row r="129" spans="1:3" ht="15">
      <c r="A129" s="13" t="s">
        <v>139</v>
      </c>
      <c r="B129" s="19">
        <v>1</v>
      </c>
      <c r="C129" s="19">
        <v>0</v>
      </c>
    </row>
    <row r="130" spans="1:3" ht="15">
      <c r="A130" s="17" t="s">
        <v>140</v>
      </c>
      <c r="B130" s="21">
        <v>1</v>
      </c>
      <c r="C130" s="21">
        <v>0</v>
      </c>
    </row>
    <row r="131" spans="1:3" ht="15">
      <c r="A131" s="13" t="s">
        <v>141</v>
      </c>
      <c r="B131" s="19">
        <v>1</v>
      </c>
      <c r="C131" s="19">
        <v>0</v>
      </c>
    </row>
    <row r="132" spans="1:3" ht="15">
      <c r="A132" s="17" t="s">
        <v>142</v>
      </c>
      <c r="B132" s="21">
        <v>1</v>
      </c>
      <c r="C132" s="21">
        <v>0</v>
      </c>
    </row>
    <row r="133" spans="1:3" ht="15">
      <c r="A133" s="13" t="s">
        <v>143</v>
      </c>
      <c r="B133" s="19">
        <v>1</v>
      </c>
      <c r="C133" s="19">
        <v>0</v>
      </c>
    </row>
    <row r="134" spans="1:3" ht="15">
      <c r="A134" s="17" t="s">
        <v>144</v>
      </c>
      <c r="B134" s="21">
        <v>1</v>
      </c>
      <c r="C134" s="21">
        <v>0</v>
      </c>
    </row>
    <row r="135" spans="1:3" ht="15">
      <c r="A135" s="13" t="s">
        <v>145</v>
      </c>
      <c r="B135" s="19">
        <v>1</v>
      </c>
      <c r="C135" s="19">
        <v>0</v>
      </c>
    </row>
    <row r="136" spans="1:3" ht="15">
      <c r="A136" s="17" t="s">
        <v>146</v>
      </c>
      <c r="B136" s="21">
        <v>1</v>
      </c>
      <c r="C136" s="21">
        <v>0</v>
      </c>
    </row>
    <row r="137" spans="1:3" ht="15">
      <c r="A137" s="13" t="s">
        <v>147</v>
      </c>
      <c r="B137" s="19">
        <v>1</v>
      </c>
      <c r="C137" s="19">
        <v>0</v>
      </c>
    </row>
    <row r="138" spans="1:3" ht="15">
      <c r="A138" s="17" t="s">
        <v>148</v>
      </c>
      <c r="B138" s="21">
        <v>1</v>
      </c>
      <c r="C138" s="21">
        <v>0</v>
      </c>
    </row>
    <row r="139" spans="1:3" ht="15">
      <c r="A139" s="13" t="s">
        <v>149</v>
      </c>
      <c r="B139" s="19">
        <v>1</v>
      </c>
      <c r="C139" s="19">
        <v>0</v>
      </c>
    </row>
    <row r="140" spans="1:3" ht="15">
      <c r="A140" s="17" t="s">
        <v>150</v>
      </c>
      <c r="B140" s="21">
        <v>1</v>
      </c>
      <c r="C140" s="21">
        <v>0</v>
      </c>
    </row>
    <row r="141" spans="1:3" ht="15">
      <c r="A141" s="61" t="s">
        <v>151</v>
      </c>
      <c r="B141" s="63">
        <v>590</v>
      </c>
      <c r="C141" s="65"/>
    </row>
    <row r="142" spans="1:3" ht="15">
      <c r="A142" s="67" t="s">
        <v>155</v>
      </c>
      <c r="B142" s="68">
        <v>184824</v>
      </c>
      <c r="C142" s="69">
        <v>7113</v>
      </c>
    </row>
    <row r="143" spans="1:3" ht="13">
      <c r="A143" s="56"/>
      <c r="B143" s="56"/>
      <c r="C143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8"/>
  <sheetViews>
    <sheetView showGridLines="0" workbookViewId="0">
      <selection sqref="A1:G1"/>
    </sheetView>
  </sheetViews>
  <sheetFormatPr baseColWidth="10" defaultColWidth="14.5" defaultRowHeight="15.75" customHeight="1"/>
  <cols>
    <col min="1" max="1" width="18.5" customWidth="1"/>
    <col min="2" max="2" width="9.5" customWidth="1"/>
    <col min="3" max="3" width="8.5" customWidth="1"/>
    <col min="4" max="4" width="9.6640625" customWidth="1"/>
    <col min="5" max="5" width="8.6640625" customWidth="1"/>
    <col min="6" max="6" width="12.5" customWidth="1"/>
    <col min="7" max="7" width="11.33203125" customWidth="1"/>
    <col min="8" max="8" width="0.5" customWidth="1"/>
  </cols>
  <sheetData>
    <row r="1" spans="1:23" ht="27.75" customHeight="1">
      <c r="A1" s="127"/>
      <c r="B1" s="121"/>
      <c r="C1" s="121"/>
      <c r="D1" s="121"/>
      <c r="E1" s="121"/>
      <c r="F1" s="121"/>
      <c r="G1" s="12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7">
      <c r="A2" s="5" t="s">
        <v>1</v>
      </c>
      <c r="B2" s="120" t="s">
        <v>2</v>
      </c>
      <c r="C2" s="121"/>
      <c r="D2" s="122" t="s">
        <v>3</v>
      </c>
      <c r="E2" s="121"/>
      <c r="F2" s="9"/>
      <c r="G2" s="1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7">
      <c r="A3" s="14">
        <f t="shared" ref="A3:B3" si="0">SUM(B14, B15)</f>
        <v>80928</v>
      </c>
      <c r="B3" s="124">
        <f t="shared" si="0"/>
        <v>3245</v>
      </c>
      <c r="C3" s="121"/>
      <c r="D3" s="125">
        <f>SUM(F14, F15)</f>
        <v>70420</v>
      </c>
      <c r="E3" s="121"/>
      <c r="F3" s="9"/>
      <c r="G3" s="1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>
      <c r="A4" s="22"/>
      <c r="B4" s="10"/>
      <c r="C4" s="10"/>
      <c r="D4" s="9"/>
      <c r="E4" s="9"/>
      <c r="F4" s="9"/>
      <c r="G4" s="1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30" customHeight="1">
      <c r="A5" s="25" t="s">
        <v>165</v>
      </c>
      <c r="B5" s="26" t="s">
        <v>5</v>
      </c>
      <c r="C5" s="26" t="s">
        <v>6</v>
      </c>
      <c r="D5" s="27" t="s">
        <v>31</v>
      </c>
      <c r="E5" s="27" t="s">
        <v>34</v>
      </c>
      <c r="F5" s="27" t="s">
        <v>35</v>
      </c>
      <c r="G5" s="26"/>
      <c r="H5" s="28"/>
      <c r="I5" s="28"/>
      <c r="J5" s="28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ht="30" customHeight="1">
      <c r="A6" s="55" t="s">
        <v>167</v>
      </c>
      <c r="B6" s="57">
        <v>67800</v>
      </c>
      <c r="C6" s="57">
        <v>3130</v>
      </c>
      <c r="D6" s="75">
        <v>2274</v>
      </c>
      <c r="E6" s="59" t="s">
        <v>91</v>
      </c>
      <c r="F6" s="75">
        <v>57678</v>
      </c>
      <c r="G6" s="60" t="str">
        <f>HYPERLINK("http://www.nhc.gov.cn/yjb/s7860/202003/e644c2fc18b4448db7ed4b30f68b91a6.shtml","Source")</f>
        <v>Source</v>
      </c>
      <c r="H6" s="28"/>
      <c r="I6" s="28"/>
      <c r="J6" s="28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ht="30" customHeight="1">
      <c r="A7" s="32" t="s">
        <v>170</v>
      </c>
      <c r="B7" s="34">
        <v>1378</v>
      </c>
      <c r="C7" s="36">
        <v>8</v>
      </c>
      <c r="D7" s="38">
        <v>2</v>
      </c>
      <c r="E7" s="38">
        <v>10</v>
      </c>
      <c r="F7" s="76">
        <v>1318</v>
      </c>
      <c r="G7" s="41" t="str">
        <f>HYPERLINK("http://wsjkw.gd.gov.cn/zwyw_yqxx/content/post_2935368.html","Source")</f>
        <v>Source</v>
      </c>
      <c r="H7" s="28"/>
      <c r="I7" s="28"/>
      <c r="J7" s="28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ht="30" customHeight="1">
      <c r="A8" s="55" t="s">
        <v>172</v>
      </c>
      <c r="B8" s="57">
        <v>1272</v>
      </c>
      <c r="C8" s="58">
        <v>22</v>
      </c>
      <c r="D8" s="59">
        <v>0</v>
      </c>
      <c r="E8" s="59">
        <v>0</v>
      </c>
      <c r="F8" s="75">
        <v>1250</v>
      </c>
      <c r="G8" s="60" t="str">
        <f>HYPERLINK("https://m.weibo.cn/detail/4484105355396148","Source")</f>
        <v>Source</v>
      </c>
      <c r="H8" s="28"/>
      <c r="I8" s="28"/>
      <c r="J8" s="28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 ht="30" customHeight="1">
      <c r="A9" s="55" t="s">
        <v>174</v>
      </c>
      <c r="B9" s="57">
        <v>1233</v>
      </c>
      <c r="C9" s="58">
        <v>1</v>
      </c>
      <c r="D9" s="59">
        <v>1</v>
      </c>
      <c r="E9" s="59">
        <v>1</v>
      </c>
      <c r="F9" s="75">
        <v>1217</v>
      </c>
      <c r="G9" s="54" t="str">
        <f>HYPERLINK("https://www.zjwjw.gov.cn/art/2020/3/19/art_1202101_42321889.html","Source")</f>
        <v>Source</v>
      </c>
      <c r="H9" s="28"/>
      <c r="I9" s="28"/>
      <c r="J9" s="28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ht="30" customHeight="1">
      <c r="A10" s="55" t="s">
        <v>177</v>
      </c>
      <c r="B10" s="57">
        <v>1018</v>
      </c>
      <c r="C10" s="58">
        <v>4</v>
      </c>
      <c r="D10" s="59">
        <v>0</v>
      </c>
      <c r="E10" s="59">
        <v>0</v>
      </c>
      <c r="F10" s="75">
        <v>1014</v>
      </c>
      <c r="G10" s="60" t="str">
        <f>HYPERLINK("http://wjw.hunan.gov.cn/wjw/xxgk/gzdt/zyxw_1/202003/t20200319_11815605.html","Source")</f>
        <v>Source</v>
      </c>
      <c r="H10" s="28"/>
      <c r="I10" s="28"/>
      <c r="J10" s="28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ht="30" customHeight="1">
      <c r="A11" s="55" t="s">
        <v>179</v>
      </c>
      <c r="B11" s="57">
        <v>479</v>
      </c>
      <c r="C11" s="58">
        <v>8</v>
      </c>
      <c r="D11" s="59" t="s">
        <v>91</v>
      </c>
      <c r="E11" s="59" t="s">
        <v>91</v>
      </c>
      <c r="F11" s="59">
        <v>379</v>
      </c>
      <c r="G11" s="54" t="str">
        <f>HYPERLINK("http://wjw.beijing.gov.cn/xwzx_20031/wnxw/202003/t20200319_1721634.html","Source")</f>
        <v>Source</v>
      </c>
      <c r="H11" s="28"/>
      <c r="I11" s="28"/>
      <c r="J11" s="28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ht="30" customHeight="1">
      <c r="A12" s="55" t="s">
        <v>181</v>
      </c>
      <c r="B12" s="57">
        <v>363</v>
      </c>
      <c r="C12" s="58">
        <v>3</v>
      </c>
      <c r="D12" s="59">
        <v>2</v>
      </c>
      <c r="E12" s="59">
        <v>8</v>
      </c>
      <c r="F12" s="59">
        <v>326</v>
      </c>
      <c r="G12" s="60" t="str">
        <f>HYPERLINK("https://m.weibo.cn/detail/4484095025859417","Source")</f>
        <v>Source</v>
      </c>
      <c r="H12" s="28"/>
      <c r="I12" s="28"/>
      <c r="J12" s="28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spans="1:23" ht="30" customHeight="1">
      <c r="A13" s="55" t="s">
        <v>183</v>
      </c>
      <c r="B13" s="57">
        <v>7385</v>
      </c>
      <c r="C13" s="58">
        <v>69</v>
      </c>
      <c r="D13" s="59" t="s">
        <v>184</v>
      </c>
      <c r="E13" s="59" t="s">
        <v>91</v>
      </c>
      <c r="F13" s="75">
        <v>7238</v>
      </c>
      <c r="G13" s="79"/>
      <c r="H13" s="80"/>
      <c r="I13" s="28"/>
      <c r="J13" s="28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ht="30" customHeight="1">
      <c r="A14" s="81" t="s">
        <v>155</v>
      </c>
      <c r="B14" s="82">
        <f t="shared" ref="B14:C14" si="1">SUM(B6:B13)</f>
        <v>80928</v>
      </c>
      <c r="C14" s="82">
        <f t="shared" si="1"/>
        <v>3245</v>
      </c>
      <c r="D14" s="82">
        <v>2314</v>
      </c>
      <c r="E14" s="82"/>
      <c r="F14" s="82">
        <f>SUM(F6:F13)</f>
        <v>70420</v>
      </c>
      <c r="G14" s="83"/>
      <c r="H14" s="28"/>
      <c r="I14" s="28"/>
      <c r="J14" s="28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3" ht="15">
      <c r="A15" s="81"/>
      <c r="B15" s="84"/>
      <c r="C15" s="84"/>
      <c r="D15" s="85"/>
      <c r="E15" s="86"/>
      <c r="F15" s="84"/>
      <c r="G15" s="83"/>
      <c r="H15" s="20"/>
      <c r="I15" s="2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>
      <c r="A16" s="87"/>
      <c r="B16" s="88"/>
      <c r="C16" s="89"/>
      <c r="D16" s="89"/>
      <c r="E16" s="89"/>
      <c r="F16" s="8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4">
      <c r="A17" s="90"/>
      <c r="B17" s="89"/>
      <c r="C17" s="89"/>
      <c r="D17" s="89"/>
      <c r="E17" s="89"/>
      <c r="F17" s="8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">
      <c r="A18" s="90"/>
      <c r="B18" s="89"/>
      <c r="C18" s="89"/>
      <c r="D18" s="89"/>
      <c r="E18" s="89"/>
      <c r="F18" s="8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</sheetData>
  <mergeCells count="5">
    <mergeCell ref="A1:G1"/>
    <mergeCell ref="B2:C2"/>
    <mergeCell ref="D2:E2"/>
    <mergeCell ref="B3:C3"/>
    <mergeCell ref="D3:E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23"/>
  <sheetViews>
    <sheetView showGridLines="0" workbookViewId="0">
      <selection sqref="A1:G1"/>
    </sheetView>
  </sheetViews>
  <sheetFormatPr baseColWidth="10" defaultColWidth="14.5" defaultRowHeight="15.75" customHeight="1"/>
  <cols>
    <col min="1" max="1" width="21" customWidth="1"/>
    <col min="2" max="2" width="9.5" customWidth="1"/>
    <col min="3" max="3" width="8.5" customWidth="1"/>
    <col min="4" max="4" width="9.6640625" customWidth="1"/>
    <col min="5" max="5" width="8.6640625" customWidth="1"/>
    <col min="6" max="6" width="12.5" customWidth="1"/>
    <col min="7" max="7" width="11.33203125" customWidth="1"/>
    <col min="8" max="8" width="0.6640625" customWidth="1"/>
  </cols>
  <sheetData>
    <row r="1" spans="1:24" ht="27.75" customHeight="1">
      <c r="A1" s="127"/>
      <c r="B1" s="121"/>
      <c r="C1" s="121"/>
      <c r="D1" s="121"/>
      <c r="E1" s="121"/>
      <c r="F1" s="121"/>
      <c r="G1" s="12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>
      <c r="A2" s="5" t="s">
        <v>1</v>
      </c>
      <c r="B2" s="120" t="s">
        <v>2</v>
      </c>
      <c r="C2" s="121"/>
      <c r="D2" s="122" t="s">
        <v>3</v>
      </c>
      <c r="E2" s="121"/>
      <c r="F2" s="9"/>
      <c r="G2" s="1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7">
      <c r="A3" s="14">
        <f t="shared" ref="A3:B3" si="0">SUM(B19, B20)</f>
        <v>863</v>
      </c>
      <c r="B3" s="124">
        <f t="shared" si="0"/>
        <v>12</v>
      </c>
      <c r="C3" s="121"/>
      <c r="D3" s="125">
        <f>SUM(F19, F20)</f>
        <v>12</v>
      </c>
      <c r="E3" s="121"/>
      <c r="F3" s="9"/>
      <c r="G3" s="1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">
      <c r="A4" s="22"/>
      <c r="B4" s="10"/>
      <c r="C4" s="10"/>
      <c r="D4" s="9"/>
      <c r="E4" s="9"/>
      <c r="F4" s="9"/>
      <c r="G4" s="1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30" customHeight="1">
      <c r="A5" s="25" t="s">
        <v>203</v>
      </c>
      <c r="B5" s="26" t="s">
        <v>5</v>
      </c>
      <c r="C5" s="26" t="s">
        <v>6</v>
      </c>
      <c r="D5" s="27" t="s">
        <v>31</v>
      </c>
      <c r="E5" s="27" t="s">
        <v>34</v>
      </c>
      <c r="F5" s="27" t="s">
        <v>35</v>
      </c>
      <c r="G5" s="26"/>
      <c r="H5" s="39"/>
      <c r="I5" s="39"/>
      <c r="J5" s="39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30" customHeight="1">
      <c r="A6" s="55" t="s">
        <v>205</v>
      </c>
      <c r="B6" s="57">
        <v>271</v>
      </c>
      <c r="C6" s="57">
        <v>8</v>
      </c>
      <c r="D6" s="75"/>
      <c r="E6" s="59">
        <v>7</v>
      </c>
      <c r="F6" s="59">
        <v>6</v>
      </c>
      <c r="G6" s="60" t="str">
        <f>HYPERLINK("http://www.bccdc.ca/health-info/diseases-conditions/covid-19/case-counts-press-statements","Source")</f>
        <v>Source</v>
      </c>
      <c r="H6" s="43"/>
      <c r="I6" s="39"/>
      <c r="J6" s="3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ht="30" customHeight="1">
      <c r="A7" s="32" t="s">
        <v>207</v>
      </c>
      <c r="B7" s="34">
        <v>258</v>
      </c>
      <c r="C7" s="36">
        <v>2</v>
      </c>
      <c r="D7" s="38"/>
      <c r="E7" s="38"/>
      <c r="F7" s="38">
        <v>5</v>
      </c>
      <c r="G7" s="41" t="str">
        <f>HYPERLINK("https://www.ontario.ca/page/2019-novel-coronavirus","Source")</f>
        <v>Source</v>
      </c>
      <c r="H7" s="43"/>
      <c r="I7" s="39"/>
      <c r="J7" s="3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1:24" ht="30" customHeight="1">
      <c r="A8" s="55" t="s">
        <v>210</v>
      </c>
      <c r="B8" s="57">
        <v>146</v>
      </c>
      <c r="C8" s="58">
        <v>1</v>
      </c>
      <c r="D8" s="59"/>
      <c r="E8" s="59"/>
      <c r="F8" s="66"/>
      <c r="G8" s="60" t="str">
        <f>HYPERLINK("https://www.alberta.ca/coronavirus-info-for-albertans.aspx","Source")</f>
        <v>Source</v>
      </c>
      <c r="H8" s="43"/>
      <c r="I8" s="28"/>
      <c r="J8" s="28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 ht="30" customHeight="1">
      <c r="A9" s="55" t="s">
        <v>212</v>
      </c>
      <c r="B9" s="57">
        <v>121</v>
      </c>
      <c r="C9" s="58">
        <v>1</v>
      </c>
      <c r="D9" s="59"/>
      <c r="E9" s="59"/>
      <c r="F9" s="59">
        <v>1</v>
      </c>
      <c r="G9" s="60" t="str">
        <f>HYPERLINK("https://www.quebec.ca/en/health/health-issues/a-z/2019-coronavirus/","Source")</f>
        <v>Source</v>
      </c>
      <c r="H9" s="43"/>
      <c r="I9" s="28"/>
      <c r="J9" s="28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30" customHeight="1">
      <c r="A10" s="55" t="s">
        <v>214</v>
      </c>
      <c r="B10" s="57">
        <v>17</v>
      </c>
      <c r="C10" s="58">
        <v>0</v>
      </c>
      <c r="D10" s="59"/>
      <c r="E10" s="59"/>
      <c r="F10" s="66"/>
      <c r="G10" s="60" t="str">
        <f>HYPERLINK("https://winnipeg.ctvnews.ca/two-new-presumptive-cases-of-covid-19-in-manitoba-1.4858707","Source")</f>
        <v>Source</v>
      </c>
      <c r="H10" s="43"/>
      <c r="I10" s="28"/>
      <c r="J10" s="28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30" customHeight="1">
      <c r="A11" s="55" t="s">
        <v>216</v>
      </c>
      <c r="B11" s="57">
        <v>14</v>
      </c>
      <c r="C11" s="58">
        <v>0</v>
      </c>
      <c r="D11" s="59"/>
      <c r="E11" s="59"/>
      <c r="F11" s="66"/>
      <c r="G11" s="60" t="str">
        <f>HYPERLINK("https://novascotia.ca/CoronaVirus/","Source")</f>
        <v>Source</v>
      </c>
      <c r="H11" s="43"/>
      <c r="I11" s="28"/>
      <c r="J11" s="28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30" customHeight="1">
      <c r="A12" s="55" t="s">
        <v>218</v>
      </c>
      <c r="B12" s="57">
        <v>20</v>
      </c>
      <c r="C12" s="58">
        <v>0</v>
      </c>
      <c r="D12" s="59"/>
      <c r="E12" s="59"/>
      <c r="F12" s="66"/>
      <c r="G12" s="60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H12" s="43"/>
      <c r="I12" s="28"/>
      <c r="J12" s="28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30" customHeight="1">
      <c r="A13" s="55" t="s">
        <v>221</v>
      </c>
      <c r="B13" s="57">
        <v>11</v>
      </c>
      <c r="C13" s="58">
        <v>0</v>
      </c>
      <c r="D13" s="59"/>
      <c r="E13" s="59"/>
      <c r="F13" s="66"/>
      <c r="G13" s="60" t="str">
        <f>HYPERLINK("https://www2.gnb.ca/content/gnb/en/departments/health/news/news_release.2020.03.0136.html","Source")</f>
        <v>Source</v>
      </c>
      <c r="H13" s="43"/>
      <c r="I13" s="28"/>
      <c r="J13" s="28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30" customHeight="1">
      <c r="A14" s="55" t="s">
        <v>223</v>
      </c>
      <c r="B14" s="57">
        <v>3</v>
      </c>
      <c r="C14" s="58">
        <v>0</v>
      </c>
      <c r="D14" s="59"/>
      <c r="E14" s="59"/>
      <c r="F14" s="66"/>
      <c r="G14" s="60" t="str">
        <f>HYPERLINK("https://www.gov.nl.ca/covid-19/","Source")</f>
        <v>Source</v>
      </c>
      <c r="H14" s="43"/>
      <c r="I14" s="95"/>
      <c r="J14" s="28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30" customHeight="1">
      <c r="A15" s="55" t="s">
        <v>225</v>
      </c>
      <c r="B15" s="57">
        <v>2</v>
      </c>
      <c r="C15" s="58">
        <v>0</v>
      </c>
      <c r="D15" s="59"/>
      <c r="E15" s="59"/>
      <c r="F15" s="66"/>
      <c r="G15" s="60" t="str">
        <f>HYPERLINK("https://www.princeedwardisland.ca/en/news/pei-confirms-first-positive-case-covid-19","Source")</f>
        <v>Source</v>
      </c>
      <c r="H15" s="43"/>
      <c r="I15" s="28"/>
      <c r="J15" s="28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pans="1:24" ht="30" customHeight="1">
      <c r="A16" s="55" t="s">
        <v>227</v>
      </c>
      <c r="B16" s="57">
        <v>0</v>
      </c>
      <c r="C16" s="58">
        <v>0</v>
      </c>
      <c r="D16" s="59"/>
      <c r="E16" s="59"/>
      <c r="F16" s="66"/>
      <c r="G16" s="79"/>
      <c r="H16" s="28"/>
      <c r="I16" s="28"/>
      <c r="J16" s="28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spans="1:24" ht="30" customHeight="1">
      <c r="A17" s="55" t="s">
        <v>229</v>
      </c>
      <c r="B17" s="57">
        <v>0</v>
      </c>
      <c r="C17" s="58">
        <v>0</v>
      </c>
      <c r="D17" s="59"/>
      <c r="E17" s="59"/>
      <c r="F17" s="66"/>
      <c r="G17" s="79"/>
      <c r="H17" s="28"/>
      <c r="I17" s="28"/>
      <c r="J17" s="28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 ht="30" customHeight="1">
      <c r="A18" s="55" t="s">
        <v>230</v>
      </c>
      <c r="B18" s="57">
        <v>0</v>
      </c>
      <c r="C18" s="58">
        <v>0</v>
      </c>
      <c r="D18" s="59"/>
      <c r="E18" s="59"/>
      <c r="F18" s="66"/>
      <c r="G18" s="79"/>
      <c r="H18" s="28"/>
      <c r="I18" s="28"/>
      <c r="J18" s="28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ht="30" customHeight="1">
      <c r="A19" s="81" t="s">
        <v>155</v>
      </c>
      <c r="B19" s="82">
        <f t="shared" ref="B19:F19" si="1">SUM(B6:B18)</f>
        <v>863</v>
      </c>
      <c r="C19" s="82">
        <f t="shared" si="1"/>
        <v>12</v>
      </c>
      <c r="D19" s="82">
        <f t="shared" si="1"/>
        <v>0</v>
      </c>
      <c r="E19" s="82">
        <f t="shared" si="1"/>
        <v>7</v>
      </c>
      <c r="F19" s="82">
        <f t="shared" si="1"/>
        <v>12</v>
      </c>
      <c r="G19" s="83"/>
      <c r="H19" s="30"/>
      <c r="I19" s="39"/>
      <c r="J19" s="3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 ht="14">
      <c r="A20" s="90"/>
      <c r="B20" s="89"/>
      <c r="C20" s="89"/>
      <c r="D20" s="89"/>
      <c r="E20" s="89"/>
      <c r="F20" s="8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">
      <c r="A21" s="87"/>
      <c r="B21" s="88"/>
      <c r="C21" s="89"/>
      <c r="D21" s="89"/>
      <c r="E21" s="89"/>
      <c r="F21" s="8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4">
      <c r="A22" s="90"/>
      <c r="B22" s="89"/>
      <c r="C22" s="89"/>
      <c r="D22" s="89"/>
      <c r="E22" s="89"/>
      <c r="F22" s="8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4">
      <c r="A23" s="90"/>
      <c r="B23" s="89"/>
      <c r="C23" s="89"/>
      <c r="D23" s="89"/>
      <c r="E23" s="89"/>
      <c r="F23" s="8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</sheetData>
  <mergeCells count="5">
    <mergeCell ref="A1:G1"/>
    <mergeCell ref="B2:C2"/>
    <mergeCell ref="D2:E2"/>
    <mergeCell ref="B3:C3"/>
    <mergeCell ref="D3:E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21"/>
  <sheetViews>
    <sheetView showGridLines="0" workbookViewId="0">
      <selection sqref="A1:G1"/>
    </sheetView>
  </sheetViews>
  <sheetFormatPr baseColWidth="10" defaultColWidth="14.5" defaultRowHeight="15.75" customHeight="1"/>
  <cols>
    <col min="1" max="1" width="18.5" customWidth="1"/>
    <col min="2" max="2" width="9.5" customWidth="1"/>
    <col min="3" max="3" width="8.5" customWidth="1"/>
    <col min="4" max="4" width="9.6640625" customWidth="1"/>
    <col min="5" max="5" width="8.6640625" customWidth="1"/>
    <col min="6" max="6" width="12.5" customWidth="1"/>
    <col min="7" max="7" width="11.33203125" customWidth="1"/>
    <col min="8" max="8" width="1" customWidth="1"/>
  </cols>
  <sheetData>
    <row r="1" spans="1:23" ht="27.75" customHeight="1">
      <c r="A1" s="127"/>
      <c r="B1" s="121"/>
      <c r="C1" s="121"/>
      <c r="D1" s="121"/>
      <c r="E1" s="121"/>
      <c r="F1" s="121"/>
      <c r="G1" s="12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7">
      <c r="A2" s="5" t="s">
        <v>1</v>
      </c>
      <c r="B2" s="120" t="s">
        <v>2</v>
      </c>
      <c r="C2" s="121"/>
      <c r="D2" s="122" t="s">
        <v>3</v>
      </c>
      <c r="E2" s="121"/>
      <c r="F2" s="9"/>
      <c r="G2" s="1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7">
      <c r="A3" s="14">
        <f t="shared" ref="A3:B3" si="0">SUM(B17, B18)</f>
        <v>710</v>
      </c>
      <c r="B3" s="124">
        <f t="shared" si="0"/>
        <v>6</v>
      </c>
      <c r="C3" s="121"/>
      <c r="D3" s="125">
        <f>SUM(F17, F18)</f>
        <v>27</v>
      </c>
      <c r="E3" s="121"/>
      <c r="F3" s="9"/>
      <c r="G3" s="1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>
      <c r="A4" s="22"/>
      <c r="B4" s="10"/>
      <c r="C4" s="10"/>
      <c r="D4" s="9"/>
      <c r="E4" s="9"/>
      <c r="F4" s="9"/>
      <c r="G4" s="10"/>
      <c r="H4" s="105"/>
      <c r="I4" s="10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30" customHeight="1">
      <c r="A5" s="25" t="s">
        <v>237</v>
      </c>
      <c r="B5" s="26" t="s">
        <v>5</v>
      </c>
      <c r="C5" s="26" t="s">
        <v>6</v>
      </c>
      <c r="D5" s="27" t="s">
        <v>31</v>
      </c>
      <c r="E5" s="27" t="s">
        <v>34</v>
      </c>
      <c r="F5" s="27" t="s">
        <v>35</v>
      </c>
      <c r="G5" s="26"/>
      <c r="H5" s="28"/>
      <c r="I5" s="28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ht="30" customHeight="1">
      <c r="A6" s="55" t="s">
        <v>238</v>
      </c>
      <c r="B6" s="57">
        <v>307</v>
      </c>
      <c r="C6" s="57">
        <v>5</v>
      </c>
      <c r="D6" s="106">
        <v>5</v>
      </c>
      <c r="E6" s="66"/>
      <c r="F6" s="59"/>
      <c r="G6" s="60" t="str">
        <f>HYPERLINK("https://www.health.nsw.gov.au/news/Pages/20200319_00.aspx","Source")</f>
        <v>Source</v>
      </c>
      <c r="H6" s="103"/>
      <c r="I6" s="103"/>
      <c r="J6" s="3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ht="30" customHeight="1">
      <c r="A7" s="32" t="s">
        <v>247</v>
      </c>
      <c r="B7" s="34">
        <v>144</v>
      </c>
      <c r="C7" s="36"/>
      <c r="D7" s="38"/>
      <c r="E7" s="38"/>
      <c r="F7" s="107"/>
      <c r="G7" s="41" t="str">
        <f>HYPERLINK("https://www.health.qld.gov.au/news-events/doh-media-releases/releases/queensland-novel-coronavirus-covid-19-update4","Source")</f>
        <v>Source</v>
      </c>
      <c r="H7" s="103"/>
      <c r="I7" s="103"/>
      <c r="J7" s="3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ht="30" customHeight="1">
      <c r="A8" s="55" t="s">
        <v>248</v>
      </c>
      <c r="B8" s="57">
        <v>150</v>
      </c>
      <c r="C8" s="58"/>
      <c r="D8" s="59"/>
      <c r="E8" s="59"/>
      <c r="F8" s="66"/>
      <c r="G8" s="60" t="str">
        <f>HYPERLINK("https://www.dhhs.vic.gov.au/more-covid-19-cases-confirmed-victoria-19-march-2020","Source")</f>
        <v>Source</v>
      </c>
      <c r="H8" s="103"/>
      <c r="I8" s="103"/>
      <c r="J8" s="3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 ht="30" customHeight="1">
      <c r="A9" s="55" t="s">
        <v>250</v>
      </c>
      <c r="B9" s="57">
        <v>42</v>
      </c>
      <c r="C9" s="58"/>
      <c r="D9" s="59"/>
      <c r="E9" s="59"/>
      <c r="F9" s="59">
        <v>3</v>
      </c>
      <c r="G9" s="60" t="str">
        <f>HYPERLINK("https://www.sahealth.sa.gov.au/wps/wcm/connect/public+content/sa+health+internet/about+us/news+and+media/all+media+releases/covid-19+coronavirus+update+19+march+2020","Source")</f>
        <v>Source</v>
      </c>
      <c r="H9" s="103"/>
      <c r="I9" s="103"/>
      <c r="J9" s="3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ht="30" customHeight="1">
      <c r="A10" s="55" t="s">
        <v>251</v>
      </c>
      <c r="B10" s="57">
        <v>52</v>
      </c>
      <c r="C10" s="58">
        <v>1</v>
      </c>
      <c r="D10" s="59"/>
      <c r="E10" s="59"/>
      <c r="F10" s="59">
        <v>1</v>
      </c>
      <c r="G10" s="60" t="str">
        <f>HYPERLINK("https://ww2.health.wa.gov.au/~/media/Files/Corporate/general%20documents/Infectious%20diseases/PDF/Coronavirus/COVID19-daily-snapshot.pdf","Source")</f>
        <v>Source</v>
      </c>
      <c r="H10" s="103"/>
      <c r="I10" s="103"/>
      <c r="J10" s="3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ht="30" customHeight="1">
      <c r="A11" s="55" t="s">
        <v>252</v>
      </c>
      <c r="B11" s="57">
        <v>10</v>
      </c>
      <c r="C11" s="58"/>
      <c r="D11" s="59"/>
      <c r="E11" s="59"/>
      <c r="F11" s="59"/>
      <c r="G11" s="60" t="str">
        <f>HYPERLINK("https://www.dhhs.tas.gov.au/news/2020/coronavirus_update_18_march_2020","Source")</f>
        <v>Source</v>
      </c>
      <c r="H11" s="103"/>
      <c r="I11" s="103"/>
      <c r="J11" s="3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ht="30" customHeight="1">
      <c r="A12" s="55" t="s">
        <v>253</v>
      </c>
      <c r="B12" s="57">
        <v>4</v>
      </c>
      <c r="C12" s="58"/>
      <c r="D12" s="59"/>
      <c r="E12" s="59"/>
      <c r="F12" s="59"/>
      <c r="G12" s="60" t="str">
        <f>HYPERLINK("https://www.health.act.gov.au/about-our-health-system/novel-coronavirus-covid-19/latest-news","Source")</f>
        <v>Source</v>
      </c>
      <c r="H12" s="103"/>
      <c r="I12" s="103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spans="1:23" ht="30" customHeight="1">
      <c r="A13" s="55" t="s">
        <v>255</v>
      </c>
      <c r="B13" s="57">
        <v>1</v>
      </c>
      <c r="C13" s="58"/>
      <c r="D13" s="59"/>
      <c r="E13" s="59"/>
      <c r="F13" s="59"/>
      <c r="G13" s="60" t="str">
        <f>HYPERLINK("http://mediareleases.nt.gov.au/mediaRelease/32050","Source")</f>
        <v>Source</v>
      </c>
      <c r="H13" s="103"/>
      <c r="I13" s="103"/>
      <c r="J13" s="3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ht="30" customHeight="1">
      <c r="A14" s="55" t="s">
        <v>257</v>
      </c>
      <c r="B14" s="57">
        <v>0</v>
      </c>
      <c r="C14" s="58"/>
      <c r="D14" s="59"/>
      <c r="E14" s="59"/>
      <c r="F14" s="59"/>
      <c r="G14" s="79"/>
      <c r="H14" s="39"/>
      <c r="I14" s="39"/>
      <c r="J14" s="3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3" ht="30" customHeight="1">
      <c r="A15" s="55" t="s">
        <v>258</v>
      </c>
      <c r="B15" s="57">
        <v>0</v>
      </c>
      <c r="C15" s="58"/>
      <c r="D15" s="59"/>
      <c r="E15" s="59"/>
      <c r="F15" s="59"/>
      <c r="G15" s="79"/>
      <c r="H15" s="39"/>
      <c r="I15" s="3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spans="1:23" ht="30" customHeight="1">
      <c r="A16" s="55" t="s">
        <v>260</v>
      </c>
      <c r="B16" s="57"/>
      <c r="C16" s="58"/>
      <c r="D16" s="59"/>
      <c r="E16" s="59"/>
      <c r="F16" s="59">
        <v>23</v>
      </c>
      <c r="G16" s="79"/>
      <c r="H16" s="39"/>
      <c r="I16" s="39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spans="1:23" ht="30" customHeight="1">
      <c r="A17" s="81" t="s">
        <v>155</v>
      </c>
      <c r="B17" s="82">
        <f t="shared" ref="B17:F17" si="1">SUM(B6:B16)</f>
        <v>710</v>
      </c>
      <c r="C17" s="82">
        <f t="shared" si="1"/>
        <v>6</v>
      </c>
      <c r="D17" s="82">
        <f t="shared" si="1"/>
        <v>5</v>
      </c>
      <c r="E17" s="82">
        <f t="shared" si="1"/>
        <v>0</v>
      </c>
      <c r="F17" s="82">
        <f t="shared" si="1"/>
        <v>27</v>
      </c>
      <c r="G17" s="83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spans="1:23" ht="15">
      <c r="A18" s="81"/>
      <c r="B18" s="84"/>
      <c r="C18" s="84"/>
      <c r="D18" s="85"/>
      <c r="E18" s="86"/>
      <c r="F18" s="84"/>
      <c r="G18" s="8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">
      <c r="A19" s="87"/>
      <c r="B19" s="88"/>
      <c r="C19" s="89"/>
      <c r="D19" s="89"/>
      <c r="E19" s="89"/>
      <c r="F19" s="8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4">
      <c r="A20" s="90"/>
      <c r="B20" s="89"/>
      <c r="C20" s="89"/>
      <c r="D20" s="89"/>
      <c r="E20" s="89"/>
      <c r="F20" s="8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4">
      <c r="A21" s="90"/>
      <c r="B21" s="89"/>
      <c r="C21" s="89"/>
      <c r="D21" s="89"/>
      <c r="E21" s="89"/>
      <c r="F21" s="8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</sheetData>
  <mergeCells count="5">
    <mergeCell ref="A1:G1"/>
    <mergeCell ref="B2:C2"/>
    <mergeCell ref="D2:E2"/>
    <mergeCell ref="B3:C3"/>
    <mergeCell ref="D3:E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25"/>
  <sheetViews>
    <sheetView showGridLines="0" workbookViewId="0">
      <selection sqref="A1:G1"/>
    </sheetView>
  </sheetViews>
  <sheetFormatPr baseColWidth="10" defaultColWidth="14.5" defaultRowHeight="15.75" customHeight="1"/>
  <cols>
    <col min="1" max="1" width="18.5" customWidth="1"/>
    <col min="2" max="2" width="9.5" customWidth="1"/>
    <col min="3" max="3" width="9.1640625" customWidth="1"/>
    <col min="4" max="4" width="9.6640625" customWidth="1"/>
    <col min="5" max="5" width="8.6640625" customWidth="1"/>
    <col min="6" max="6" width="13" customWidth="1"/>
    <col min="7" max="7" width="11.33203125" customWidth="1"/>
  </cols>
  <sheetData>
    <row r="1" spans="1:10" ht="27.75" customHeight="1">
      <c r="A1" s="127" t="s">
        <v>233</v>
      </c>
      <c r="B1" s="121"/>
      <c r="C1" s="121"/>
      <c r="D1" s="121"/>
      <c r="E1" s="121"/>
      <c r="F1" s="121"/>
      <c r="G1" s="121"/>
      <c r="H1" s="3"/>
      <c r="I1" s="3"/>
      <c r="J1" s="3"/>
    </row>
    <row r="2" spans="1:10" ht="17">
      <c r="A2" s="5" t="s">
        <v>234</v>
      </c>
      <c r="B2" s="120" t="s">
        <v>235</v>
      </c>
      <c r="C2" s="121"/>
      <c r="D2" s="122" t="s">
        <v>236</v>
      </c>
      <c r="E2" s="121"/>
      <c r="F2" s="9"/>
      <c r="G2" s="10"/>
      <c r="H2" s="3"/>
      <c r="I2" s="3"/>
      <c r="J2" s="3"/>
    </row>
    <row r="3" spans="1:10" ht="17">
      <c r="A3" s="14">
        <f t="shared" ref="A3:B3" si="0">SUM(B21, B22)</f>
        <v>5507</v>
      </c>
      <c r="B3" s="124">
        <f t="shared" si="0"/>
        <v>135</v>
      </c>
      <c r="C3" s="121"/>
      <c r="D3" s="125">
        <f>SUM(F21, F22)</f>
        <v>4</v>
      </c>
      <c r="E3" s="121"/>
      <c r="F3" s="9"/>
      <c r="G3" s="10"/>
      <c r="H3" s="3"/>
      <c r="I3" s="3"/>
      <c r="J3" s="3"/>
    </row>
    <row r="4" spans="1:10" ht="15">
      <c r="A4" s="22"/>
      <c r="B4" s="10"/>
      <c r="C4" s="10"/>
      <c r="D4" s="9"/>
      <c r="E4" s="9"/>
      <c r="F4" s="9"/>
      <c r="G4" s="10"/>
      <c r="H4" s="3"/>
      <c r="I4" s="3"/>
      <c r="J4" s="3"/>
    </row>
    <row r="5" spans="1:10" ht="30" customHeight="1">
      <c r="A5" s="25" t="s">
        <v>239</v>
      </c>
      <c r="B5" s="26" t="s">
        <v>240</v>
      </c>
      <c r="C5" s="26" t="s">
        <v>241</v>
      </c>
      <c r="D5" s="27" t="s">
        <v>242</v>
      </c>
      <c r="E5" s="27" t="s">
        <v>243</v>
      </c>
      <c r="F5" s="27" t="s">
        <v>244</v>
      </c>
      <c r="G5" s="26" t="s">
        <v>245</v>
      </c>
      <c r="H5" s="30"/>
      <c r="I5" s="30"/>
      <c r="J5" s="30"/>
    </row>
    <row r="6" spans="1:10" ht="30" customHeight="1">
      <c r="A6" s="32" t="s">
        <v>246</v>
      </c>
      <c r="B6" s="34">
        <v>5232</v>
      </c>
      <c r="C6" s="36">
        <v>133</v>
      </c>
      <c r="D6" s="38"/>
      <c r="E6" s="38"/>
      <c r="F6" s="107"/>
      <c r="G6" s="41" t="str">
        <f>HYPERLINK("https://www.rtve.es/noticias/20200309/mapa-del-coronavirus-espana/2004681.shtml","Fuente")</f>
        <v>Fuente</v>
      </c>
      <c r="H6" s="30"/>
      <c r="I6" s="30"/>
      <c r="J6" s="30"/>
    </row>
    <row r="7" spans="1:10" ht="30" customHeight="1">
      <c r="A7" s="55" t="s">
        <v>249</v>
      </c>
      <c r="B7" s="57">
        <v>98</v>
      </c>
      <c r="C7" s="58">
        <v>0</v>
      </c>
      <c r="D7" s="59">
        <v>1</v>
      </c>
      <c r="E7" s="59"/>
      <c r="F7" s="66"/>
      <c r="G7" s="60" t="str">
        <f>HYPERLINK("http://plataforma.saude.gov.br/novocoronavirus/","Fuente")</f>
        <v>Fuente</v>
      </c>
      <c r="H7" s="30"/>
      <c r="I7" s="30"/>
      <c r="J7" s="30"/>
    </row>
    <row r="8" spans="1:10" ht="30" customHeight="1">
      <c r="A8" s="55" t="s">
        <v>52</v>
      </c>
      <c r="B8" s="57">
        <v>43</v>
      </c>
      <c r="C8" s="58">
        <v>0</v>
      </c>
      <c r="D8" s="59"/>
      <c r="E8" s="59"/>
      <c r="F8" s="66"/>
      <c r="G8" s="60" t="str">
        <f>HYPERLINK("https://www.t13.cl/noticia/nacional/covid-19-aumentan-43-casos-confirmados-chile","Fuente")</f>
        <v>Fuente</v>
      </c>
      <c r="H8" s="30"/>
      <c r="I8" s="30"/>
      <c r="J8" s="30"/>
    </row>
    <row r="9" spans="1:10" ht="30" customHeight="1">
      <c r="A9" s="55" t="s">
        <v>85</v>
      </c>
      <c r="B9" s="57">
        <v>26</v>
      </c>
      <c r="C9" s="58">
        <v>0</v>
      </c>
      <c r="D9" s="59"/>
      <c r="E9" s="59"/>
      <c r="F9" s="66"/>
      <c r="G9" s="60" t="str">
        <f>HYPERLINK("https://www.ministeriodesalud.go.cr/index.php/centro-de-prensa/noticias/741-noticias-2020/1567-se-activa-la-linea-1322-para-atencion-de-consultas-sobre-covid-19","Fuente")</f>
        <v>Fuente</v>
      </c>
      <c r="H9" s="30"/>
      <c r="I9" s="30"/>
      <c r="J9" s="30"/>
    </row>
    <row r="10" spans="1:10" ht="30" customHeight="1">
      <c r="A10" s="55" t="s">
        <v>72</v>
      </c>
      <c r="B10" s="57">
        <v>21</v>
      </c>
      <c r="C10" s="58">
        <v>1</v>
      </c>
      <c r="D10" s="59"/>
      <c r="E10" s="59"/>
      <c r="F10" s="66"/>
      <c r="G10" s="60" t="str">
        <f>HYPERLINK("https://www.clarin.com/sociedad/coronavirus-argentina-confirmaron-casos-importados-21-contagiados_0_ZU0WjVc-.html","Fuente")</f>
        <v>Fuente</v>
      </c>
      <c r="H10" s="30"/>
      <c r="I10" s="30"/>
      <c r="J10" s="30"/>
    </row>
    <row r="11" spans="1:10" ht="30" customHeight="1">
      <c r="A11" s="55" t="s">
        <v>83</v>
      </c>
      <c r="B11" s="57">
        <v>17</v>
      </c>
      <c r="C11" s="57">
        <v>0</v>
      </c>
      <c r="D11" s="75"/>
      <c r="E11" s="66"/>
      <c r="F11" s="59"/>
      <c r="G11" s="60" t="str">
        <f>HYPERLINK("https://twitter.com/Salud_Ec/status/1237506194740109313","Fuente")</f>
        <v>Fuente</v>
      </c>
      <c r="H11" s="30"/>
      <c r="I11" s="30"/>
      <c r="J11" s="30"/>
    </row>
    <row r="12" spans="1:10" ht="30" customHeight="1">
      <c r="A12" s="55" t="s">
        <v>65</v>
      </c>
      <c r="B12" s="57">
        <v>17</v>
      </c>
      <c r="C12" s="58">
        <v>0</v>
      </c>
      <c r="D12" s="59"/>
      <c r="E12" s="59"/>
      <c r="F12" s="66"/>
      <c r="G12" s="60" t="str">
        <f>HYPERLINK("https://twitter.com/Minsa_Peru/status/1237916429975945217","Fuente")</f>
        <v>Fuente</v>
      </c>
      <c r="H12" s="30"/>
      <c r="I12" s="30"/>
      <c r="J12" s="30"/>
    </row>
    <row r="13" spans="1:10" ht="30" customHeight="1">
      <c r="A13" s="55" t="s">
        <v>254</v>
      </c>
      <c r="B13" s="57">
        <v>14</v>
      </c>
      <c r="C13" s="58">
        <v>1</v>
      </c>
      <c r="D13" s="59"/>
      <c r="E13" s="59"/>
      <c r="F13" s="66"/>
      <c r="G13" s="60" t="str">
        <f>HYPERLINK("https://www.prensa.com/sociedad/coronavirus-10-mujeres-y-4-hombres-contagiados-en-panama/","Fuente")</f>
        <v>Fuente</v>
      </c>
      <c r="H13" s="30"/>
      <c r="I13" s="30"/>
      <c r="J13" s="30"/>
    </row>
    <row r="14" spans="1:10" ht="30" customHeight="1">
      <c r="A14" s="55" t="s">
        <v>256</v>
      </c>
      <c r="B14" s="57">
        <v>13</v>
      </c>
      <c r="C14" s="58">
        <v>0</v>
      </c>
      <c r="D14" s="59">
        <v>1</v>
      </c>
      <c r="E14" s="59"/>
      <c r="F14" s="59">
        <v>4</v>
      </c>
      <c r="G14" s="60" t="str">
        <f>HYPERLINK("https://www.infobae.com/america/mexico/2020/03/11/coronavirus-se-confirmo-el-primer-caso-en-queretaro-suman-9-en-todo-el-pais/","Fuente")</f>
        <v>Fuente</v>
      </c>
      <c r="H14" s="30"/>
      <c r="I14" s="30"/>
      <c r="J14" s="30"/>
    </row>
    <row r="15" spans="1:10" ht="30" customHeight="1">
      <c r="A15" s="55" t="s">
        <v>80</v>
      </c>
      <c r="B15" s="57">
        <v>9</v>
      </c>
      <c r="C15" s="58">
        <v>0</v>
      </c>
      <c r="D15" s="59"/>
      <c r="E15" s="59"/>
      <c r="F15" s="66"/>
      <c r="G15" s="60" t="str">
        <f>HYPERLINK("https://www.eltiempo.com/colombia/cali/estado-de-salud-de-colombiano-con-coronavirus-hospitalizado-en-buga-470598","Fuente")</f>
        <v>Fuente</v>
      </c>
      <c r="H15" s="30"/>
      <c r="I15" s="30"/>
      <c r="J15" s="30"/>
    </row>
    <row r="16" spans="1:10" ht="30" customHeight="1">
      <c r="A16" s="55" t="s">
        <v>259</v>
      </c>
      <c r="B16" s="57">
        <v>5</v>
      </c>
      <c r="C16" s="58">
        <v>0</v>
      </c>
      <c r="D16" s="59"/>
      <c r="E16" s="59"/>
      <c r="F16" s="66"/>
      <c r="G16" s="60" t="str">
        <f>HYPERLINK("https://listindiario.com/la-republica/2020/03/09/607425/ya-suman-cinco-los-casos-de-coronavirus-en-el-pais","Fuente")</f>
        <v>Fuente</v>
      </c>
      <c r="H16" s="30"/>
      <c r="I16" s="30"/>
      <c r="J16" s="30"/>
    </row>
    <row r="17" spans="1:10" ht="30" customHeight="1">
      <c r="A17" s="55" t="s">
        <v>116</v>
      </c>
      <c r="B17" s="57">
        <v>5</v>
      </c>
      <c r="C17" s="58">
        <v>0</v>
      </c>
      <c r="D17" s="59">
        <v>1</v>
      </c>
      <c r="E17" s="59"/>
      <c r="F17" s="66"/>
      <c r="G17" s="60" t="str">
        <f>HYPERLINK("https://twitter.com/MazzoleniJulio/status/1237530868287041536","Fuente")</f>
        <v>Fuente</v>
      </c>
      <c r="H17" s="30"/>
      <c r="I17" s="30"/>
      <c r="J17" s="30"/>
    </row>
    <row r="18" spans="1:10" ht="30" customHeight="1">
      <c r="A18" s="55" t="s">
        <v>261</v>
      </c>
      <c r="B18" s="57">
        <v>3</v>
      </c>
      <c r="C18" s="58">
        <v>0</v>
      </c>
      <c r="D18" s="59"/>
      <c r="E18" s="59"/>
      <c r="F18" s="66"/>
      <c r="G18" s="60" t="str">
        <f>HYPERLINK("https://twitter.com/DeItaOne/status/1237904234206711808","Fuente")</f>
        <v>Fuente</v>
      </c>
      <c r="H18" s="30"/>
      <c r="I18" s="30"/>
      <c r="J18" s="30"/>
    </row>
    <row r="19" spans="1:10" ht="30" customHeight="1">
      <c r="A19" s="55" t="s">
        <v>113</v>
      </c>
      <c r="B19" s="57">
        <v>2</v>
      </c>
      <c r="C19" s="58">
        <v>0</v>
      </c>
      <c r="D19" s="59"/>
      <c r="E19" s="59"/>
      <c r="F19" s="66"/>
      <c r="G19" s="60" t="str">
        <f>HYPERLINK("https://www.minsalud.gob.bo/3967-ministro-de-salud-reporta-dos-casos-confirmados-de-coronavirus-y-pide-calma-a-la-poblacion","Fuente")</f>
        <v>Fuente</v>
      </c>
      <c r="H19" s="30"/>
      <c r="I19" s="30"/>
      <c r="J19" s="30"/>
    </row>
    <row r="20" spans="1:10" ht="30" customHeight="1">
      <c r="A20" s="55" t="s">
        <v>123</v>
      </c>
      <c r="B20" s="57">
        <v>2</v>
      </c>
      <c r="C20" s="58">
        <v>0</v>
      </c>
      <c r="D20" s="59"/>
      <c r="E20" s="59"/>
      <c r="F20" s="66"/>
      <c r="G20" s="60" t="str">
        <f>HYPERLINK("https://twitter.com/saludhn/status/1237652409687724034","Fuente")</f>
        <v>Fuente</v>
      </c>
      <c r="H20" s="30"/>
      <c r="I20" s="30"/>
      <c r="J20" s="30"/>
    </row>
    <row r="21" spans="1:10" ht="30" customHeight="1">
      <c r="A21" s="81" t="s">
        <v>155</v>
      </c>
      <c r="B21" s="82">
        <f t="shared" ref="B21:C21" si="1">SUM(B6:B20)</f>
        <v>5507</v>
      </c>
      <c r="C21" s="82">
        <f t="shared" si="1"/>
        <v>135</v>
      </c>
      <c r="D21" s="82">
        <f t="shared" ref="D21:F21" si="2">SUM(D6:D16)</f>
        <v>2</v>
      </c>
      <c r="E21" s="82">
        <f t="shared" si="2"/>
        <v>0</v>
      </c>
      <c r="F21" s="82">
        <f t="shared" si="2"/>
        <v>4</v>
      </c>
      <c r="G21" s="83"/>
      <c r="H21" s="30"/>
      <c r="I21" s="30"/>
      <c r="J21" s="30"/>
    </row>
    <row r="22" spans="1:10" ht="14">
      <c r="A22" s="90"/>
      <c r="B22" s="89"/>
      <c r="C22" s="89"/>
      <c r="D22" s="89"/>
      <c r="E22" s="89"/>
      <c r="F22" s="89"/>
      <c r="G22" s="3"/>
      <c r="H22" s="3"/>
      <c r="I22" s="3"/>
      <c r="J22" s="3"/>
    </row>
    <row r="23" spans="1:10" ht="15">
      <c r="A23" s="87"/>
      <c r="B23" s="88"/>
      <c r="C23" s="89"/>
      <c r="D23" s="89"/>
      <c r="E23" s="89"/>
      <c r="F23" s="89"/>
      <c r="G23" s="3"/>
      <c r="H23" s="3"/>
      <c r="I23" s="3"/>
      <c r="J23" s="3"/>
    </row>
    <row r="24" spans="1:10" ht="14">
      <c r="A24" s="90"/>
      <c r="B24" s="89"/>
      <c r="C24" s="89"/>
      <c r="D24" s="89"/>
      <c r="E24" s="89"/>
      <c r="F24" s="89"/>
      <c r="G24" s="3"/>
      <c r="H24" s="3"/>
      <c r="I24" s="3"/>
      <c r="J24" s="3"/>
    </row>
    <row r="25" spans="1:10" ht="14">
      <c r="A25" s="90"/>
      <c r="B25" s="89"/>
      <c r="C25" s="89"/>
      <c r="D25" s="89"/>
      <c r="E25" s="89"/>
      <c r="F25" s="89"/>
      <c r="G25" s="3"/>
      <c r="H25" s="3"/>
      <c r="I25" s="3"/>
      <c r="J25" s="3"/>
    </row>
  </sheetData>
  <mergeCells count="5">
    <mergeCell ref="A1:G1"/>
    <mergeCell ref="B2:C2"/>
    <mergeCell ref="D2:E2"/>
    <mergeCell ref="B3:C3"/>
    <mergeCell ref="D3:E3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World</vt:lpstr>
      <vt:lpstr>USA</vt:lpstr>
      <vt:lpstr>Previous</vt:lpstr>
      <vt:lpstr>China</vt:lpstr>
      <vt:lpstr>Canada</vt:lpstr>
      <vt:lpstr>Australia</vt:lpstr>
      <vt:lpstr>América Latina y España</vt:lpstr>
      <vt:lpstr>Cases</vt:lpstr>
      <vt:lpstr>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2020-03-20T02:59:54Z</dcterms:created>
  <dcterms:modified xsi:type="dcterms:W3CDTF">2020-03-20T02:59:54Z</dcterms:modified>
</cp:coreProperties>
</file>