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NO LONGER UPDATED
King: 234 C / 26 D
Snohomish: 68 C / 2 D
Clark: 1
Grant: 1 C / 1 D
Island: 1
Jefferson: 1
Kitsap: 2
Kittitas: 3
Pierce: 17
Skagit: 1
Thurston: 1
Watcom: 1
Unassigned: 36</t>
      </text>
    </comment>
    <comment authorId="0" ref="B8">
      <text>
        <t xml:space="preserve">NO LONGER UPDATED
- Santa Clara: 43 C / 1 D
- Los Angeles: 14
- San Francisco: 8
- Orange: 3
- Sacramento: 10 C / 1 D / 1 R
- San Diego: 3
- Placer: 5 C / 1 D
- San Benito: 2
- Alameda: 2
- Sonoma: 2
- Contra Costa: 9 (+ 3 external cases treated here, not counted)
City of Berkeley: 1
Solano: 1
Humboldt: 1
San Mateo: 1
Yolo: 1
Fresno: 1
Madera: 1
Riverside: 1 (+1 cruise ship not treated there, not counted, may be reported as a county case)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2,955</t>
      </text>
    </comment>
    <comment authorId="0" ref="C6">
      <text>
        <t xml:space="preserve">78</t>
      </text>
    </comment>
    <comment authorId="0" ref="B7">
      <text>
        <t xml:space="preserve">29</t>
      </text>
    </comment>
    <comment authorId="0" ref="B8">
      <text>
        <t xml:space="preserve">20</t>
      </text>
    </comment>
    <comment authorId="0" ref="B9">
      <text>
        <t xml:space="preserve">4</t>
      </text>
    </comment>
  </commentList>
</comments>
</file>

<file path=xl/sharedStrings.xml><?xml version="1.0" encoding="utf-8"?>
<sst xmlns="http://schemas.openxmlformats.org/spreadsheetml/2006/main" count="394" uniqueCount="238">
  <si>
    <t>This table is currently being updated</t>
  </si>
  <si>
    <t>Currently being updated</t>
  </si>
  <si>
    <t>CASES</t>
  </si>
  <si>
    <t>DEATHS</t>
  </si>
  <si>
    <t>RECOVERED</t>
  </si>
  <si>
    <t>UNRESOLVED</t>
  </si>
  <si>
    <t>MAINLAND CHINA</t>
  </si>
  <si>
    <t>UNITED STATES</t>
  </si>
  <si>
    <t>Cases</t>
  </si>
  <si>
    <t>Deaths</t>
  </si>
  <si>
    <t>Serious</t>
  </si>
  <si>
    <t>Critical</t>
  </si>
  <si>
    <t>OTHER PLACES</t>
  </si>
  <si>
    <t>Recovered</t>
  </si>
  <si>
    <t>Links</t>
  </si>
  <si>
    <t>Hubei province (includes Wuhan)</t>
  </si>
  <si>
    <t>Washington</t>
  </si>
  <si>
    <t>-</t>
  </si>
  <si>
    <t>China</t>
  </si>
  <si>
    <t>Guangdong province</t>
  </si>
  <si>
    <t>New York</t>
  </si>
  <si>
    <t>Italy</t>
  </si>
  <si>
    <t>California</t>
  </si>
  <si>
    <t>Henan province</t>
  </si>
  <si>
    <t>Iran</t>
  </si>
  <si>
    <t>Zhejiang province</t>
  </si>
  <si>
    <t>Hunan province</t>
  </si>
  <si>
    <t>South Korea</t>
  </si>
  <si>
    <t>Massachusetts</t>
  </si>
  <si>
    <t>Beijing</t>
  </si>
  <si>
    <t>Spain</t>
  </si>
  <si>
    <t>Shanghai</t>
  </si>
  <si>
    <t>Colorado</t>
  </si>
  <si>
    <t>Other regions</t>
  </si>
  <si>
    <t>Dozens</t>
  </si>
  <si>
    <t>France</t>
  </si>
  <si>
    <t>Florida</t>
  </si>
  <si>
    <t>TOTAL</t>
  </si>
  <si>
    <t>Germany</t>
  </si>
  <si>
    <t>New Jersey</t>
  </si>
  <si>
    <t>United States</t>
  </si>
  <si>
    <t>Illinois</t>
  </si>
  <si>
    <t>Switzerland</t>
  </si>
  <si>
    <t>Diamond Princess</t>
  </si>
  <si>
    <t>United Kingdom</t>
  </si>
  <si>
    <t>Georgia</t>
  </si>
  <si>
    <t>Norway</t>
  </si>
  <si>
    <t>Pennsylvania</t>
  </si>
  <si>
    <t>Texas</t>
  </si>
  <si>
    <t>Netherlands</t>
  </si>
  <si>
    <t>Louisiana</t>
  </si>
  <si>
    <t>Sweden</t>
  </si>
  <si>
    <t>Oregon</t>
  </si>
  <si>
    <t>Denmark</t>
  </si>
  <si>
    <t>Japan</t>
  </si>
  <si>
    <t>Virginia</t>
  </si>
  <si>
    <t>Tennessee</t>
  </si>
  <si>
    <t>Michigan</t>
  </si>
  <si>
    <t>Austria</t>
  </si>
  <si>
    <t>Grand Princess</t>
  </si>
  <si>
    <t>Belgium</t>
  </si>
  <si>
    <t>Wisconsin</t>
  </si>
  <si>
    <t>Qatar</t>
  </si>
  <si>
    <t>Iowa</t>
  </si>
  <si>
    <t>CANADA</t>
  </si>
  <si>
    <t>Ontario</t>
  </si>
  <si>
    <t>Australia</t>
  </si>
  <si>
    <t>Maryland</t>
  </si>
  <si>
    <t>British Columbia</t>
  </si>
  <si>
    <t>Canada</t>
  </si>
  <si>
    <t>North Carolina</t>
  </si>
  <si>
    <t>Malaysia</t>
  </si>
  <si>
    <t>Kentucky</t>
  </si>
  <si>
    <t>Alberta</t>
  </si>
  <si>
    <t>Greece</t>
  </si>
  <si>
    <t>Quebec</t>
  </si>
  <si>
    <t>Rhode Island</t>
  </si>
  <si>
    <t>Manitoba</t>
  </si>
  <si>
    <t>Singapore</t>
  </si>
  <si>
    <t>Saskatchewan</t>
  </si>
  <si>
    <t>Minnesota</t>
  </si>
  <si>
    <t>Finland</t>
  </si>
  <si>
    <t>New Brunswick</t>
  </si>
  <si>
    <t>Bahrain</t>
  </si>
  <si>
    <t>Prince Edward Island</t>
  </si>
  <si>
    <t>Nebraska</t>
  </si>
  <si>
    <t>Czech Republic</t>
  </si>
  <si>
    <t>Newfoundland &amp; Labrador</t>
  </si>
  <si>
    <t>Hong Kong</t>
  </si>
  <si>
    <t>Nova Scotia</t>
  </si>
  <si>
    <t>South Carolina</t>
  </si>
  <si>
    <t>Iceland</t>
  </si>
  <si>
    <t>Northwest Territories</t>
  </si>
  <si>
    <t>Ohio</t>
  </si>
  <si>
    <t>Nunavut</t>
  </si>
  <si>
    <t>Philippines</t>
  </si>
  <si>
    <t>Yukon</t>
  </si>
  <si>
    <t>Indiana</t>
  </si>
  <si>
    <t>Israel</t>
  </si>
  <si>
    <t>Connecticut</t>
  </si>
  <si>
    <t>Kuwait</t>
  </si>
  <si>
    <t>District of Columbia</t>
  </si>
  <si>
    <t>Slovenia</t>
  </si>
  <si>
    <t>New Mexico</t>
  </si>
  <si>
    <t>United Arab Emirates</t>
  </si>
  <si>
    <t>Iraq</t>
  </si>
  <si>
    <t>Arizona</t>
  </si>
  <si>
    <t>Egypt</t>
  </si>
  <si>
    <t>South Dakota</t>
  </si>
  <si>
    <t>Portugal</t>
  </si>
  <si>
    <t>Arkansas</t>
  </si>
  <si>
    <t>San Marino</t>
  </si>
  <si>
    <t>New Hampshire</t>
  </si>
  <si>
    <t>Utah</t>
  </si>
  <si>
    <t>Brazil</t>
  </si>
  <si>
    <t>Thailand</t>
  </si>
  <si>
    <t>Mississippi</t>
  </si>
  <si>
    <t>India</t>
  </si>
  <si>
    <t>Kansas</t>
  </si>
  <si>
    <t>Ireland</t>
  </si>
  <si>
    <t>AUSTRALIA</t>
  </si>
  <si>
    <t>Alabama</t>
  </si>
  <si>
    <t>Indonesia</t>
  </si>
  <si>
    <t>New South Wales</t>
  </si>
  <si>
    <t>Nevada</t>
  </si>
  <si>
    <t>Lebanon</t>
  </si>
  <si>
    <t>Victoria</t>
  </si>
  <si>
    <t>Oklahoma</t>
  </si>
  <si>
    <t>Queensland</t>
  </si>
  <si>
    <t>Romania</t>
  </si>
  <si>
    <t>Missouri</t>
  </si>
  <si>
    <t>Poland</t>
  </si>
  <si>
    <t>South Australia</t>
  </si>
  <si>
    <t>Delaware</t>
  </si>
  <si>
    <t>Saudi Arabia</t>
  </si>
  <si>
    <t>Western Australia</t>
  </si>
  <si>
    <t>Montana</t>
  </si>
  <si>
    <t>Northern Territory</t>
  </si>
  <si>
    <t>Puerto Rico</t>
  </si>
  <si>
    <t>Russia</t>
  </si>
  <si>
    <t>Tasmania</t>
  </si>
  <si>
    <t>Wuhan</t>
  </si>
  <si>
    <t>Taiwan</t>
  </si>
  <si>
    <t>Canberra (ACT)</t>
  </si>
  <si>
    <t>Vietnam</t>
  </si>
  <si>
    <t>External territories</t>
  </si>
  <si>
    <t>Maine</t>
  </si>
  <si>
    <t>Jervis Bay Territory</t>
  </si>
  <si>
    <t>Estonia</t>
  </si>
  <si>
    <t>Hawaii</t>
  </si>
  <si>
    <t>TBD</t>
  </si>
  <si>
    <t>Chile</t>
  </si>
  <si>
    <t>Vermont</t>
  </si>
  <si>
    <t>Palestine</t>
  </si>
  <si>
    <t>Wyoming</t>
  </si>
  <si>
    <t>Argentina</t>
  </si>
  <si>
    <t>Alaska</t>
  </si>
  <si>
    <t>Serbia</t>
  </si>
  <si>
    <t>U.S. Virgin Islands</t>
  </si>
  <si>
    <t>Croatia</t>
  </si>
  <si>
    <t>Panama</t>
  </si>
  <si>
    <t>Idaho</t>
  </si>
  <si>
    <t>Luxembourg</t>
  </si>
  <si>
    <t>North Dakota</t>
  </si>
  <si>
    <t>Última actualización: 11 de Marzo de 2020 a las 7:40 p.m. (hora del centro)</t>
  </si>
  <si>
    <t>Algeria</t>
  </si>
  <si>
    <t>CASOS</t>
  </si>
  <si>
    <t>MUERTES</t>
  </si>
  <si>
    <t>RECUPERADOS</t>
  </si>
  <si>
    <t>West Virginia</t>
  </si>
  <si>
    <t>Costa Rica</t>
  </si>
  <si>
    <t>Mundo Hispano</t>
  </si>
  <si>
    <t>Casos</t>
  </si>
  <si>
    <t>Muertes</t>
  </si>
  <si>
    <t>Serios</t>
  </si>
  <si>
    <t>Criticos</t>
  </si>
  <si>
    <t>Recuperados</t>
  </si>
  <si>
    <t>American Samoa</t>
  </si>
  <si>
    <t>Albania</t>
  </si>
  <si>
    <t>Fuente</t>
  </si>
  <si>
    <t>Bulgaria</t>
  </si>
  <si>
    <t>España</t>
  </si>
  <si>
    <t>Guam</t>
  </si>
  <si>
    <t>Peru</t>
  </si>
  <si>
    <t>Brasil</t>
  </si>
  <si>
    <t>Northern Mariana Islands</t>
  </si>
  <si>
    <t>Pakistan</t>
  </si>
  <si>
    <t>Belarus</t>
  </si>
  <si>
    <t>Ecuador</t>
  </si>
  <si>
    <t>Slovakia</t>
  </si>
  <si>
    <t>Oman</t>
  </si>
  <si>
    <t>Panamá</t>
  </si>
  <si>
    <t>U.S. TOTAL</t>
  </si>
  <si>
    <t>México</t>
  </si>
  <si>
    <t>Colombia</t>
  </si>
  <si>
    <t>Rep. Dominicana</t>
  </si>
  <si>
    <t>Hungary</t>
  </si>
  <si>
    <t>Paraguay</t>
  </si>
  <si>
    <t>Latvia</t>
  </si>
  <si>
    <t>Cuba</t>
  </si>
  <si>
    <t>Bolivia</t>
  </si>
  <si>
    <t>South Africa</t>
  </si>
  <si>
    <t>Honduras</t>
  </si>
  <si>
    <t>Cyprus</t>
  </si>
  <si>
    <t>Tunisia</t>
  </si>
  <si>
    <t>Mexico</t>
  </si>
  <si>
    <t>Malta</t>
  </si>
  <si>
    <t>Azerbaijan</t>
  </si>
  <si>
    <t>Bosnia</t>
  </si>
  <si>
    <t>Macau</t>
  </si>
  <si>
    <t>Senegal</t>
  </si>
  <si>
    <t>Maldives</t>
  </si>
  <si>
    <t>Jamaica</t>
  </si>
  <si>
    <t>Afghanistan</t>
  </si>
  <si>
    <t>North Macedonia</t>
  </si>
  <si>
    <t>Morocco</t>
  </si>
  <si>
    <t>Moldova</t>
  </si>
  <si>
    <t>Cambodia</t>
  </si>
  <si>
    <t>Dominican Republic</t>
  </si>
  <si>
    <t>New Zealand</t>
  </si>
  <si>
    <t>Liechtenstein</t>
  </si>
  <si>
    <t>Ukraine</t>
  </si>
  <si>
    <t>Bangladesh</t>
  </si>
  <si>
    <t>Lithuania</t>
  </si>
  <si>
    <t>Cameroon</t>
  </si>
  <si>
    <t>Nigeria</t>
  </si>
  <si>
    <t>Monaco</t>
  </si>
  <si>
    <t>Sri Lanka</t>
  </si>
  <si>
    <t>Turkey</t>
  </si>
  <si>
    <t>Togo</t>
  </si>
  <si>
    <t>Nepal</t>
  </si>
  <si>
    <t>Jordan</t>
  </si>
  <si>
    <t>Andorra</t>
  </si>
  <si>
    <t>Armenia</t>
  </si>
  <si>
    <t>Bhutan</t>
  </si>
  <si>
    <t>Gibraltar</t>
  </si>
  <si>
    <t>Vatican City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</si>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</sst>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6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b/>
      <sz val="11.0"/>
      <color theme="1"/>
      <name val="Arial"/>
    </font>
    <font>
      <sz val="11.0"/>
      <color rgb="FF0A0A0A"/>
      <name val="Roboto"/>
    </font>
    <font>
      <sz val="11.0"/>
      <color rgb="FF000000"/>
      <name val="Arial"/>
    </font>
    <font>
      <sz val="11.0"/>
      <color rgb="FFFFFFFF"/>
      <name val="Roboto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3" xfId="0" applyAlignment="1" applyFont="1" applyNumberFormat="1">
      <alignment horizontal="left" vertical="bottom"/>
    </xf>
    <xf borderId="0" fillId="0" fontId="5" numFmtId="0" xfId="0" applyAlignment="1" applyFont="1">
      <alignment readingOrder="0" vertical="bottom"/>
    </xf>
    <xf borderId="0" fillId="0" fontId="9" numFmtId="3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7" numFmtId="0" xfId="0" applyAlignment="1" applyFill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10" numFmtId="3" xfId="0" applyAlignment="1" applyFont="1" applyNumberFormat="1">
      <alignment horizontal="left" vertical="bottom"/>
    </xf>
    <xf borderId="0" fillId="2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3" fontId="4" numFmtId="0" xfId="0" applyAlignment="1" applyFill="1" applyFont="1">
      <alignment vertical="center"/>
    </xf>
    <xf borderId="0" fillId="0" fontId="4" numFmtId="0" xfId="0" applyAlignment="1" applyFont="1">
      <alignment vertical="center"/>
    </xf>
    <xf borderId="0" fillId="3" fontId="4" numFmtId="0" xfId="0" applyAlignment="1" applyFont="1">
      <alignment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2" fontId="11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11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2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1" numFmtId="3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vertical="center"/>
    </xf>
    <xf borderId="0" fillId="2" fontId="13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4" fontId="11" numFmtId="3" xfId="0" applyAlignment="1" applyFont="1" applyNumberForma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vertical="center"/>
    </xf>
    <xf borderId="0" fillId="4" fontId="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4" fontId="4" numFmtId="3" xfId="0" applyAlignment="1" applyFont="1" applyNumberFormat="1">
      <alignment horizontal="center" readingOrder="0" shrinkToFit="0" vertical="center" wrapText="1"/>
    </xf>
    <xf borderId="0" fillId="4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2" fontId="11" numFmtId="3" xfId="0" applyAlignment="1" applyFont="1" applyNumberFormat="1">
      <alignment horizontal="center" readingOrder="0" shrinkToFit="0" vertical="center" wrapText="1"/>
    </xf>
    <xf borderId="0" fillId="3" fontId="16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0" fontId="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20" numFmtId="0" xfId="0" applyAlignment="1" applyFont="1">
      <alignment readingOrder="0" vertical="center"/>
    </xf>
    <xf borderId="0" fillId="5" fontId="16" numFmtId="0" xfId="0" applyAlignment="1" applyFont="1">
      <alignment vertical="center"/>
    </xf>
    <xf borderId="0" fillId="0" fontId="21" numFmtId="0" xfId="0" applyAlignment="1" applyFont="1">
      <alignment horizontal="center" readingOrder="0" shrinkToFit="0" vertical="center" wrapText="1"/>
    </xf>
    <xf borderId="0" fillId="5" fontId="22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3" fontId="22" numFmtId="0" xfId="0" applyAlignment="1" applyFont="1">
      <alignment vertical="center"/>
    </xf>
    <xf borderId="0" fillId="4" fontId="4" numFmtId="0" xfId="0" applyAlignment="1" applyFont="1">
      <alignment horizontal="center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3" fontId="23" numFmtId="3" xfId="0" applyAlignment="1" applyFont="1" applyNumberFormat="1">
      <alignment horizontal="center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vertical="center"/>
    </xf>
    <xf borderId="0" fillId="3" fontId="4" numFmtId="0" xfId="0" applyFont="1"/>
    <xf borderId="0" fillId="0" fontId="21" numFmtId="0" xfId="0" applyAlignment="1" applyFont="1">
      <alignment horizontal="center" readingOrder="0" vertical="center"/>
    </xf>
    <xf borderId="0" fillId="3" fontId="23" numFmtId="0" xfId="0" applyAlignment="1" applyFont="1">
      <alignment horizontal="left" readingOrder="0" vertical="center"/>
    </xf>
    <xf borderId="0" fillId="3" fontId="23" numFmtId="0" xfId="0" applyAlignment="1" applyFont="1">
      <alignment horizontal="center" readingOrder="0" vertical="center"/>
    </xf>
    <xf borderId="0" fillId="3" fontId="24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0" fillId="0" fontId="18" numFmtId="3" xfId="0" applyAlignment="1" applyFont="1" applyNumberFormat="1">
      <alignment horizontal="center" vertical="center"/>
    </xf>
    <xf borderId="0" fillId="0" fontId="17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5" numFmtId="3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World!$A$7:$A$115</c:f>
            </c:strRef>
          </c:cat>
          <c:val>
            <c:numRef>
              <c:f>World!$B$7:$B$115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World!$A$7:$A$115</c:f>
            </c:strRef>
          </c:cat>
          <c:val>
            <c:numRef>
              <c:f>World!$C$7:$C$115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6:G118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4" id="4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43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1.14"/>
  </cols>
  <sheetData>
    <row r="1">
      <c r="A1" s="2" t="s">
        <v>1</v>
      </c>
      <c r="B1" s="3"/>
      <c r="C1" s="3"/>
      <c r="D1" s="5"/>
      <c r="E1" s="5"/>
      <c r="F1" s="6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/>
      <c r="B2" s="3"/>
      <c r="C2" s="3"/>
      <c r="D2" s="5"/>
      <c r="E2" s="5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 t="s">
        <v>2</v>
      </c>
      <c r="B3" s="3" t="s">
        <v>3</v>
      </c>
      <c r="D3" s="5" t="s">
        <v>4</v>
      </c>
      <c r="F3" s="9" t="s">
        <v>5</v>
      </c>
      <c r="H3" s="5"/>
      <c r="I3" s="1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8">
        <f t="shared" ref="A4:B4" si="1">SUM(B117, B118)</f>
        <v>153957</v>
      </c>
      <c r="B4" s="8">
        <f t="shared" si="1"/>
        <v>5793</v>
      </c>
      <c r="D4" s="10">
        <f>SUM(F117, F118)</f>
        <v>74016</v>
      </c>
      <c r="F4" s="15">
        <f>MINUS(A4,B4+D4)</f>
        <v>74148</v>
      </c>
      <c r="H4" s="10"/>
      <c r="I4" s="1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2"/>
      <c r="B5" s="7"/>
      <c r="C5" s="7"/>
      <c r="D5" s="6"/>
      <c r="E5" s="6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30.0" customHeight="1">
      <c r="A6" s="17" t="s">
        <v>12</v>
      </c>
      <c r="B6" s="22" t="s">
        <v>8</v>
      </c>
      <c r="C6" s="22" t="s">
        <v>9</v>
      </c>
      <c r="D6" s="24" t="s">
        <v>10</v>
      </c>
      <c r="E6" s="26" t="s">
        <v>11</v>
      </c>
      <c r="F6" s="26" t="s">
        <v>13</v>
      </c>
      <c r="G6" s="22"/>
      <c r="H6" s="18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30.0" customHeight="1">
      <c r="A7" s="29" t="s">
        <v>18</v>
      </c>
      <c r="B7" s="33">
        <v>80824.0</v>
      </c>
      <c r="C7" s="33">
        <v>3189.0</v>
      </c>
      <c r="D7" s="35">
        <v>3610.0</v>
      </c>
      <c r="E7" s="38" t="s">
        <v>17</v>
      </c>
      <c r="F7" s="35">
        <v>65541.0</v>
      </c>
      <c r="G7" s="43" t="str">
        <f>HYPERLINK("http://www.nhc.gov.cn/yjb/s7860/202003/ec0119a5881543288efd5b5c8008387b.shtml","Source")</f>
        <v>Source</v>
      </c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30.0" customHeight="1">
      <c r="A8" s="29" t="s">
        <v>21</v>
      </c>
      <c r="B8" s="33">
        <v>21157.0</v>
      </c>
      <c r="C8" s="33">
        <v>1441.0</v>
      </c>
      <c r="D8" s="35">
        <v>1518.0</v>
      </c>
      <c r="E8" s="38" t="s">
        <v>17</v>
      </c>
      <c r="F8" s="35">
        <v>1966.0</v>
      </c>
      <c r="G8" s="43" t="str">
        <f>HYPERLINK("https://pbs.twimg.com/media/ETFd5EKXQAABGVm?format=jpg&amp;name=medium","Source")</f>
        <v>Source</v>
      </c>
      <c r="H8" s="41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30.0" customHeight="1">
      <c r="A9" s="29" t="s">
        <v>24</v>
      </c>
      <c r="B9" s="33">
        <v>12729.0</v>
      </c>
      <c r="C9" s="47">
        <v>611.0</v>
      </c>
      <c r="D9" s="38" t="s">
        <v>17</v>
      </c>
      <c r="E9" s="38" t="s">
        <v>17</v>
      </c>
      <c r="F9" s="35">
        <v>4339.0</v>
      </c>
      <c r="G9" s="43" t="str">
        <f>HYPERLINK("https://twitter.com/aliarouzi/status/1238773867319091201","Source")</f>
        <v>Source</v>
      </c>
      <c r="H9" s="41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30.0" customHeight="1">
      <c r="A10" s="29" t="s">
        <v>27</v>
      </c>
      <c r="B10" s="33">
        <v>8086.0</v>
      </c>
      <c r="C10" s="47">
        <v>72.0</v>
      </c>
      <c r="D10" s="38" t="s">
        <v>17</v>
      </c>
      <c r="E10" s="38">
        <v>36.0</v>
      </c>
      <c r="F10" s="38">
        <v>714.0</v>
      </c>
      <c r="G10" s="43" t="str">
        <f>HYPERLINK("http://ncov.mohw.go.kr/tcmBoardView.do?brdId=&amp;brdGubun=&amp;dataGubun=&amp;ncvContSeq=353548&amp;contSeq=353548&amp;board_id=&amp;gubun=ALL","Source")</f>
        <v>Source</v>
      </c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30.0" customHeight="1">
      <c r="A11" s="29" t="s">
        <v>30</v>
      </c>
      <c r="B11" s="33">
        <v>6043.0</v>
      </c>
      <c r="C11" s="47">
        <v>191.0</v>
      </c>
      <c r="D11" s="38">
        <v>293.0</v>
      </c>
      <c r="E11" s="38" t="s">
        <v>17</v>
      </c>
      <c r="F11" s="38">
        <v>517.0</v>
      </c>
      <c r="G11" s="43" t="str">
        <f>HYPERLINK("https://www.rtve.es/noticias/20200314/mapa-del-coronavirus-espana/2004681.shtml","Source")</f>
        <v>Source</v>
      </c>
      <c r="H11" s="18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30.0" customHeight="1">
      <c r="A12" s="29" t="s">
        <v>35</v>
      </c>
      <c r="B12" s="33">
        <v>4499.0</v>
      </c>
      <c r="C12" s="47">
        <v>91.0</v>
      </c>
      <c r="D12" s="38">
        <v>154.0</v>
      </c>
      <c r="E12" s="38" t="s">
        <v>17</v>
      </c>
      <c r="F12" s="38">
        <v>12.0</v>
      </c>
      <c r="G12" s="4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2" s="18"/>
      <c r="I12" s="18"/>
      <c r="J12" s="2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30.0" customHeight="1">
      <c r="A13" s="29" t="s">
        <v>38</v>
      </c>
      <c r="B13" s="33">
        <v>4181.0</v>
      </c>
      <c r="C13" s="47">
        <v>8.0</v>
      </c>
      <c r="D13" s="38" t="s">
        <v>17</v>
      </c>
      <c r="E13" s="38">
        <v>2.0</v>
      </c>
      <c r="F13" s="38">
        <v>46.0</v>
      </c>
      <c r="G13" s="43" t="str">
        <f>HYPERLINK("https://interaktiv.morgenpost.de/corona-virus-karte-infektionen-deutschland-weltweit/?fbclid=IwAR04HlqzakGaNssQzbz4d8o8R3gz0C910U8tvfYlBT6P0lVJJvHfk9uS2rc","Source")</f>
        <v>Source</v>
      </c>
      <c r="H13" s="18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30.0" customHeight="1">
      <c r="A14" s="29" t="s">
        <v>40</v>
      </c>
      <c r="B14" s="33">
        <v>2663.0</v>
      </c>
      <c r="C14" s="47">
        <v>53.0</v>
      </c>
      <c r="D14" s="38" t="s">
        <v>17</v>
      </c>
      <c r="E14" s="38">
        <v>4.0</v>
      </c>
      <c r="F14" s="38">
        <v>9.0</v>
      </c>
      <c r="G14" s="43" t="str">
        <f>HYPERLINK("https://www.doh.wa.gov/Emergencies/Coronavirus","Source")</f>
        <v>Source</v>
      </c>
      <c r="H14" s="53"/>
      <c r="I14" s="5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30.0" customHeight="1">
      <c r="A15" s="29" t="s">
        <v>42</v>
      </c>
      <c r="B15" s="33">
        <v>1355.0</v>
      </c>
      <c r="C15" s="47">
        <v>13.0</v>
      </c>
      <c r="D15" s="38" t="s">
        <v>17</v>
      </c>
      <c r="E15" s="38" t="s">
        <v>17</v>
      </c>
      <c r="F15" s="38">
        <v>4.0</v>
      </c>
      <c r="G15" s="43" t="str">
        <f>HYPERLINK("https://twitter.com/BAG_OFSP_UFSP/status/1238773861082116096","Source")</f>
        <v>Source</v>
      </c>
      <c r="H15" s="41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30.0" customHeight="1">
      <c r="A16" s="29" t="s">
        <v>44</v>
      </c>
      <c r="B16" s="33">
        <v>1140.0</v>
      </c>
      <c r="C16" s="47">
        <v>21.0</v>
      </c>
      <c r="D16" s="38">
        <v>20.0</v>
      </c>
      <c r="E16" s="38" t="s">
        <v>17</v>
      </c>
      <c r="F16" s="38">
        <v>18.0</v>
      </c>
      <c r="G16" s="43" t="str">
        <f>HYPERLINK("https://twitter.com/DHSCgovuk/status/1238837700943323136","Source")</f>
        <v>Source</v>
      </c>
      <c r="H16" s="41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30.0" customHeight="1">
      <c r="A17" s="29" t="s">
        <v>46</v>
      </c>
      <c r="B17" s="33">
        <v>1042.0</v>
      </c>
      <c r="C17" s="47">
        <v>2.0</v>
      </c>
      <c r="D17" s="38" t="s">
        <v>17</v>
      </c>
      <c r="E17" s="38" t="s">
        <v>17</v>
      </c>
      <c r="F17" s="38" t="s">
        <v>17</v>
      </c>
      <c r="G17" s="43" t="str">
        <f>HYPERLINK("https://www.vg.no/spesial/2020/corona-viruset/?utm_source=vgfront&amp;utm_content=row-1","Source")</f>
        <v>Source</v>
      </c>
      <c r="H17" s="18"/>
      <c r="I17" s="18"/>
      <c r="J17" s="62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30.0" customHeight="1">
      <c r="A18" s="29" t="s">
        <v>49</v>
      </c>
      <c r="B18" s="47">
        <v>959.0</v>
      </c>
      <c r="C18" s="47">
        <v>12.0</v>
      </c>
      <c r="D18" s="38" t="s">
        <v>17</v>
      </c>
      <c r="E18" s="38">
        <v>45.0</v>
      </c>
      <c r="F18" s="38">
        <v>2.0</v>
      </c>
      <c r="G18" s="43" t="str">
        <f>HYPERLINK("https://www.rivm.nl/nieuws/actuele-informatie-over-coronavirus","Source")</f>
        <v>Source</v>
      </c>
      <c r="H18" s="41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30.0" customHeight="1">
      <c r="A19" s="29" t="s">
        <v>51</v>
      </c>
      <c r="B19" s="47">
        <v>948.0</v>
      </c>
      <c r="C19" s="47">
        <v>2.0</v>
      </c>
      <c r="D19" s="38" t="s">
        <v>17</v>
      </c>
      <c r="E19" s="38" t="s">
        <v>17</v>
      </c>
      <c r="F19" s="38" t="s">
        <v>17</v>
      </c>
      <c r="G19" s="43" t="str">
        <f>HYPERLINK("https://www.aftonbladet.se/nyheter/a/y3rdeA/coronaviruset-har-ar-de-senaste-siffrorna","Source")</f>
        <v>Source</v>
      </c>
      <c r="H19" s="41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30.0" customHeight="1">
      <c r="A20" s="29" t="s">
        <v>53</v>
      </c>
      <c r="B20" s="47">
        <v>804.0</v>
      </c>
      <c r="C20" s="47">
        <v>0.0</v>
      </c>
      <c r="D20" s="38" t="s">
        <v>17</v>
      </c>
      <c r="E20" s="38" t="s">
        <v>17</v>
      </c>
      <c r="F20" s="38" t="s">
        <v>17</v>
      </c>
      <c r="G20" s="43" t="str">
        <f>HYPERLINK("https://politi.dk/coronavirus-i-danmark/foelg-smittespredningen-globalt-regionalt-og-lokalt","Source")</f>
        <v>Source</v>
      </c>
      <c r="H20" s="41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30.0" customHeight="1">
      <c r="A21" s="29" t="s">
        <v>54</v>
      </c>
      <c r="B21" s="47">
        <v>786.0</v>
      </c>
      <c r="C21" s="47">
        <v>22.0</v>
      </c>
      <c r="D21" s="38">
        <v>32.0</v>
      </c>
      <c r="E21" s="38" t="s">
        <v>17</v>
      </c>
      <c r="F21" s="38">
        <v>59.0</v>
      </c>
      <c r="G21" s="43" t="str">
        <f>HYPERLINK("https://www3.nhk.or.jp/news/html/20200315/k10012332011000.html?utm_int=word_contents_list-items_007&amp;word_result=%E6%96%B0%E5%9E%8B%E3%82%B3%E3%83%AD%E3%83%8A%E3%82%A6%E3%82%A4%E3%83%AB%E3%82%B9","Source")</f>
        <v>Source</v>
      </c>
      <c r="H21" s="63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30.0" customHeight="1">
      <c r="A22" s="29" t="s">
        <v>43</v>
      </c>
      <c r="B22" s="47">
        <v>697.0</v>
      </c>
      <c r="C22" s="47">
        <v>7.0</v>
      </c>
      <c r="D22" s="38">
        <v>14.0</v>
      </c>
      <c r="E22" s="38" t="s">
        <v>17</v>
      </c>
      <c r="F22" s="38">
        <v>245.0</v>
      </c>
      <c r="G22" s="43" t="str">
        <f>HYPERLINK("https://www.mhlw.go.jp/stf/newpage_10161.html","Source")</f>
        <v>Source</v>
      </c>
      <c r="H22" s="41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30.0" customHeight="1">
      <c r="A23" s="29" t="s">
        <v>58</v>
      </c>
      <c r="B23" s="47">
        <v>655.0</v>
      </c>
      <c r="C23" s="47">
        <v>1.0</v>
      </c>
      <c r="D23" s="38" t="s">
        <v>17</v>
      </c>
      <c r="E23" s="38" t="s">
        <v>17</v>
      </c>
      <c r="F23" s="38">
        <v>6.0</v>
      </c>
      <c r="G23" s="43" t="str">
        <f>HYPERLINK("https://twitter.com/bmsgpk/status/1238840778820116480","Source")</f>
        <v>Source</v>
      </c>
      <c r="H23" s="41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30.0" customHeight="1">
      <c r="A24" s="29" t="s">
        <v>60</v>
      </c>
      <c r="B24" s="47">
        <v>689.0</v>
      </c>
      <c r="C24" s="47">
        <v>4.0</v>
      </c>
      <c r="D24" s="38" t="s">
        <v>17</v>
      </c>
      <c r="E24" s="38" t="s">
        <v>17</v>
      </c>
      <c r="F24" s="38">
        <v>1.0</v>
      </c>
      <c r="G24" s="43" t="str">
        <f>HYPERLINK("https://www.info-coronavirus.be/nl/2020/03/14/133-nieuwe-besmettingen-met-coronavirus-covid-19/","Source")</f>
        <v>Source</v>
      </c>
      <c r="H24" s="41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30.0" customHeight="1">
      <c r="A25" s="29" t="s">
        <v>62</v>
      </c>
      <c r="B25" s="47">
        <v>337.0</v>
      </c>
      <c r="C25" s="47">
        <v>0.0</v>
      </c>
      <c r="D25" s="38" t="s">
        <v>17</v>
      </c>
      <c r="E25" s="38" t="s">
        <v>17</v>
      </c>
      <c r="F25" s="38">
        <v>4.0</v>
      </c>
      <c r="G25" s="43" t="str">
        <f>HYPERLINK("https://www.moph.gov.qa/arabic/mediacenter/News/Pages/NewsDetails.aspx?ItemId=102","Source")</f>
        <v>Source</v>
      </c>
      <c r="H25" s="41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30.0" customHeight="1">
      <c r="A26" s="29" t="s">
        <v>66</v>
      </c>
      <c r="B26" s="47">
        <v>247.0</v>
      </c>
      <c r="C26" s="47">
        <v>3.0</v>
      </c>
      <c r="D26" s="38" t="s">
        <v>17</v>
      </c>
      <c r="E26" s="38" t="s">
        <v>17</v>
      </c>
      <c r="F26" s="38">
        <v>27.0</v>
      </c>
      <c r="G26" s="43" t="str">
        <f>HYPERLINK("https://www.health.nsw.gov.au/news/Pages/20200314_00.aspx","Source")</f>
        <v>Source</v>
      </c>
      <c r="H26" s="18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30.0" customHeight="1">
      <c r="A27" s="29" t="s">
        <v>69</v>
      </c>
      <c r="B27" s="47">
        <v>247.0</v>
      </c>
      <c r="C27" s="47">
        <v>1.0</v>
      </c>
      <c r="D27" s="38" t="s">
        <v>17</v>
      </c>
      <c r="E27" s="38">
        <v>1.0</v>
      </c>
      <c r="F27" s="38">
        <v>11.0</v>
      </c>
      <c r="G27" s="43" t="str">
        <f>HYPERLINK("https://www.gov.nl.ca/covid-19/","Source")</f>
        <v>Source</v>
      </c>
      <c r="H27" s="18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30.0" customHeight="1">
      <c r="A28" s="29" t="s">
        <v>71</v>
      </c>
      <c r="B28" s="47">
        <v>238.0</v>
      </c>
      <c r="C28" s="47">
        <v>0.0</v>
      </c>
      <c r="D28" s="38">
        <v>5.0</v>
      </c>
      <c r="E28" s="38" t="s">
        <v>17</v>
      </c>
      <c r="F28" s="38">
        <v>35.0</v>
      </c>
      <c r="G28" s="43" t="str">
        <f>HYPERLINK("https://kpkesihatan.com/2020/03/14/kenyataan-akhbar-kpk-14-mac-2020-situasi-semasa-jangkitan-penyakit-coronavirus-2019-covid-19-di-malaysia/","Source")</f>
        <v>Source</v>
      </c>
      <c r="H28" s="41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30.0" customHeight="1">
      <c r="A29" s="29" t="s">
        <v>74</v>
      </c>
      <c r="B29" s="47">
        <v>228.0</v>
      </c>
      <c r="C29" s="47">
        <v>3.0</v>
      </c>
      <c r="D29" s="38">
        <v>5.0</v>
      </c>
      <c r="E29" s="38" t="s">
        <v>17</v>
      </c>
      <c r="F29" s="38">
        <v>8.0</v>
      </c>
      <c r="G29" s="43" t="str">
        <f>HYPERLINK("https://www.moh.gov.gr/articles/ministry/grafeio-typoy/press-releases/6869-enhmerwsh-diapisteymenwn-syntaktwn-ygeias-apo-ton-ekproswpo-toy-ypoyrgeioy-ygeias-gia-to-neo-koronoio-kathhghth-swthrh-tsiodra-14-3-2020","Source")</f>
        <v>Source</v>
      </c>
      <c r="H29" s="41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30.0" customHeight="1">
      <c r="A30" s="29" t="s">
        <v>78</v>
      </c>
      <c r="B30" s="47">
        <v>212.0</v>
      </c>
      <c r="C30" s="47">
        <v>0.0</v>
      </c>
      <c r="D30" s="38" t="s">
        <v>17</v>
      </c>
      <c r="E30" s="38">
        <v>14.0</v>
      </c>
      <c r="F30" s="38">
        <v>105.0</v>
      </c>
      <c r="G30" s="43" t="str">
        <f>HYPERLINK("https://www.moh.gov.sg/news-highlights/details/eight-more-cases-discharged-twelve-new-cases-of-covid-19-infection-confirmed","Source")</f>
        <v>Source</v>
      </c>
      <c r="H30" s="41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30.0" customHeight="1">
      <c r="A31" s="29" t="s">
        <v>81</v>
      </c>
      <c r="B31" s="47">
        <v>210.0</v>
      </c>
      <c r="C31" s="47">
        <v>0.0</v>
      </c>
      <c r="D31" s="38" t="s">
        <v>17</v>
      </c>
      <c r="E31" s="38" t="s">
        <v>17</v>
      </c>
      <c r="F31" s="38">
        <v>1.0</v>
      </c>
      <c r="G31" s="43" t="str">
        <f>HYPERLINK("https://thl.fi/fi/-/suomessa-on-todettu-55-uutta-koronavirustartuntaa?redirect=%2Ffi%2Fajankohtaista","Source")</f>
        <v>Source</v>
      </c>
      <c r="H31" s="41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30.0" customHeight="1">
      <c r="A32" s="29" t="s">
        <v>83</v>
      </c>
      <c r="B32" s="47">
        <v>197.0</v>
      </c>
      <c r="C32" s="47">
        <v>0.0</v>
      </c>
      <c r="D32" s="38" t="s">
        <v>17</v>
      </c>
      <c r="E32" s="38">
        <v>2.0</v>
      </c>
      <c r="F32" s="38">
        <v>60.0</v>
      </c>
      <c r="G32" s="43" t="str">
        <f>HYPERLINK("https://www.moh.gov.bh/COVID19","Source")</f>
        <v>Source</v>
      </c>
      <c r="H32" s="63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30.0" customHeight="1">
      <c r="A33" s="29" t="s">
        <v>86</v>
      </c>
      <c r="B33" s="47">
        <v>177.0</v>
      </c>
      <c r="C33" s="47">
        <v>0.0</v>
      </c>
      <c r="D33" s="38">
        <v>2.0</v>
      </c>
      <c r="E33" s="38">
        <v>0.0</v>
      </c>
      <c r="F33" s="38">
        <v>0.0</v>
      </c>
      <c r="G33" s="43" t="str">
        <f>HYPERLINK("https://onemocneni-aktualne.mzcr.cz/covid-19","Source")</f>
        <v>Source</v>
      </c>
      <c r="H33" s="41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30.0" customHeight="1">
      <c r="A34" s="29" t="s">
        <v>88</v>
      </c>
      <c r="B34" s="47">
        <v>142.0</v>
      </c>
      <c r="C34" s="47">
        <v>4.0</v>
      </c>
      <c r="D34" s="38">
        <v>2.0</v>
      </c>
      <c r="E34" s="38">
        <v>2.0</v>
      </c>
      <c r="F34" s="38">
        <v>81.0</v>
      </c>
      <c r="G34" s="43" t="str">
        <f>HYPERLINK("https://www.info.gov.hk/gia/general/202003/15/P2020031400856.htm","Source")</f>
        <v>Source</v>
      </c>
      <c r="H34" s="41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30.0" customHeight="1">
      <c r="A35" s="29" t="s">
        <v>91</v>
      </c>
      <c r="B35" s="47">
        <v>134.0</v>
      </c>
      <c r="C35" s="47">
        <v>0.0</v>
      </c>
      <c r="D35" s="38">
        <v>1.0</v>
      </c>
      <c r="E35" s="38" t="s">
        <v>17</v>
      </c>
      <c r="F35" s="38" t="s">
        <v>17</v>
      </c>
      <c r="G35" s="43" t="str">
        <f>HYPERLINK("https://www.facebook.com/Almannavarnir/posts/3151466688218426","Source")</f>
        <v>Source</v>
      </c>
      <c r="H35" s="65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30.0" customHeight="1">
      <c r="A36" s="29" t="s">
        <v>95</v>
      </c>
      <c r="B36" s="47">
        <v>111.0</v>
      </c>
      <c r="C36" s="47">
        <v>8.0</v>
      </c>
      <c r="D36" s="38">
        <v>1.0</v>
      </c>
      <c r="E36" s="38" t="s">
        <v>17</v>
      </c>
      <c r="F36" s="38">
        <v>2.0</v>
      </c>
      <c r="G36" s="43" t="str">
        <f>HYPERLINK("https://twitter.com/DOHgovph/status/1238814048537309184","Source")</f>
        <v>Source</v>
      </c>
      <c r="H36" s="18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30.0" customHeight="1">
      <c r="A37" s="29" t="s">
        <v>98</v>
      </c>
      <c r="B37" s="47">
        <v>109.0</v>
      </c>
      <c r="C37" s="47">
        <v>0.0</v>
      </c>
      <c r="D37" s="38">
        <v>2.0</v>
      </c>
      <c r="E37" s="38" t="s">
        <v>17</v>
      </c>
      <c r="F37" s="38">
        <v>3.0</v>
      </c>
      <c r="G37" s="43" t="str">
        <f>HYPERLINK("https://www.timesofisrael.com/coronavirus-cases-in-israel-up-to-109-including-1-5-year-old-baby/","Source")</f>
        <v>Source</v>
      </c>
      <c r="H37" s="18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30.0" customHeight="1">
      <c r="A38" s="29" t="s">
        <v>100</v>
      </c>
      <c r="B38" s="47">
        <v>100.0</v>
      </c>
      <c r="C38" s="47">
        <v>0.0</v>
      </c>
      <c r="D38" s="38">
        <v>4.0</v>
      </c>
      <c r="E38" s="38" t="s">
        <v>17</v>
      </c>
      <c r="F38" s="38">
        <v>5.0</v>
      </c>
      <c r="G38" s="43" t="str">
        <f>HYPERLINK("https://twitter.com/KUWAIT_MOH/status/1238444338868301824","Source")</f>
        <v>Source</v>
      </c>
      <c r="H38" s="18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27.75" customHeight="1">
      <c r="A39" s="29" t="s">
        <v>102</v>
      </c>
      <c r="B39" s="47">
        <v>96.0</v>
      </c>
      <c r="C39" s="47">
        <v>0.0</v>
      </c>
      <c r="D39" s="38">
        <v>0.0</v>
      </c>
      <c r="E39" s="38">
        <v>0.0</v>
      </c>
      <c r="F39" s="38">
        <v>0.0</v>
      </c>
      <c r="G39" s="43" t="str">
        <f>HYPERLINK("https://www.gov.si/novice/2020-03-12-slovenija-razglasila-epidemijo-novega-koronavirusa/","Source")</f>
        <v>Source</v>
      </c>
      <c r="H39" s="18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30.0" customHeight="1">
      <c r="A40" s="29" t="s">
        <v>104</v>
      </c>
      <c r="B40" s="47">
        <v>85.0</v>
      </c>
      <c r="C40" s="47">
        <v>0.0</v>
      </c>
      <c r="D40" s="38" t="s">
        <v>17</v>
      </c>
      <c r="E40" s="38" t="s">
        <v>17</v>
      </c>
      <c r="F40" s="38">
        <v>20.0</v>
      </c>
      <c r="G40" s="43" t="str">
        <f>HYPERLINK("https://twitter.com/DHA_Dubai/status/1238089143571398658","Source")</f>
        <v>Source</v>
      </c>
      <c r="H40" s="18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30.0" customHeight="1">
      <c r="A41" s="29" t="s">
        <v>105</v>
      </c>
      <c r="B41" s="47">
        <v>83.0</v>
      </c>
      <c r="C41" s="47">
        <v>8.0</v>
      </c>
      <c r="D41" s="38" t="s">
        <v>17</v>
      </c>
      <c r="E41" s="38" t="s">
        <v>17</v>
      </c>
      <c r="F41" s="38">
        <v>15.0</v>
      </c>
      <c r="G41" s="43" t="str">
        <f>HYPERLINK("https://www.facebook.com/MOH.GOV.IQ/photos/a.860171854037214/2795842763803437/","Source")</f>
        <v>Source</v>
      </c>
      <c r="H41" s="18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30.0" customHeight="1">
      <c r="A42" s="29" t="s">
        <v>107</v>
      </c>
      <c r="B42" s="47">
        <v>80.0</v>
      </c>
      <c r="C42" s="47">
        <v>2.0</v>
      </c>
      <c r="D42" s="38" t="s">
        <v>17</v>
      </c>
      <c r="E42" s="38" t="s">
        <v>17</v>
      </c>
      <c r="F42" s="38">
        <v>27.0</v>
      </c>
      <c r="G42" s="43" t="str">
        <f>HYPERLINK("https://www.facebook.com/EgyMohpSpokes/photos/a.526422597694914/1120482314955603/","Source")</f>
        <v>Source</v>
      </c>
      <c r="H42" s="18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30.0" customHeight="1">
      <c r="A43" s="29" t="s">
        <v>109</v>
      </c>
      <c r="B43" s="47">
        <v>78.0</v>
      </c>
      <c r="C43" s="47">
        <v>0.0</v>
      </c>
      <c r="D43" s="66"/>
      <c r="E43" s="66"/>
      <c r="F43" s="66"/>
      <c r="G43" s="43" t="str">
        <f>HYPERLINK("https://www.dgs.pt/em-destaque/relatorio-de-situacao-n-010-12032020-pdf.aspx","Source")</f>
        <v>Source</v>
      </c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30.0" customHeight="1">
      <c r="A44" s="29" t="s">
        <v>111</v>
      </c>
      <c r="B44" s="47">
        <v>77.0</v>
      </c>
      <c r="C44" s="47">
        <v>5.0</v>
      </c>
      <c r="D44" s="38">
        <v>5.0</v>
      </c>
      <c r="E44" s="38" t="s">
        <v>17</v>
      </c>
      <c r="F44" s="38" t="s">
        <v>17</v>
      </c>
      <c r="G44" s="43" t="str">
        <f>HYPERLINK("http://www.iss.sm/on-line/home/articolo49014098.html","Source")</f>
        <v>Source</v>
      </c>
      <c r="H44" s="67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30.0" customHeight="1">
      <c r="A45" s="29" t="s">
        <v>114</v>
      </c>
      <c r="B45" s="47">
        <v>76.0</v>
      </c>
      <c r="C45" s="47">
        <v>0.0</v>
      </c>
      <c r="D45" s="38" t="s">
        <v>17</v>
      </c>
      <c r="E45" s="38" t="s">
        <v>17</v>
      </c>
      <c r="F45" s="38">
        <v>1.0</v>
      </c>
      <c r="G45" s="43" t="str">
        <f>HYPERLINK("https://twitter.com/minsaude/status/1238187635052552196","Source")</f>
        <v>Source</v>
      </c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30.0" customHeight="1">
      <c r="A46" s="29" t="s">
        <v>115</v>
      </c>
      <c r="B46" s="47">
        <v>75.0</v>
      </c>
      <c r="C46" s="47">
        <v>1.0</v>
      </c>
      <c r="D46" s="38">
        <v>1.0</v>
      </c>
      <c r="E46" s="38" t="s">
        <v>17</v>
      </c>
      <c r="F46" s="38">
        <v>35.0</v>
      </c>
      <c r="G46" s="43" t="str">
        <f>HYPERLINK("https://www.bbc.com/thai/thailand-51868114","Source")</f>
        <v>Source</v>
      </c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30.0" customHeight="1">
      <c r="A47" s="29" t="s">
        <v>117</v>
      </c>
      <c r="B47" s="47">
        <v>73.0</v>
      </c>
      <c r="C47" s="47">
        <v>1.0</v>
      </c>
      <c r="D47" s="38" t="s">
        <v>17</v>
      </c>
      <c r="E47" s="38" t="s">
        <v>17</v>
      </c>
      <c r="F47" s="38">
        <v>4.0</v>
      </c>
      <c r="G47" s="43" t="str">
        <f>HYPERLINK("https://pib.gov.in/PressReleseDetail.aspx?PRID=1606196","Source")</f>
        <v>Source</v>
      </c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30.0" customHeight="1">
      <c r="A48" s="29" t="s">
        <v>119</v>
      </c>
      <c r="B48" s="47">
        <v>70.0</v>
      </c>
      <c r="C48" s="47">
        <v>1.0</v>
      </c>
      <c r="D48" s="66"/>
      <c r="E48" s="66"/>
      <c r="F48" s="66"/>
      <c r="G48" s="43" t="str">
        <f>HYPERLINK("https://www.gov.ie/en/news/7e0924-latest-updates-on-covid-19-coronavirus/","Source")</f>
        <v>Source</v>
      </c>
      <c r="H48" s="49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30.0" customHeight="1">
      <c r="A49" s="29" t="s">
        <v>122</v>
      </c>
      <c r="B49" s="47">
        <v>69.0</v>
      </c>
      <c r="C49" s="47">
        <v>4.0</v>
      </c>
      <c r="D49" s="66"/>
      <c r="E49" s="66"/>
      <c r="F49" s="38">
        <v>5.0</v>
      </c>
      <c r="G49" s="43" t="str">
        <f>HYPERLINK("https://www.channelnewsasia.com/news/asia/coronavirus-covid19-indonesia-deaths-cases-rise-12535900","Source")</f>
        <v>Source</v>
      </c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30.0" customHeight="1">
      <c r="A50" s="29" t="s">
        <v>125</v>
      </c>
      <c r="B50" s="47">
        <v>68.0</v>
      </c>
      <c r="C50" s="47">
        <v>3.0</v>
      </c>
      <c r="D50" s="38" t="s">
        <v>17</v>
      </c>
      <c r="E50" s="38">
        <v>2.0</v>
      </c>
      <c r="F50" s="38" t="s">
        <v>17</v>
      </c>
      <c r="G50" s="43" t="str">
        <f>HYPERLINK("https://www.moph.gov.lb/ar/Media/view/26114/1/%D9%83%D9%88%D8%B1%D9%88%D9%86%D8%A7-#/ar/Media/view/27019/%D8%A7%D9%84%D8%AA%D9%82%D8%B1%D9%8A%D8%B1-%D8%A7%D9%84%D9%8A%D9%88%D9%85%D9%8A-%D8%B9%D9%86-%D8%A2%D8%AE%D8%B1-%D8%A7%D9%84%D9%85%D8%B3%D8%AA%D8%AC%D"&amp;"8%AF%D8%A7%D8%AA-%D8%AD%D9%88%D9%84-%D9%81%D9%8A%D8%B1%D9%88%D8%B3-%D8%A7%D9%84%D9%83%D9%88%D8%B1%D9%88%D9%86%D8%A7-%D8%A7%D9%84%D9%85%D8%B3%D8%AA%D8%AC%D8%AF-%D9%81%D9%8A-%D9%85%D8%B3%D8%AA%D8%B4%D9%81%D9%89-%D8%B1%D9%81%D9%8A%D9%82-%D8%A7%D9%84%D8%AD%D8"&amp;"%B1%D9%8A%D8%B1%D9%8A-%D8%A7%D9%84%D8%AC%D8%A7%D9%85%D8%B9%D9%8A","Source")</f>
        <v>Source</v>
      </c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30.0" customHeight="1">
      <c r="A51" s="29" t="s">
        <v>129</v>
      </c>
      <c r="B51" s="47">
        <v>64.0</v>
      </c>
      <c r="C51" s="47">
        <v>0.0</v>
      </c>
      <c r="D51" s="38" t="s">
        <v>17</v>
      </c>
      <c r="E51" s="38" t="s">
        <v>17</v>
      </c>
      <c r="F51" s="38">
        <v>6.0</v>
      </c>
      <c r="G51" s="43" t="str">
        <f>HYPERLINK("http://www.ms.ro/2020/03/13/5-noi-cazuri-de-imbolnavire-cu-noul-coronavirus/","Source")</f>
        <v>Source</v>
      </c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27.75" customHeight="1">
      <c r="A52" s="29" t="s">
        <v>131</v>
      </c>
      <c r="B52" s="47">
        <v>64.0</v>
      </c>
      <c r="C52" s="47">
        <v>1.0</v>
      </c>
      <c r="D52" s="38">
        <v>2.0</v>
      </c>
      <c r="E52" s="38">
        <v>0.0</v>
      </c>
      <c r="F52" s="38">
        <v>0.0</v>
      </c>
      <c r="G52" s="43" t="str">
        <f>HYPERLINK("https://twitter.com/MZ_GOV_PL/status/1238440876231311363","Source")</f>
        <v>Source</v>
      </c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30.0" customHeight="1">
      <c r="A53" s="29" t="s">
        <v>134</v>
      </c>
      <c r="B53" s="47">
        <v>62.0</v>
      </c>
      <c r="C53" s="47">
        <v>0.0</v>
      </c>
      <c r="D53" s="66"/>
      <c r="E53" s="66"/>
      <c r="F53" s="38">
        <v>1.0</v>
      </c>
      <c r="G53" s="43" t="str">
        <f>HYPERLINK("https://twitter.com/SaudiMOH/status/1238265969186832385","Source")</f>
        <v>Source</v>
      </c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30.0" customHeight="1">
      <c r="A54" s="29" t="s">
        <v>139</v>
      </c>
      <c r="B54" s="47">
        <v>59.0</v>
      </c>
      <c r="C54" s="47">
        <v>0.0</v>
      </c>
      <c r="D54" s="38" t="s">
        <v>17</v>
      </c>
      <c r="E54" s="38" t="s">
        <v>17</v>
      </c>
      <c r="F54" s="38">
        <v>3.0</v>
      </c>
      <c r="G54" s="43" t="str">
        <f>HYPERLINK("https://www.interfax.ru/russia/699133","Source")</f>
        <v>Source</v>
      </c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30.0" customHeight="1">
      <c r="A55" s="29" t="s">
        <v>142</v>
      </c>
      <c r="B55" s="47">
        <v>50.0</v>
      </c>
      <c r="C55" s="47">
        <v>1.0</v>
      </c>
      <c r="D55" s="38">
        <v>0.0</v>
      </c>
      <c r="E55" s="38">
        <v>0.0</v>
      </c>
      <c r="F55" s="38">
        <v>20.0</v>
      </c>
      <c r="G55" s="43" t="str">
        <f>HYPERLINK("https://www.cdc.gov.tw/Bulletin/Detail/Xvlcjb4aKw53obvFVjfmaw?typeid=9","Source")</f>
        <v>Source</v>
      </c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30.0" customHeight="1">
      <c r="A56" s="29" t="s">
        <v>144</v>
      </c>
      <c r="B56" s="47">
        <v>44.0</v>
      </c>
      <c r="C56" s="47">
        <v>0.0</v>
      </c>
      <c r="D56" s="38" t="s">
        <v>17</v>
      </c>
      <c r="E56" s="38" t="s">
        <v>17</v>
      </c>
      <c r="F56" s="38">
        <v>16.0</v>
      </c>
      <c r="G56" s="43" t="str">
        <f>HYPERLINK("http://news.chinhphu.vn/Home/Five-more-COVID19-infection-cases-reported-total-increases-to-44/20203/39164.vgp","Source")</f>
        <v>Source</v>
      </c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30.0" customHeight="1">
      <c r="A57" s="29" t="s">
        <v>148</v>
      </c>
      <c r="B57" s="47">
        <v>41.0</v>
      </c>
      <c r="C57" s="47">
        <v>0.0</v>
      </c>
      <c r="D57" s="38" t="s">
        <v>17</v>
      </c>
      <c r="E57" s="38" t="s">
        <v>17</v>
      </c>
      <c r="F57" s="38">
        <v>0.0</v>
      </c>
      <c r="G57" s="43" t="str">
        <f>HYPERLINK("https://www.terviseamet.ee/et/uudised/eile-tuvastas-terviseamet-24-uut-koroonaviirusesse-nakatunut","Source")</f>
        <v>Source</v>
      </c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30.0" customHeight="1">
      <c r="A58" s="29" t="s">
        <v>151</v>
      </c>
      <c r="B58" s="47">
        <v>33.0</v>
      </c>
      <c r="C58" s="47">
        <v>0.0</v>
      </c>
      <c r="D58" s="66"/>
      <c r="E58" s="66"/>
      <c r="F58" s="66"/>
      <c r="G58" s="43" t="str">
        <f>HYPERLINK("https://www.minsal.cl/autoridades-de-salud-confirman-33-casos-de-covid-19-y-evaluan-fortalecer-medidas-sanitarias/","Source")</f>
        <v>Source</v>
      </c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30.0" customHeight="1">
      <c r="A59" s="29" t="s">
        <v>153</v>
      </c>
      <c r="B59" s="47">
        <v>31.0</v>
      </c>
      <c r="C59" s="47">
        <v>0.0</v>
      </c>
      <c r="D59" s="38">
        <v>0.0</v>
      </c>
      <c r="E59" s="38">
        <v>0.0</v>
      </c>
      <c r="F59" s="38">
        <v>0.0</v>
      </c>
      <c r="G59" s="43" t="str">
        <f>HYPERLINK("https://www.facebook.com/mohps/posts/2677725819019946","Source")</f>
        <v>Source</v>
      </c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27.75" customHeight="1">
      <c r="A60" s="29" t="s">
        <v>155</v>
      </c>
      <c r="B60" s="47">
        <v>31.0</v>
      </c>
      <c r="C60" s="47">
        <v>1.0</v>
      </c>
      <c r="D60" s="66"/>
      <c r="E60" s="66"/>
      <c r="F60" s="66"/>
      <c r="G60" s="43" t="str">
        <f>HYPERLINK("https://www.argentina.gob.ar/sites/default/files/12-03-20-nuevo-coronavirus-covid-19_reporte-diario.pdf","Source")</f>
        <v>Source</v>
      </c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27.75" customHeight="1">
      <c r="A61" s="29" t="s">
        <v>157</v>
      </c>
      <c r="B61" s="47">
        <v>31.0</v>
      </c>
      <c r="C61" s="47">
        <v>0.0</v>
      </c>
      <c r="D61" s="38">
        <v>1.0</v>
      </c>
      <c r="E61" s="38"/>
      <c r="F61" s="38"/>
      <c r="G61" s="43" t="str">
        <f>HYPERLINK("https://www.zdravlje.gov.rs/vest/346440/informacije-o-novom-korona-virusu-na-dan-1303-u-8-casova.php","Source")</f>
        <v>Source</v>
      </c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30.0" customHeight="1">
      <c r="A62" s="29" t="s">
        <v>159</v>
      </c>
      <c r="B62" s="47">
        <v>27.0</v>
      </c>
      <c r="C62" s="47">
        <v>0.0</v>
      </c>
      <c r="D62" s="38" t="s">
        <v>17</v>
      </c>
      <c r="E62" s="38" t="s">
        <v>17</v>
      </c>
      <c r="F62" s="38">
        <v>1.0</v>
      </c>
      <c r="G62" s="43" t="str">
        <f>HYPERLINK("https://glashrvatske.hrt.hr/en/news/domestic/croatia-reports-more-cases-of-coronavirus-bringing-total-to-27/","Source")</f>
        <v>Source</v>
      </c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27.75" customHeight="1">
      <c r="A63" s="29" t="s">
        <v>160</v>
      </c>
      <c r="B63" s="47">
        <v>27.0</v>
      </c>
      <c r="C63" s="47">
        <v>1.0</v>
      </c>
      <c r="D63" s="38"/>
      <c r="E63" s="38"/>
      <c r="F63" s="38"/>
      <c r="G63" s="43" t="str">
        <f>HYPERLINK("https://twitter.com/MINSAPma/status/1238273693077340161","Source")</f>
        <v>Source</v>
      </c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30.0" customHeight="1">
      <c r="A64" s="29" t="s">
        <v>162</v>
      </c>
      <c r="B64" s="47">
        <v>26.0</v>
      </c>
      <c r="C64" s="47">
        <v>0.0</v>
      </c>
      <c r="D64" s="66"/>
      <c r="E64" s="66"/>
      <c r="F64" s="66"/>
      <c r="G64" s="43" t="str">
        <f>HYPERLINK("https://gouvernement.lu/fr/dossiers.gouv_msan+fr+dossiers+2020+corona-virus.html","Source")</f>
        <v>Source</v>
      </c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30.0" customHeight="1">
      <c r="A65" s="29" t="s">
        <v>45</v>
      </c>
      <c r="B65" s="47">
        <v>25.0</v>
      </c>
      <c r="C65" s="47">
        <v>0.0</v>
      </c>
      <c r="D65" s="38">
        <v>1.0</v>
      </c>
      <c r="E65" s="38" t="s">
        <v>17</v>
      </c>
      <c r="F65" s="38" t="s">
        <v>17</v>
      </c>
      <c r="G65" s="43" t="str">
        <f>HYPERLINK("https://stopcov.ge/en","Source")</f>
        <v>Source</v>
      </c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30.0" customHeight="1">
      <c r="A66" s="29" t="s">
        <v>165</v>
      </c>
      <c r="B66" s="47">
        <v>24.0</v>
      </c>
      <c r="C66" s="47">
        <v>1.0</v>
      </c>
      <c r="D66" s="38" t="s">
        <v>17</v>
      </c>
      <c r="E66" s="38" t="s">
        <v>17</v>
      </c>
      <c r="F66" s="38">
        <v>10.0</v>
      </c>
      <c r="G66" s="43" t="str">
        <f>HYPERLINK("http://www.sante.gov.dz/communiques/82-documentation/522-point-de-situation-de-l-epidemie-de-coronavirus-covid-19-au-12-mars-2020.html","Source")</f>
        <v>Source</v>
      </c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30.0" customHeight="1">
      <c r="A67" s="29" t="s">
        <v>170</v>
      </c>
      <c r="B67" s="47">
        <v>23.0</v>
      </c>
      <c r="C67" s="47">
        <v>0.0</v>
      </c>
      <c r="D67" s="38">
        <v>1.0</v>
      </c>
      <c r="E67" s="66"/>
      <c r="F67" s="66"/>
      <c r="G67" s="43" t="str">
        <f>HYPERLINK("https://www.ministeriodesalud.go.cr/index.php/centro-de-prensa/noticias/741-noticias-2020/1566-segunda-fase-de-atencion-alerta-amarilla-covid-19-cierre-preventivo-a-centros-educativos-en-riesgo-reduccion-en-50-capacidad-de-espacios-de-reunion-y-suspension"&amp;"-de-viajes-al-extranjero-para-empleados-pubicos","Source")</f>
        <v>Source</v>
      </c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30.0" customHeight="1">
      <c r="A68" s="29" t="s">
        <v>178</v>
      </c>
      <c r="B68" s="47">
        <v>23.0</v>
      </c>
      <c r="C68" s="47">
        <v>1.0</v>
      </c>
      <c r="D68" s="66"/>
      <c r="E68" s="66"/>
      <c r="F68" s="66"/>
      <c r="G68" s="43" t="str">
        <f>HYPERLINK("https://shendetesia.gov.al/ministria-e-shendetesise-8-raste-te-reja-me-covid-19-ne-total-23-raste-pozitive/","Source")</f>
        <v>Source</v>
      </c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30.0" customHeight="1">
      <c r="A69" s="29" t="s">
        <v>180</v>
      </c>
      <c r="B69" s="47">
        <v>23.0</v>
      </c>
      <c r="C69" s="47">
        <v>1.0</v>
      </c>
      <c r="D69" s="38"/>
      <c r="E69" s="38"/>
      <c r="F69" s="38"/>
      <c r="G69" s="43" t="str">
        <f>HYPERLINK("http://www.mh.government.bg/bg/novini/aktualno/23-sa-obsho-sluchaite-na-covid-19-u-nas/","Source")</f>
        <v>Source</v>
      </c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30.0" customHeight="1">
      <c r="A70" s="29" t="s">
        <v>183</v>
      </c>
      <c r="B70" s="47">
        <v>22.0</v>
      </c>
      <c r="C70" s="47">
        <v>0.0</v>
      </c>
      <c r="D70" s="38"/>
      <c r="E70" s="38"/>
      <c r="F70" s="38"/>
      <c r="G70" s="43" t="str">
        <f>HYPERLINK("https://twitter.com/Minsa_Peru/status/1238126203485270022","Source")</f>
        <v>Source</v>
      </c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30.0" customHeight="1">
      <c r="A71" s="29" t="s">
        <v>186</v>
      </c>
      <c r="B71" s="47">
        <v>21.0</v>
      </c>
      <c r="C71" s="47">
        <v>0.0</v>
      </c>
      <c r="D71" s="38" t="s">
        <v>17</v>
      </c>
      <c r="E71" s="38" t="s">
        <v>17</v>
      </c>
      <c r="F71" s="38">
        <v>2.0</v>
      </c>
      <c r="G71" s="43" t="str">
        <f>HYPERLINK("https://www.thenews.com.pk/print/628447-schools-colleges-universities-in-sindh-to-remain-closed-till-may-30","Source")</f>
        <v>Source</v>
      </c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30.0" customHeight="1">
      <c r="A72" s="29" t="s">
        <v>187</v>
      </c>
      <c r="B72" s="47">
        <v>21.0</v>
      </c>
      <c r="C72" s="47">
        <v>0.0</v>
      </c>
      <c r="D72" s="38" t="s">
        <v>17</v>
      </c>
      <c r="E72" s="38" t="s">
        <v>17</v>
      </c>
      <c r="F72" s="38">
        <v>3.0</v>
      </c>
      <c r="G72" s="43" t="str">
        <f>HYPERLINK("http://minzdrav.gov.by/ru/sobytiya/o-laboratornom-kontrole-grazhdan-po-covid19/","Source")</f>
        <v>Source</v>
      </c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30.0" customHeight="1">
      <c r="A73" s="29" t="s">
        <v>189</v>
      </c>
      <c r="B73" s="47">
        <v>21.0</v>
      </c>
      <c r="C73" s="47">
        <v>0.0</v>
      </c>
      <c r="D73" s="66"/>
      <c r="E73" s="66"/>
      <c r="F73" s="66"/>
      <c r="G73" s="43" t="str">
        <f>HYPERLINK("https://www.facebook.com/255404251995025/photos/a.282048765997240/553214442214003/","Source")</f>
        <v>Source</v>
      </c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30.0" customHeight="1">
      <c r="A74" s="29" t="s">
        <v>190</v>
      </c>
      <c r="B74" s="47">
        <v>19.0</v>
      </c>
      <c r="C74" s="47">
        <v>0.0</v>
      </c>
      <c r="D74" s="38">
        <v>0.0</v>
      </c>
      <c r="E74" s="38">
        <v>0.0</v>
      </c>
      <c r="F74" s="38">
        <v>9.0</v>
      </c>
      <c r="G74" s="43" t="str">
        <f>HYPERLINK("https://twitter.com/OmaniMOH/status/1238140834698145792","Source")</f>
        <v>Source</v>
      </c>
      <c r="H74" s="49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30.0" customHeight="1">
      <c r="A75" s="29" t="s">
        <v>188</v>
      </c>
      <c r="B75" s="47">
        <v>19.0</v>
      </c>
      <c r="C75" s="47">
        <v>0.0</v>
      </c>
      <c r="D75" s="38" t="s">
        <v>17</v>
      </c>
      <c r="E75" s="38">
        <v>1.0</v>
      </c>
      <c r="F75" s="38" t="s">
        <v>17</v>
      </c>
      <c r="G75" s="43" t="str">
        <f>HYPERLINK("https://twitter.com/Salud_Ec/status/1238238472563032067","Source")</f>
        <v>Source</v>
      </c>
      <c r="H75" s="18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30.0" customHeight="1">
      <c r="A76" s="29" t="s">
        <v>196</v>
      </c>
      <c r="B76" s="47">
        <v>19.0</v>
      </c>
      <c r="C76" s="47">
        <v>0.0</v>
      </c>
      <c r="D76" s="38" t="s">
        <v>17</v>
      </c>
      <c r="E76" s="38" t="s">
        <v>17</v>
      </c>
      <c r="F76" s="38">
        <v>0.0</v>
      </c>
      <c r="G76" s="43" t="str">
        <f>HYPERLINK("https://koronavirus.gov.hu/cikkek/ujabb-3-szemelynel-diagnosztizaltak-uj-koronavirus-fertozest-0","Source")</f>
        <v>Source</v>
      </c>
      <c r="H76" s="18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30.0" customHeight="1">
      <c r="A77" s="29" t="s">
        <v>198</v>
      </c>
      <c r="B77" s="47">
        <v>17.0</v>
      </c>
      <c r="C77" s="47">
        <v>0.0</v>
      </c>
      <c r="D77" s="66"/>
      <c r="E77" s="66"/>
      <c r="F77" s="66"/>
      <c r="G77" s="43" t="str">
        <f>HYPERLINK("https://twitter.com/SPKCentrs/status/1238375937835663361","Source")</f>
        <v>Source</v>
      </c>
      <c r="H77" s="18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27.75" customHeight="1">
      <c r="A78" s="29" t="s">
        <v>201</v>
      </c>
      <c r="B78" s="47">
        <v>16.0</v>
      </c>
      <c r="C78" s="47">
        <v>0.0</v>
      </c>
      <c r="D78" s="38"/>
      <c r="E78" s="38"/>
      <c r="F78" s="38"/>
      <c r="G78" s="43" t="str">
        <f>HYPERLINK("https://twitter.com/nicd_sa/status/1238149918394593285","Source")</f>
        <v>Source</v>
      </c>
      <c r="H78" s="18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30.0" customHeight="1">
      <c r="A79" s="29" t="s">
        <v>203</v>
      </c>
      <c r="B79" s="47">
        <v>14.0</v>
      </c>
      <c r="C79" s="47">
        <v>0.0</v>
      </c>
      <c r="D79" s="38"/>
      <c r="E79" s="38"/>
      <c r="F79" s="38"/>
      <c r="G79" s="43" t="str">
        <f>HYPERLINK("http://www.cna.org.cy/WebNews.aspx?a=b4b7e4a873264e80856ddfe5a9c2beb3","Source")</f>
        <v>Source</v>
      </c>
      <c r="H79" s="18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30.0" customHeight="1">
      <c r="A80" s="29" t="s">
        <v>204</v>
      </c>
      <c r="B80" s="47">
        <v>13.0</v>
      </c>
      <c r="C80" s="47">
        <v>0.0</v>
      </c>
      <c r="D80" s="66"/>
      <c r="E80" s="66"/>
      <c r="F80" s="66"/>
      <c r="G80" s="43" t="str">
        <f>HYPERLINK("https://www.facebook.com/santetunisie.rns.tn/photos/a.186499378055841/2948730278499390/","Source")</f>
        <v>Source</v>
      </c>
      <c r="H80" s="18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30.0" customHeight="1">
      <c r="A81" s="29" t="s">
        <v>205</v>
      </c>
      <c r="B81" s="47">
        <v>12.0</v>
      </c>
      <c r="C81" s="47">
        <v>0.0</v>
      </c>
      <c r="D81" s="38">
        <v>1.0</v>
      </c>
      <c r="E81" s="38" t="s">
        <v>17</v>
      </c>
      <c r="F81" s="38">
        <v>4.0</v>
      </c>
      <c r="G81" s="43" t="str">
        <f>HYPERLINK("https://twitter.com/SSalud_mx/status/1237920891163389952","Source")</f>
        <v>Source</v>
      </c>
      <c r="H81" s="18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27.75" customHeight="1">
      <c r="A82" s="29" t="s">
        <v>206</v>
      </c>
      <c r="B82" s="47">
        <v>12.0</v>
      </c>
      <c r="C82" s="47">
        <v>0.0</v>
      </c>
      <c r="D82" s="38"/>
      <c r="E82" s="38"/>
      <c r="F82" s="38"/>
      <c r="G82" s="43" t="str">
        <f>HYPERLINK("https://timesofmalta.com/articles/view/three-new-coronavirus-cases-in-malta.777761","Source")</f>
        <v>Source</v>
      </c>
      <c r="H82" s="18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30.0" customHeight="1">
      <c r="A83" s="29" t="s">
        <v>207</v>
      </c>
      <c r="B83" s="47">
        <v>11.0</v>
      </c>
      <c r="C83" s="47">
        <v>1.0</v>
      </c>
      <c r="D83" s="38" t="s">
        <v>17</v>
      </c>
      <c r="E83" s="38" t="s">
        <v>17</v>
      </c>
      <c r="F83" s="38">
        <v>3.0</v>
      </c>
      <c r="G83" s="43" t="str">
        <f>HYPERLINK("https://news.az/articles/society/146555","Source")</f>
        <v>Source</v>
      </c>
      <c r="H83" s="49"/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27.75" customHeight="1">
      <c r="A84" s="29" t="s">
        <v>208</v>
      </c>
      <c r="B84" s="47">
        <v>11.0</v>
      </c>
      <c r="C84" s="47">
        <v>0.0</v>
      </c>
      <c r="D84" s="38"/>
      <c r="E84" s="38"/>
      <c r="F84" s="38"/>
      <c r="G84" s="43" t="str">
        <f>HYPERLINK("https://radiosarajevo.ba/vijesti/bosna-i-hercegovina/cetiri-nova-slucaja-covuid-19-u-bih/370025","Source")</f>
        <v>Source</v>
      </c>
      <c r="H84" s="18"/>
      <c r="I84" s="1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30.0" customHeight="1">
      <c r="A85" s="29" t="s">
        <v>209</v>
      </c>
      <c r="B85" s="47">
        <v>10.0</v>
      </c>
      <c r="C85" s="47">
        <v>0.0</v>
      </c>
      <c r="D85" s="38" t="s">
        <v>17</v>
      </c>
      <c r="E85" s="38" t="s">
        <v>17</v>
      </c>
      <c r="F85" s="38">
        <v>6.0</v>
      </c>
      <c r="G85" s="79"/>
      <c r="H85" s="18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30.0" customHeight="1">
      <c r="A86" s="29" t="s">
        <v>210</v>
      </c>
      <c r="B86" s="47">
        <v>10.0</v>
      </c>
      <c r="C86" s="47">
        <v>0.0</v>
      </c>
      <c r="D86" s="38" t="s">
        <v>17</v>
      </c>
      <c r="E86" s="38" t="s">
        <v>17</v>
      </c>
      <c r="F86" s="38">
        <v>0.0</v>
      </c>
      <c r="G86" s="43" t="str">
        <f>HYPERLINK("https://twitter.com/MinisteredelaS1/status/1238159763973832710","Source")</f>
        <v>Source</v>
      </c>
      <c r="H86" s="18"/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27.75" customHeight="1">
      <c r="A87" s="29" t="s">
        <v>194</v>
      </c>
      <c r="B87" s="47">
        <v>9.0</v>
      </c>
      <c r="C87" s="47">
        <v>0.0</v>
      </c>
      <c r="D87" s="38"/>
      <c r="E87" s="38"/>
      <c r="F87" s="38"/>
      <c r="G87" s="43" t="str">
        <f>HYPERLINK("https://twitter.com/MinSaludCol/status/1237733802295820288","Source")</f>
        <v>Source</v>
      </c>
      <c r="H87" s="18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27.75" customHeight="1">
      <c r="A88" s="29" t="s">
        <v>211</v>
      </c>
      <c r="B88" s="47">
        <v>8.0</v>
      </c>
      <c r="C88" s="47">
        <v>0.0</v>
      </c>
      <c r="D88" s="38"/>
      <c r="E88" s="38"/>
      <c r="F88" s="38"/>
      <c r="G88" s="43" t="str">
        <f>HYPERLINK("https://twitter.com/HPA_MV/status/1237631424372461569","Source")</f>
        <v>Source</v>
      </c>
      <c r="H88" s="18"/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30.0" customHeight="1">
      <c r="A89" s="29" t="s">
        <v>212</v>
      </c>
      <c r="B89" s="47">
        <v>8.0</v>
      </c>
      <c r="C89" s="47">
        <v>0.0</v>
      </c>
      <c r="D89" s="38"/>
      <c r="E89" s="38"/>
      <c r="F89" s="38"/>
      <c r="G89" s="43" t="str">
        <f>HYPERLINK("https://twitter.com/christufton/status/1238337503503044608","Source")</f>
        <v>Source</v>
      </c>
      <c r="H89" s="18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30.0" customHeight="1">
      <c r="A90" s="29" t="s">
        <v>213</v>
      </c>
      <c r="B90" s="47">
        <v>7.0</v>
      </c>
      <c r="C90" s="47">
        <v>0.0</v>
      </c>
      <c r="D90" s="38" t="s">
        <v>17</v>
      </c>
      <c r="E90" s="38" t="s">
        <v>17</v>
      </c>
      <c r="F90" s="38" t="s">
        <v>17</v>
      </c>
      <c r="G90" s="43" t="str">
        <f>HYPERLINK("https://tolonews.com/afghanistan/7-positive-coronavirus-cases-reported-afghanistan","Source")</f>
        <v>Source</v>
      </c>
      <c r="H90" s="18"/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30.0" customHeight="1">
      <c r="A91" s="29" t="s">
        <v>214</v>
      </c>
      <c r="B91" s="47">
        <v>7.0</v>
      </c>
      <c r="C91" s="47">
        <v>0.0</v>
      </c>
      <c r="D91" s="38">
        <v>0.0</v>
      </c>
      <c r="E91" s="38">
        <v>0.0</v>
      </c>
      <c r="F91" s="38">
        <v>0.0</v>
      </c>
      <c r="G91" s="43" t="str">
        <f>HYPERLINK("http://zdravstvo.gov.mk/zdravstvenata-sostojba-na-site-7-pacienti-koi-se-pozitivni-na-korona-virusot-i-se-hospitalizirani-na-klinikata-za-infektivni-bolesti-i-febrilni-sostojbi-e-stabilna/","Source")</f>
        <v>Source</v>
      </c>
      <c r="H91" s="18"/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27.75" customHeight="1">
      <c r="A92" s="29" t="s">
        <v>197</v>
      </c>
      <c r="B92" s="47">
        <v>6.0</v>
      </c>
      <c r="C92" s="47">
        <v>0.0</v>
      </c>
      <c r="D92" s="38">
        <v>1.0</v>
      </c>
      <c r="E92" s="38"/>
      <c r="F92" s="38"/>
      <c r="G92" s="43" t="str">
        <f>HYPERLINK("https://twitter.com/msaludpy/status/1238235453603618816","Source")</f>
        <v>Source</v>
      </c>
      <c r="H92" s="18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30.0" customHeight="1">
      <c r="A93" s="29" t="s">
        <v>215</v>
      </c>
      <c r="B93" s="47">
        <v>6.0</v>
      </c>
      <c r="C93" s="47">
        <v>1.0</v>
      </c>
      <c r="D93" s="66"/>
      <c r="E93" s="66"/>
      <c r="F93" s="66"/>
      <c r="G93" s="43" t="str">
        <f>HYPERLINK("https://lematin.ma/express/2020/coronavirus-sixieme-cas-confirme-annonce-maroc/333343.html","Source")</f>
        <v>Source</v>
      </c>
      <c r="H93" s="18"/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27.75" customHeight="1">
      <c r="A94" s="29" t="s">
        <v>216</v>
      </c>
      <c r="B94" s="47">
        <v>6.0</v>
      </c>
      <c r="C94" s="47">
        <v>0.0</v>
      </c>
      <c r="D94" s="38"/>
      <c r="E94" s="38"/>
      <c r="F94" s="38"/>
      <c r="G94" s="43" t="str">
        <f>HYPERLINK("https://msmps.gov.md/ro/content/starea-celor-6-persoane-infectate-cu-noul-tip-de-coronavirus-este-stabila-de-gravitate-medie","Source")</f>
        <v>Source</v>
      </c>
      <c r="H94" s="18"/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30.0" customHeight="1">
      <c r="A95" s="29" t="s">
        <v>217</v>
      </c>
      <c r="B95" s="47">
        <v>5.0</v>
      </c>
      <c r="C95" s="47">
        <v>0.0</v>
      </c>
      <c r="D95" s="38" t="s">
        <v>17</v>
      </c>
      <c r="E95" s="38" t="s">
        <v>17</v>
      </c>
      <c r="F95" s="38">
        <v>1.0</v>
      </c>
      <c r="G95" s="43" t="str">
        <f>HYPERLINK("https://www.voacambodia.com/a/two-more-river-cruise-passengers-test-positive-tally-reaches-five-cases/5325829.html","Source")</f>
        <v>Source</v>
      </c>
      <c r="H95" s="18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30.0" customHeight="1">
      <c r="A96" s="29" t="s">
        <v>218</v>
      </c>
      <c r="B96" s="47">
        <v>5.0</v>
      </c>
      <c r="C96" s="47">
        <v>0.0</v>
      </c>
      <c r="D96" s="66"/>
      <c r="E96" s="66"/>
      <c r="F96" s="66"/>
      <c r="G96" s="43" t="str">
        <f>HYPERLINK("https://listindiario.com/la-republica/2020/03/09/607425/ya-suman-cinco-los-casos-de-coronavirus-en-el-pais","Source")</f>
        <v>Source</v>
      </c>
      <c r="H96" s="18"/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30.0" customHeight="1">
      <c r="A97" s="29" t="s">
        <v>219</v>
      </c>
      <c r="B97" s="47">
        <v>5.0</v>
      </c>
      <c r="C97" s="47">
        <v>0.0</v>
      </c>
      <c r="D97" s="38" t="s">
        <v>17</v>
      </c>
      <c r="E97" s="38" t="s">
        <v>17</v>
      </c>
      <c r="F97" s="38" t="s">
        <v>17</v>
      </c>
      <c r="G97" s="43" t="str">
        <f>HYPERLINK("https://www.health.govt.nz/news-media/media-releases/fifth-case-covid-19-fits-pattern-previous-case","Source")</f>
        <v>Source</v>
      </c>
      <c r="H97" s="18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27.75" customHeight="1">
      <c r="A98" s="29" t="s">
        <v>220</v>
      </c>
      <c r="B98" s="47">
        <v>4.0</v>
      </c>
      <c r="C98" s="47">
        <v>0.0</v>
      </c>
      <c r="D98" s="66"/>
      <c r="E98" s="66"/>
      <c r="F98" s="66"/>
      <c r="G98" s="43" t="str">
        <f>HYPERLINK("https://twitter.com/BAG_OFSP_UFSP/status/1238072958096232452","Source")</f>
        <v>Source</v>
      </c>
      <c r="H98" s="18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30.0" customHeight="1">
      <c r="A99" s="29" t="s">
        <v>221</v>
      </c>
      <c r="B99" s="47">
        <v>3.0</v>
      </c>
      <c r="C99" s="47">
        <v>0.0</v>
      </c>
      <c r="D99" s="66"/>
      <c r="E99" s="66"/>
      <c r="F99" s="66"/>
      <c r="G99" s="43" t="str">
        <f>HYPERLINK("https://moz.gov.ua/article/news/moz-povidomljae-pro-dva-novih-pidtverdzhenih-vipadki-koronavirusu-v-ukraini","Source")</f>
        <v>Source</v>
      </c>
      <c r="H99" s="18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27.75" customHeight="1">
      <c r="A100" s="29" t="s">
        <v>222</v>
      </c>
      <c r="B100" s="47">
        <v>3.0</v>
      </c>
      <c r="C100" s="47">
        <v>0.0</v>
      </c>
      <c r="D100" s="38"/>
      <c r="E100" s="38"/>
      <c r="F100" s="38"/>
      <c r="G100" s="43" t="str">
        <f>HYPERLINK("https://www.dhakatribune.com/bangladesh/dhaka/2020/03/08/iedcr-3-affected-with-coronavirus-in-bangladesh","Source")</f>
        <v>Source</v>
      </c>
      <c r="H100" s="18"/>
      <c r="I100" s="1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30.0" customHeight="1">
      <c r="A101" s="29" t="s">
        <v>223</v>
      </c>
      <c r="B101" s="47">
        <v>3.0</v>
      </c>
      <c r="C101" s="47">
        <v>0.0</v>
      </c>
      <c r="D101" s="38" t="s">
        <v>17</v>
      </c>
      <c r="E101" s="38" t="s">
        <v>17</v>
      </c>
      <c r="F101" s="38" t="s">
        <v>17</v>
      </c>
      <c r="G101" s="43" t="str">
        <f>HYPERLINK("http://sam.lrv.lt/koronavirusas","Source")</f>
        <v>Source</v>
      </c>
      <c r="H101" s="18"/>
      <c r="I101" s="1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27.75" customHeight="1">
      <c r="A102" s="29" t="s">
        <v>202</v>
      </c>
      <c r="B102" s="47">
        <v>2.0</v>
      </c>
      <c r="C102" s="47">
        <v>0.0</v>
      </c>
      <c r="D102" s="38"/>
      <c r="E102" s="38"/>
      <c r="F102" s="38"/>
      <c r="G102" s="43" t="str">
        <f>HYPERLINK("https://covid19honduras.org/?q=primeros-casos-confirmados","Source")</f>
        <v>Source</v>
      </c>
      <c r="H102" s="18"/>
      <c r="I102" s="1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27.75" customHeight="1">
      <c r="A103" s="29" t="s">
        <v>224</v>
      </c>
      <c r="B103" s="47">
        <v>2.0</v>
      </c>
      <c r="C103" s="47">
        <v>0.0</v>
      </c>
      <c r="D103" s="38"/>
      <c r="E103" s="38"/>
      <c r="F103" s="38"/>
      <c r="G103" s="43" t="str">
        <f>HYPERLINK("https://www.facebook.com/MINSANTE.PageOfficielle/photos/a.1480278031987670/3361901400491981/","Source")</f>
        <v>Source</v>
      </c>
      <c r="H103" s="18"/>
      <c r="I103" s="1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30.0" customHeight="1">
      <c r="A104" s="29" t="s">
        <v>225</v>
      </c>
      <c r="B104" s="47">
        <v>2.0</v>
      </c>
      <c r="C104" s="47">
        <v>0.0</v>
      </c>
      <c r="D104" s="38">
        <v>0.0</v>
      </c>
      <c r="E104" s="38">
        <v>0.0</v>
      </c>
      <c r="F104" s="38">
        <v>0.0</v>
      </c>
      <c r="G104" s="43" t="str">
        <f>HYPERLINK("https://twitter.com/NCDCgov/status/1236947198971125761","Source")</f>
        <v>Source</v>
      </c>
      <c r="H104" s="18"/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30.0" customHeight="1">
      <c r="A105" s="29" t="s">
        <v>226</v>
      </c>
      <c r="B105" s="47">
        <v>2.0</v>
      </c>
      <c r="C105" s="47">
        <v>0.0</v>
      </c>
      <c r="D105" s="38" t="s">
        <v>17</v>
      </c>
      <c r="E105" s="38" t="s">
        <v>17</v>
      </c>
      <c r="F105" s="38" t="s">
        <v>17</v>
      </c>
      <c r="G105" s="43" t="str">
        <f>HYPERLINK("https://en.gouv.mc/Policy-Practice/Social-Affairs-and-Health/News/CORONAVIRUS-Un-deuxieme-cas-positif-revele-a-Monaco","Source")</f>
        <v>Source</v>
      </c>
      <c r="H105" s="18"/>
      <c r="I105" s="1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30.0" customHeight="1">
      <c r="A106" s="29" t="s">
        <v>227</v>
      </c>
      <c r="B106" s="47">
        <v>2.0</v>
      </c>
      <c r="C106" s="47">
        <v>0.0</v>
      </c>
      <c r="D106" s="38" t="s">
        <v>17</v>
      </c>
      <c r="E106" s="38" t="s">
        <v>17</v>
      </c>
      <c r="F106" s="38">
        <v>1.0</v>
      </c>
      <c r="G106" s="43" t="str">
        <f>HYPERLINK("https://www.dailynews.lk/2020/03/11/local/214046/sri-lankan-tests-positive-coronavirus","Source")</f>
        <v>Source</v>
      </c>
      <c r="H106" s="18"/>
      <c r="I106" s="1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27.75" customHeight="1">
      <c r="A107" s="29" t="s">
        <v>228</v>
      </c>
      <c r="B107" s="47">
        <v>2.0</v>
      </c>
      <c r="C107" s="47">
        <v>0.0</v>
      </c>
      <c r="D107" s="38"/>
      <c r="E107" s="38"/>
      <c r="F107" s="38"/>
      <c r="G107" s="43" t="str">
        <f>HYPERLINK("https://www.aa.com.tr/en/health/turkey-confirms-2nd-coronavirus-case/1764434","Source")</f>
        <v>Source</v>
      </c>
      <c r="H107" s="18"/>
      <c r="I107" s="1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27.75" customHeight="1">
      <c r="A108" s="29" t="s">
        <v>229</v>
      </c>
      <c r="B108" s="47">
        <v>1.0</v>
      </c>
      <c r="C108" s="47">
        <v>0.0</v>
      </c>
      <c r="D108" s="38"/>
      <c r="E108" s="38"/>
      <c r="F108" s="38"/>
      <c r="G108" s="43" t="str">
        <f>HYPERLINK("https://news.trust.org/item/20200306140422-lxn7v","Source")</f>
        <v>Source</v>
      </c>
      <c r="H108" s="18"/>
      <c r="I108" s="1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30.0" customHeight="1">
      <c r="A109" s="29" t="s">
        <v>230</v>
      </c>
      <c r="B109" s="47">
        <v>1.0</v>
      </c>
      <c r="C109" s="47">
        <v>0.0</v>
      </c>
      <c r="D109" s="38" t="s">
        <v>17</v>
      </c>
      <c r="E109" s="38" t="s">
        <v>17</v>
      </c>
      <c r="F109" s="38">
        <v>1.0</v>
      </c>
      <c r="G109" s="79"/>
      <c r="H109" s="18"/>
      <c r="I109" s="1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30.0" customHeight="1">
      <c r="A110" s="29" t="s">
        <v>231</v>
      </c>
      <c r="B110" s="47">
        <v>1.0</v>
      </c>
      <c r="C110" s="47">
        <v>0.0</v>
      </c>
      <c r="D110" s="66"/>
      <c r="E110" s="66"/>
      <c r="F110" s="38">
        <v>1.0</v>
      </c>
      <c r="G110" s="79"/>
      <c r="H110" s="18"/>
      <c r="I110" s="1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30.0" customHeight="1">
      <c r="A111" s="29" t="s">
        <v>232</v>
      </c>
      <c r="B111" s="47">
        <v>1.0</v>
      </c>
      <c r="C111" s="47">
        <v>0.0</v>
      </c>
      <c r="D111" s="66"/>
      <c r="E111" s="66"/>
      <c r="F111" s="66"/>
      <c r="G111" s="79"/>
      <c r="H111" s="18"/>
      <c r="I111" s="1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30.0" customHeight="1">
      <c r="A112" s="29" t="s">
        <v>233</v>
      </c>
      <c r="B112" s="47">
        <v>1.0</v>
      </c>
      <c r="C112" s="47">
        <v>0.0</v>
      </c>
      <c r="D112" s="66"/>
      <c r="E112" s="66"/>
      <c r="F112" s="66"/>
      <c r="G112" s="79"/>
      <c r="H112" s="18"/>
      <c r="I112" s="1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27.75" customHeight="1">
      <c r="A113" s="29" t="s">
        <v>234</v>
      </c>
      <c r="B113" s="47">
        <v>1.0</v>
      </c>
      <c r="C113" s="47">
        <v>0.0</v>
      </c>
      <c r="D113" s="38"/>
      <c r="E113" s="38"/>
      <c r="F113" s="38"/>
      <c r="G113" s="43" t="str">
        <f>HYPERLINK("https://www.facebook.com/MoHBhutan/posts/2974352729292990","Source")</f>
        <v>Source</v>
      </c>
      <c r="H113" s="18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27.75" customHeight="1">
      <c r="A114" s="29" t="s">
        <v>235</v>
      </c>
      <c r="B114" s="47">
        <v>1.0</v>
      </c>
      <c r="C114" s="47">
        <v>0.0</v>
      </c>
      <c r="D114" s="38">
        <v>1.0</v>
      </c>
      <c r="E114" s="38"/>
      <c r="F114" s="38"/>
      <c r="G114" s="43" t="str">
        <f>HYPERLINK("https://www.gibraltar.gov.gi/press-releases/confirmed-case-of-covid-19-1372020-5641","Source")</f>
        <v>Source</v>
      </c>
      <c r="H114" s="18"/>
      <c r="I114" s="18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27.75" customHeight="1">
      <c r="A115" s="29" t="s">
        <v>236</v>
      </c>
      <c r="B115" s="47">
        <v>1.0</v>
      </c>
      <c r="C115" s="47">
        <v>0.0</v>
      </c>
      <c r="D115" s="38"/>
      <c r="E115" s="38"/>
      <c r="F115" s="38"/>
      <c r="G115" s="43" t="str">
        <f>HYPERLINK("https://news.trust.org/item/20200306084828-6r4o6","Source")</f>
        <v>Source</v>
      </c>
      <c r="H115" s="18"/>
      <c r="I115" s="1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27.75" customHeight="1">
      <c r="A116" s="80" t="s">
        <v>237</v>
      </c>
      <c r="B116" s="81"/>
      <c r="C116" s="81"/>
      <c r="D116" s="82"/>
      <c r="E116" s="82"/>
      <c r="F116" s="82"/>
      <c r="G116" s="83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ht="30.0" customHeight="1">
      <c r="A117" s="17" t="s">
        <v>37</v>
      </c>
      <c r="B117" s="84">
        <f t="shared" ref="B117:C117" si="2">sum(B7:B116)</f>
        <v>153957</v>
      </c>
      <c r="C117" s="85">
        <f t="shared" si="2"/>
        <v>5793</v>
      </c>
      <c r="D117" s="85">
        <f t="shared" ref="D117:F117" si="3">sum(D7:D115)</f>
        <v>5677</v>
      </c>
      <c r="E117" s="86">
        <f t="shared" si="3"/>
        <v>109</v>
      </c>
      <c r="F117" s="87">
        <f t="shared" si="3"/>
        <v>74016</v>
      </c>
      <c r="G117" s="66"/>
      <c r="H117" s="18"/>
      <c r="I117" s="18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30.0" customHeight="1">
      <c r="A118" s="17"/>
      <c r="B118" s="88"/>
      <c r="C118" s="86"/>
      <c r="D118" s="86"/>
      <c r="E118" s="86"/>
      <c r="F118" s="89"/>
      <c r="G118" s="66"/>
      <c r="H118" s="18"/>
      <c r="I118" s="18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1" t="s">
        <v>0</v>
      </c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8">
        <f t="shared" ref="A3:B3" si="1">SUM(B66, B67)</f>
        <v>2663</v>
      </c>
      <c r="B3" s="8">
        <f t="shared" si="1"/>
        <v>53</v>
      </c>
      <c r="D3" s="10">
        <f>SUM(F66, F67)</f>
        <v>8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3" t="s">
        <v>7</v>
      </c>
      <c r="B5" s="14" t="s">
        <v>8</v>
      </c>
      <c r="C5" s="14" t="s">
        <v>9</v>
      </c>
      <c r="D5" s="16" t="s">
        <v>10</v>
      </c>
      <c r="E5" s="16" t="s">
        <v>11</v>
      </c>
      <c r="F5" s="16" t="s">
        <v>13</v>
      </c>
      <c r="G5" s="14" t="s">
        <v>14</v>
      </c>
      <c r="H5" s="18"/>
      <c r="I5" s="18"/>
      <c r="J5" s="20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30.0" customHeight="1">
      <c r="A6" s="23" t="s">
        <v>16</v>
      </c>
      <c r="B6" s="28">
        <v>642.0</v>
      </c>
      <c r="C6" s="28">
        <v>40.0</v>
      </c>
      <c r="D6" s="30"/>
      <c r="E6" s="30"/>
      <c r="F6" s="32">
        <v>1.0</v>
      </c>
      <c r="G6" s="36" t="str">
        <f>HYPERLINK("https://www.doh.wa.gov/Emergencies/Coronavirus","Source")</f>
        <v>Source</v>
      </c>
      <c r="H6" s="41"/>
      <c r="I6" s="18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30.0" customHeight="1">
      <c r="A7" s="37" t="s">
        <v>20</v>
      </c>
      <c r="B7" s="39">
        <v>524.0</v>
      </c>
      <c r="C7" s="40">
        <v>1.0</v>
      </c>
      <c r="D7" s="42"/>
      <c r="E7" s="42"/>
      <c r="F7" s="42"/>
      <c r="G7" s="45" t="str">
        <f>HYPERLINK("https://www.nbcnewyork.com/news/local/tri-state-braces-for-further-covid-19-spread-after-house-house-emergency-bill/2326406/","Source")</f>
        <v>Source</v>
      </c>
      <c r="H7" s="41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30.0" customHeight="1">
      <c r="A8" s="21" t="s">
        <v>22</v>
      </c>
      <c r="B8" s="25">
        <v>247.0</v>
      </c>
      <c r="C8" s="46">
        <v>5.0</v>
      </c>
      <c r="D8" s="31"/>
      <c r="E8" s="31">
        <v>1.0</v>
      </c>
      <c r="F8" s="31">
        <v>1.0</v>
      </c>
      <c r="G8" s="34" t="str">
        <f>HYPERLINK("https://www.cdph.ca.gov/Programs/CID/DCDC/Pages/Immunization/ncov2019.aspx","Source")</f>
        <v>Source</v>
      </c>
      <c r="H8" s="18"/>
      <c r="I8" s="18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27.75" customHeight="1">
      <c r="A9" s="23" t="s">
        <v>28</v>
      </c>
      <c r="B9" s="48">
        <v>123.0</v>
      </c>
      <c r="C9" s="28">
        <v>0.0</v>
      </c>
      <c r="D9" s="32"/>
      <c r="E9" s="30"/>
      <c r="F9" s="30"/>
      <c r="G9" s="36" t="str">
        <f>HYPERLINK("https://www.mass.gov/doc/covid-19-cases-in-massachusetts/download","Source")</f>
        <v>Source</v>
      </c>
      <c r="H9" s="18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27.75" customHeight="1">
      <c r="A10" s="23" t="s">
        <v>32</v>
      </c>
      <c r="B10" s="48">
        <v>77.0</v>
      </c>
      <c r="C10" s="28">
        <v>1.0</v>
      </c>
      <c r="D10" s="32"/>
      <c r="E10" s="30"/>
      <c r="F10" s="30"/>
      <c r="G10" s="36" t="str">
        <f>HYPERLINK("https://www.colorado.gov/pacific/cdphe/news/cdphe-confirms-5-additional-new-presumptive-positive-cases-colorado","Source")</f>
        <v>Source</v>
      </c>
      <c r="H10" s="18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30.0" customHeight="1">
      <c r="A11" s="21" t="s">
        <v>36</v>
      </c>
      <c r="B11" s="46">
        <v>68.0</v>
      </c>
      <c r="C11" s="46">
        <v>2.0</v>
      </c>
      <c r="D11" s="31"/>
      <c r="E11" s="50"/>
      <c r="F11" s="50"/>
      <c r="G11" s="34" t="str">
        <f>HYPERLINK("https://twitter.com/OfficialJoelF/status/1238683965285957632","Source")</f>
        <v>Source</v>
      </c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27.75" customHeight="1">
      <c r="A12" s="23" t="s">
        <v>39</v>
      </c>
      <c r="B12" s="48">
        <v>50.0</v>
      </c>
      <c r="C12" s="28">
        <v>1.0</v>
      </c>
      <c r="D12" s="32"/>
      <c r="E12" s="30"/>
      <c r="F12" s="30"/>
      <c r="G12" s="36" t="str">
        <f>HYPERLINK("https://twitter.com/GovMurphy/status/1238578371350626306","Source")</f>
        <v>Source</v>
      </c>
      <c r="H12" s="1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27.75" customHeight="1">
      <c r="A13" s="23" t="s">
        <v>41</v>
      </c>
      <c r="B13" s="48">
        <v>46.0</v>
      </c>
      <c r="C13" s="28">
        <v>0.0</v>
      </c>
      <c r="D13" s="32"/>
      <c r="E13" s="32"/>
      <c r="F13" s="32">
        <v>2.0</v>
      </c>
      <c r="G13" s="36" t="str">
        <f>HYPERLINK("http://dph.illinois.gov/news/state-illinois-daily-covid-19-briefing-%E2%80%93-46-cases","Source")</f>
        <v>Source</v>
      </c>
      <c r="H13" s="18"/>
      <c r="I13" s="18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24.0" customHeight="1">
      <c r="A14" s="23" t="s">
        <v>43</v>
      </c>
      <c r="B14" s="48">
        <v>46.0</v>
      </c>
      <c r="C14" s="28">
        <v>0.0</v>
      </c>
      <c r="D14" s="32"/>
      <c r="E14" s="30"/>
      <c r="F14" s="32">
        <v>2.0</v>
      </c>
      <c r="G14" s="36" t="str">
        <f>HYPERLINK("https://www.cdc.gov/coronavirus/2019-ncov/cases-in-us.html","Source")</f>
        <v>Source</v>
      </c>
      <c r="H14" s="18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30.0" customHeight="1">
      <c r="A15" s="23" t="s">
        <v>45</v>
      </c>
      <c r="B15" s="48">
        <v>42.0</v>
      </c>
      <c r="C15" s="28">
        <v>1.0</v>
      </c>
      <c r="D15" s="32"/>
      <c r="E15" s="32"/>
      <c r="F15" s="30"/>
      <c r="G15" s="36" t="str">
        <f>HYPERLINK("https://dph.georgia.gov/press-releases/2020-03-10/five-new-presumptive-positive-covid-19-cases-georgia","Source")</f>
        <v>Source</v>
      </c>
      <c r="H15" s="18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27.75" customHeight="1">
      <c r="A16" s="23" t="s">
        <v>47</v>
      </c>
      <c r="B16" s="48">
        <v>41.0</v>
      </c>
      <c r="C16" s="28">
        <v>0.0</v>
      </c>
      <c r="D16" s="32"/>
      <c r="E16" s="32">
        <v>1.0</v>
      </c>
      <c r="F16" s="30"/>
      <c r="G16" s="36" t="str">
        <f>HYPERLINK("https://twitter.com/PAHealthDept/status/1238574682183536640","Source")</f>
        <v>Source</v>
      </c>
      <c r="H16" s="18"/>
      <c r="I16" s="18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30.0" customHeight="1">
      <c r="A17" s="21" t="s">
        <v>48</v>
      </c>
      <c r="B17" s="46">
        <v>39.0</v>
      </c>
      <c r="C17" s="46">
        <v>0.0</v>
      </c>
      <c r="D17" s="31"/>
      <c r="E17" s="31">
        <v>1.0</v>
      </c>
      <c r="F17" s="50"/>
      <c r="G17" s="34" t="str">
        <f>HYPERLINK("https://dshs.texas.gov/news/updates.shtm","Source")</f>
        <v>Source</v>
      </c>
      <c r="H17" s="18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27.75" customHeight="1">
      <c r="A18" s="23" t="s">
        <v>50</v>
      </c>
      <c r="B18" s="48">
        <v>36.0</v>
      </c>
      <c r="C18" s="28">
        <v>0.0</v>
      </c>
      <c r="D18" s="32"/>
      <c r="E18" s="30"/>
      <c r="F18" s="30"/>
      <c r="G18" s="36" t="str">
        <f>HYPERLINK("https://twitter.com/LADeptHealth/status/1238573033616523266","Source")</f>
        <v>Source</v>
      </c>
      <c r="H18" s="18"/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27.75" customHeight="1">
      <c r="A19" s="23" t="s">
        <v>52</v>
      </c>
      <c r="B19" s="48">
        <v>30.0</v>
      </c>
      <c r="C19" s="28">
        <v>0.0</v>
      </c>
      <c r="D19" s="32"/>
      <c r="E19" s="30"/>
      <c r="F19" s="30"/>
      <c r="G19" s="36" t="str">
        <f>HYPERLINK("https://twitter.com/OHAOregon/status/1238559304573227010","Source")</f>
        <v>Source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30.0" customHeight="1">
      <c r="A20" s="21" t="s">
        <v>55</v>
      </c>
      <c r="B20" s="25">
        <v>30.0</v>
      </c>
      <c r="C20" s="25">
        <v>0.0</v>
      </c>
      <c r="D20" s="27"/>
      <c r="E20" s="50"/>
      <c r="F20" s="50"/>
      <c r="G20" s="34" t="str">
        <f>HYPERLINK("http://www.vdh.virginia.gov/surveillance-and-investigation/novel-coronavirus/","Source")</f>
        <v>Source</v>
      </c>
      <c r="H20" s="18"/>
      <c r="I20" s="18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27.75" customHeight="1">
      <c r="A21" s="23" t="s">
        <v>56</v>
      </c>
      <c r="B21" s="48">
        <v>26.0</v>
      </c>
      <c r="C21" s="28">
        <v>0.0</v>
      </c>
      <c r="D21" s="32"/>
      <c r="E21" s="30"/>
      <c r="F21" s="30"/>
      <c r="G21" s="36" t="str">
        <f>HYPERLINK("https://twitter.com/TNDeptofHealth/status/1238539629969772545","Source")</f>
        <v>Source</v>
      </c>
      <c r="H21" s="18"/>
      <c r="I21" s="18"/>
      <c r="J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27.75" customHeight="1">
      <c r="A22" s="23" t="s">
        <v>57</v>
      </c>
      <c r="B22" s="48">
        <v>25.0</v>
      </c>
      <c r="C22" s="28">
        <v>0.0</v>
      </c>
      <c r="D22" s="32"/>
      <c r="E22" s="30"/>
      <c r="F22" s="30"/>
      <c r="G22" s="36" t="str">
        <f>HYPERLINK("https://www.michigan.gov/coronavirus/0,9753,7-406-98158-521675--,00.html","Source")</f>
        <v>Source</v>
      </c>
      <c r="H22" s="18"/>
      <c r="I22" s="18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27.75" customHeight="1">
      <c r="A23" s="23" t="s">
        <v>59</v>
      </c>
      <c r="B23" s="48">
        <v>21.0</v>
      </c>
      <c r="C23" s="28">
        <v>0.0</v>
      </c>
      <c r="D23" s="32"/>
      <c r="E23" s="30"/>
      <c r="F23" s="30"/>
      <c r="G23" s="36" t="str">
        <f>HYPERLINK("https://www.youtube.com/watch?v=pAsq7-_3XTI","Source")</f>
        <v>Source</v>
      </c>
      <c r="H23" s="18"/>
      <c r="I23" s="18"/>
      <c r="J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27.75" customHeight="1">
      <c r="A24" s="23" t="s">
        <v>61</v>
      </c>
      <c r="B24" s="48">
        <v>19.0</v>
      </c>
      <c r="C24" s="28">
        <v>0.0</v>
      </c>
      <c r="D24" s="32"/>
      <c r="E24" s="30"/>
      <c r="F24" s="32">
        <v>1.0</v>
      </c>
      <c r="G24" s="36" t="str">
        <f>HYPERLINK("https://www.dhs.wisconsin.gov/outbreaks/index.htm","Source")</f>
        <v>Source</v>
      </c>
      <c r="H24" s="18"/>
      <c r="I24" s="18"/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27.75" customHeight="1">
      <c r="A25" s="23" t="s">
        <v>63</v>
      </c>
      <c r="B25" s="48">
        <v>17.0</v>
      </c>
      <c r="C25" s="28">
        <v>0.0</v>
      </c>
      <c r="D25" s="32"/>
      <c r="E25" s="30"/>
      <c r="F25" s="30"/>
      <c r="G25" s="36" t="str">
        <f>HYPERLINK("https://governor.iowa.gov/press-release/additional-covid-19-case-in-iowa-reynolds-signs-proclamation-to-waive-transportation","Source")</f>
        <v>Source</v>
      </c>
      <c r="H25" s="18"/>
      <c r="I25" s="18"/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27.75" customHeight="1">
      <c r="A26" s="23" t="s">
        <v>67</v>
      </c>
      <c r="B26" s="48">
        <v>17.0</v>
      </c>
      <c r="C26" s="28">
        <v>0.0</v>
      </c>
      <c r="D26" s="32"/>
      <c r="E26" s="32"/>
      <c r="F26" s="32">
        <v>0.0</v>
      </c>
      <c r="G26" s="36" t="str">
        <f>HYPERLINK("https://twitter.com/GovLarryHogan/status/1238505398576902145","Source")</f>
        <v>Source</v>
      </c>
      <c r="H26" s="18"/>
      <c r="I26" s="18"/>
      <c r="J26" s="1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30.0" customHeight="1">
      <c r="A27" s="21" t="s">
        <v>70</v>
      </c>
      <c r="B27" s="25">
        <v>15.0</v>
      </c>
      <c r="C27" s="25">
        <v>0.0</v>
      </c>
      <c r="D27" s="27"/>
      <c r="E27" s="50"/>
      <c r="F27" s="50"/>
      <c r="G27" s="34" t="str">
        <f>HYPERLINK("https://www.ncdhhs.gov/news/press-releases/north-carolina-recommends-new-steps-protect-against-covid-19","Source")</f>
        <v>Source</v>
      </c>
      <c r="H27" s="18"/>
      <c r="I27" s="18"/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27.75" customHeight="1">
      <c r="A28" s="23" t="s">
        <v>72</v>
      </c>
      <c r="B28" s="48">
        <v>14.0</v>
      </c>
      <c r="C28" s="28">
        <v>0.0</v>
      </c>
      <c r="D28" s="32"/>
      <c r="E28" s="30"/>
      <c r="F28" s="30"/>
      <c r="G28" s="36" t="str">
        <f>HYPERLINK("https://chfs.ky.gov/agencies/dph/pages/covid19.aspx","Source")</f>
        <v>Source</v>
      </c>
      <c r="H28" s="18"/>
      <c r="I28" s="18"/>
      <c r="J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27.75" customHeight="1">
      <c r="A29" s="23" t="s">
        <v>76</v>
      </c>
      <c r="B29" s="48">
        <v>14.0</v>
      </c>
      <c r="C29" s="28">
        <v>0.0</v>
      </c>
      <c r="D29" s="32"/>
      <c r="E29" s="30"/>
      <c r="F29" s="30"/>
      <c r="G29" s="36" t="str">
        <f>HYPERLINK("https://www.ri.gov/press/view/37911","Source")</f>
        <v>Source</v>
      </c>
      <c r="H29" s="18"/>
      <c r="I29" s="18"/>
      <c r="J29" s="1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30.0" customHeight="1">
      <c r="A30" s="21" t="s">
        <v>80</v>
      </c>
      <c r="B30" s="25">
        <v>14.0</v>
      </c>
      <c r="C30" s="25">
        <v>0.0</v>
      </c>
      <c r="D30" s="27"/>
      <c r="E30" s="31">
        <v>1.0</v>
      </c>
      <c r="F30" s="31"/>
      <c r="G30" s="34" t="str">
        <f>HYPERLINK("https://www.health.state.mn.us/diseases/coronavirus/situation.html","Source")</f>
        <v>Source</v>
      </c>
      <c r="H30" s="18"/>
      <c r="I30" s="18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27.75" customHeight="1">
      <c r="A31" s="23" t="s">
        <v>85</v>
      </c>
      <c r="B31" s="48">
        <v>14.0</v>
      </c>
      <c r="C31" s="28">
        <v>0.0</v>
      </c>
      <c r="D31" s="32"/>
      <c r="E31" s="30"/>
      <c r="F31" s="30"/>
      <c r="G31" s="36" t="str">
        <f>HYPERLINK("http://dhhs.ne.gov/Pages/A-child-related-to-the-family-with-six-known-positive-tests-of-COVID-19-is-the-latest-diagnosed.aspx","Source")</f>
        <v>Source</v>
      </c>
      <c r="H31" s="18"/>
      <c r="I31" s="18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30.0" customHeight="1">
      <c r="A32" s="21" t="s">
        <v>90</v>
      </c>
      <c r="B32" s="25">
        <v>13.0</v>
      </c>
      <c r="C32" s="25">
        <v>0.0</v>
      </c>
      <c r="D32" s="27"/>
      <c r="E32" s="50"/>
      <c r="F32" s="50"/>
      <c r="G32" s="34" t="str">
        <f>HYPERLINK("https://www.scdhec.gov/news-releases/dhec-announces-additional-case-2019-novel-coronavirus-south-carolina","Source")</f>
        <v>Source</v>
      </c>
      <c r="H32" s="18"/>
      <c r="I32" s="18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27.75" customHeight="1">
      <c r="A33" s="23" t="s">
        <v>93</v>
      </c>
      <c r="B33" s="48">
        <v>13.0</v>
      </c>
      <c r="C33" s="28">
        <v>0.0</v>
      </c>
      <c r="D33" s="32"/>
      <c r="E33" s="30"/>
      <c r="F33" s="30"/>
      <c r="G33" s="36" t="str">
        <f>HYPERLINK("https://twitter.com/GovMikeDeWine/status/1238529842859126784","Source")</f>
        <v>Source</v>
      </c>
      <c r="H33" s="18"/>
      <c r="I33" s="18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30.0" customHeight="1">
      <c r="A34" s="21" t="s">
        <v>97</v>
      </c>
      <c r="B34" s="25">
        <v>12.0</v>
      </c>
      <c r="C34" s="25">
        <v>0.0</v>
      </c>
      <c r="D34" s="27"/>
      <c r="E34" s="50"/>
      <c r="F34" s="50"/>
      <c r="G34" s="34" t="str">
        <f>HYPERLINK("https://www.in.gov/coronavirus/","Source")</f>
        <v>Source</v>
      </c>
      <c r="H34" s="18"/>
      <c r="I34" s="18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27.75" customHeight="1">
      <c r="A35" s="23" t="s">
        <v>99</v>
      </c>
      <c r="B35" s="48">
        <v>11.0</v>
      </c>
      <c r="C35" s="28">
        <v>0.0</v>
      </c>
      <c r="D35" s="32"/>
      <c r="E35" s="30"/>
      <c r="F35" s="30"/>
      <c r="G35" s="36" t="str">
        <f>HYPERLINK("https://twitter.com/GovNedLamont/status/1238568566913302529","Source")</f>
        <v>Source</v>
      </c>
      <c r="H35" s="18"/>
      <c r="I35" s="18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27.75" customHeight="1">
      <c r="A36" s="23" t="s">
        <v>101</v>
      </c>
      <c r="B36" s="48">
        <v>10.0</v>
      </c>
      <c r="C36" s="28">
        <v>0.0</v>
      </c>
      <c r="D36" s="32"/>
      <c r="E36" s="30"/>
      <c r="F36" s="30"/>
      <c r="G36" s="36" t="str">
        <f>HYPERLINK("https://mayor.dc.gov/release/coronavirus-data-update-march-11","Source")</f>
        <v>Source</v>
      </c>
      <c r="H36" s="18"/>
      <c r="I36" s="18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27.75" customHeight="1">
      <c r="A37" s="23" t="s">
        <v>103</v>
      </c>
      <c r="B37" s="48">
        <v>10.0</v>
      </c>
      <c r="C37" s="28">
        <v>0.0</v>
      </c>
      <c r="D37" s="32"/>
      <c r="E37" s="30"/>
      <c r="F37" s="30"/>
      <c r="G37" s="36" t="str">
        <f>HYPERLINK("https://cv.nmhealth.org/2020/03/13/new-mexico-announces-four-more-positive-covid-19-cases/","Source")</f>
        <v>Source</v>
      </c>
      <c r="H37" s="18"/>
      <c r="I37" s="18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27.75" customHeight="1">
      <c r="A38" s="23" t="s">
        <v>106</v>
      </c>
      <c r="B38" s="48">
        <v>9.0</v>
      </c>
      <c r="C38" s="28">
        <v>0.0</v>
      </c>
      <c r="D38" s="32"/>
      <c r="E38" s="30"/>
      <c r="F38" s="32">
        <v>1.0</v>
      </c>
      <c r="G38" s="36" t="str">
        <f>HYPERLINK("https://www.youtube.com/watch?v=M-VZQ7PBNN8","Source")</f>
        <v>Source</v>
      </c>
      <c r="H38" s="18"/>
      <c r="I38" s="18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27.75" customHeight="1">
      <c r="A39" s="23" t="s">
        <v>108</v>
      </c>
      <c r="B39" s="48">
        <v>9.0</v>
      </c>
      <c r="C39" s="28">
        <v>1.0</v>
      </c>
      <c r="D39" s="32"/>
      <c r="E39" s="30"/>
      <c r="F39" s="30"/>
      <c r="G39" s="36" t="str">
        <f>HYPERLINK("https://twitter.com/govkristinoem/status/1238496911365222400","Source")</f>
        <v>Source</v>
      </c>
      <c r="H39" s="18"/>
      <c r="I39" s="18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27.75" customHeight="1">
      <c r="A40" s="23" t="s">
        <v>110</v>
      </c>
      <c r="B40" s="48">
        <v>9.0</v>
      </c>
      <c r="C40" s="28">
        <v>0.0</v>
      </c>
      <c r="D40" s="32"/>
      <c r="E40" s="30"/>
      <c r="F40" s="30"/>
      <c r="G40" s="36" t="str">
        <f>HYPERLINK("https://www.healthy.arkansas.gov/programs-services/topics/novel-coronavirus","Source")</f>
        <v>Source</v>
      </c>
      <c r="H40" s="18"/>
      <c r="I40" s="18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30.0" customHeight="1">
      <c r="A41" s="21" t="s">
        <v>112</v>
      </c>
      <c r="B41" s="25">
        <v>7.0</v>
      </c>
      <c r="C41" s="46">
        <v>0.0</v>
      </c>
      <c r="D41" s="31"/>
      <c r="E41" s="50"/>
      <c r="F41" s="50"/>
      <c r="G41" s="34" t="str">
        <f>HYPERLINK("https://www.dhhs.nh.gov/media/pr/2020/03132020-covid19-case.htm","Source")</f>
        <v>Source</v>
      </c>
      <c r="H41" s="18"/>
      <c r="I41" s="18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30.0" customHeight="1">
      <c r="A42" s="21" t="s">
        <v>113</v>
      </c>
      <c r="B42" s="25">
        <v>6.0</v>
      </c>
      <c r="C42" s="25">
        <v>0.0</v>
      </c>
      <c r="D42" s="27"/>
      <c r="E42" s="50"/>
      <c r="F42" s="50"/>
      <c r="G42" s="34" t="str">
        <f>HYPERLINK("https://coronavirus.utah.gov/latest/","Source")</f>
        <v>Source</v>
      </c>
      <c r="H42" s="18"/>
      <c r="I42" s="18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27.75" customHeight="1">
      <c r="A43" s="23" t="s">
        <v>116</v>
      </c>
      <c r="B43" s="48">
        <v>6.0</v>
      </c>
      <c r="C43" s="28">
        <v>0.0</v>
      </c>
      <c r="D43" s="32"/>
      <c r="E43" s="30"/>
      <c r="F43" s="30"/>
      <c r="G43" s="36" t="str">
        <f>HYPERLINK("https://twitter.com/msdh/status/1238607002525470721","Source")</f>
        <v>Source</v>
      </c>
      <c r="H43" s="18"/>
      <c r="I43" s="18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30.0" customHeight="1">
      <c r="A44" s="21" t="s">
        <v>118</v>
      </c>
      <c r="B44" s="25">
        <v>6.0</v>
      </c>
      <c r="C44" s="25">
        <v>1.0</v>
      </c>
      <c r="D44" s="27"/>
      <c r="E44" s="50"/>
      <c r="F44" s="50"/>
      <c r="G44" s="34" t="str">
        <f>HYPERLINK("https://khap2.kdhe.state.ks.us/NewsRelease/PDFs/3-13-20%20COVID-19.pdf","Source")</f>
        <v>Source</v>
      </c>
      <c r="H44" s="18"/>
      <c r="I44" s="18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27.75" customHeight="1">
      <c r="A45" s="23" t="s">
        <v>121</v>
      </c>
      <c r="B45" s="48">
        <v>5.0</v>
      </c>
      <c r="C45" s="28">
        <v>0.0</v>
      </c>
      <c r="D45" s="32"/>
      <c r="E45" s="30"/>
      <c r="F45" s="30"/>
      <c r="G45" s="36" t="str">
        <f>HYPERLINK("https://twitter.com/ALPublicHealth/status/1238608605303226368","Source")</f>
        <v>Source</v>
      </c>
      <c r="H45" s="18"/>
      <c r="I45" s="18"/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27.75" customHeight="1">
      <c r="A46" s="23" t="s">
        <v>124</v>
      </c>
      <c r="B46" s="48">
        <v>5.0</v>
      </c>
      <c r="C46" s="28">
        <v>0.0</v>
      </c>
      <c r="D46" s="32"/>
      <c r="E46" s="30"/>
      <c r="F46" s="30"/>
      <c r="G46" s="36" t="str">
        <f>HYPERLINK("http://dpbh.nv.gov/Programs/OPHIE/dta/Hot_Topics/Coronavirus/","Source")</f>
        <v>Source</v>
      </c>
      <c r="H46" s="18"/>
      <c r="I46" s="18"/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30.0" customHeight="1">
      <c r="A47" s="21" t="s">
        <v>127</v>
      </c>
      <c r="B47" s="25">
        <v>4.0</v>
      </c>
      <c r="C47" s="25">
        <v>0.0</v>
      </c>
      <c r="D47" s="27"/>
      <c r="E47" s="50"/>
      <c r="F47" s="50"/>
      <c r="G47" s="34" t="str">
        <f>HYPERLINK("https://content.govdelivery.com/accounts/OKSDH/bulletins/281157b","Source")</f>
        <v>Source</v>
      </c>
      <c r="H47" s="18"/>
      <c r="I47" s="18"/>
      <c r="J47" s="18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30.0" customHeight="1">
      <c r="A48" s="21" t="s">
        <v>130</v>
      </c>
      <c r="B48" s="25">
        <v>4.0</v>
      </c>
      <c r="C48" s="25">
        <v>0.0</v>
      </c>
      <c r="D48" s="27"/>
      <c r="E48" s="50"/>
      <c r="F48" s="50"/>
      <c r="G48" s="34" t="str">
        <f>HYPERLINK("https://twitter.com/HealthyLivingMo/status/1238608897084133376","Source")</f>
        <v>Source</v>
      </c>
      <c r="H48" s="18"/>
      <c r="I48" s="18"/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27.75" customHeight="1">
      <c r="A49" s="23" t="s">
        <v>133</v>
      </c>
      <c r="B49" s="48">
        <v>4.0</v>
      </c>
      <c r="C49" s="28">
        <v>0.0</v>
      </c>
      <c r="D49" s="32"/>
      <c r="E49" s="30"/>
      <c r="F49" s="30"/>
      <c r="G49" s="36" t="str">
        <f>HYPERLINK("https://news.delaware.gov/2020/03/12/dph-announces-additional-cases/","Source")</f>
        <v>Source</v>
      </c>
      <c r="H49" s="18"/>
      <c r="I49" s="18"/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27.75" customHeight="1">
      <c r="A50" s="23" t="s">
        <v>136</v>
      </c>
      <c r="B50" s="48">
        <v>4.0</v>
      </c>
      <c r="C50" s="28">
        <v>0.0</v>
      </c>
      <c r="D50" s="32"/>
      <c r="E50" s="30"/>
      <c r="F50" s="30"/>
      <c r="G50" s="36" t="str">
        <f>HYPERLINK("http://governor.mt.gov/pressroom/governor-bullock-confirms-four-presumptively-positive-coronavirus-cases-in-montana","Source")</f>
        <v>Source</v>
      </c>
      <c r="H50" s="18"/>
      <c r="I50" s="18"/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27.75" customHeight="1">
      <c r="A51" s="23" t="s">
        <v>138</v>
      </c>
      <c r="B51" s="48">
        <v>3.0</v>
      </c>
      <c r="C51" s="28">
        <v>0.0</v>
      </c>
      <c r="D51" s="32"/>
      <c r="E51" s="30"/>
      <c r="F51" s="30"/>
      <c r="G51" s="36" t="str">
        <f>HYPERLINK("https://twitter.com/wandavazquezg/status/1238636341635710977","Source")</f>
        <v>Source</v>
      </c>
      <c r="H51" s="18"/>
      <c r="I51" s="18"/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27.75" customHeight="1">
      <c r="A52" s="23" t="s">
        <v>141</v>
      </c>
      <c r="B52" s="48">
        <v>3.0</v>
      </c>
      <c r="C52" s="28">
        <v>0.0</v>
      </c>
      <c r="D52" s="32"/>
      <c r="E52" s="30"/>
      <c r="F52" s="30"/>
      <c r="G52" s="69"/>
      <c r="H52" s="18"/>
      <c r="I52" s="18"/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27.75" customHeight="1">
      <c r="A53" s="23" t="s">
        <v>146</v>
      </c>
      <c r="B53" s="48">
        <v>3.0</v>
      </c>
      <c r="C53" s="28">
        <v>0.0</v>
      </c>
      <c r="D53" s="32"/>
      <c r="E53" s="30"/>
      <c r="F53" s="30"/>
      <c r="G53" s="36" t="str">
        <f>HYPERLINK("https://www.maine.gov/dhhs/press-release.shtml?id=2220093","Source")</f>
        <v>Source</v>
      </c>
      <c r="H53" s="18"/>
      <c r="I53" s="18"/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27.75" customHeight="1">
      <c r="A54" s="23" t="s">
        <v>149</v>
      </c>
      <c r="B54" s="48">
        <v>2.0</v>
      </c>
      <c r="C54" s="28">
        <v>0.0</v>
      </c>
      <c r="D54" s="32"/>
      <c r="E54" s="30"/>
      <c r="F54" s="30"/>
      <c r="G54" s="36" t="str">
        <f>HYPERLINK("https://www.hawaiinewsnow.com/2020/03/09/department-health-announces-second-case-covid-/","Source")</f>
        <v>Source</v>
      </c>
      <c r="H54" s="18"/>
      <c r="I54" s="18"/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30.0" customHeight="1">
      <c r="A55" s="21" t="s">
        <v>152</v>
      </c>
      <c r="B55" s="25">
        <v>2.0</v>
      </c>
      <c r="C55" s="25">
        <v>0.0</v>
      </c>
      <c r="D55" s="27"/>
      <c r="E55" s="50"/>
      <c r="F55" s="50"/>
      <c r="G55" s="34" t="str">
        <f>HYPERLINK("https://www.healthvermont.gov/media/newsroom/second-presumptive-case-new-coronavirus-covid-19-vermont","Source")</f>
        <v>Source</v>
      </c>
      <c r="H55" s="18"/>
      <c r="I55" s="18"/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27.75" customHeight="1">
      <c r="A56" s="23" t="s">
        <v>154</v>
      </c>
      <c r="B56" s="48">
        <v>2.0</v>
      </c>
      <c r="C56" s="28">
        <v>0.0</v>
      </c>
      <c r="D56" s="32"/>
      <c r="E56" s="30"/>
      <c r="F56" s="30"/>
      <c r="G56" s="36" t="str">
        <f>HYPERLINK("https://health.wyo.gov/new-case-added-to-wyomings-coronavirus-total/","Source")</f>
        <v>Source</v>
      </c>
      <c r="H56" s="18"/>
      <c r="I56" s="18"/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27.75" customHeight="1">
      <c r="A57" s="23" t="s">
        <v>156</v>
      </c>
      <c r="B57" s="48">
        <v>1.0</v>
      </c>
      <c r="C57" s="28">
        <v>0.0</v>
      </c>
      <c r="D57" s="32"/>
      <c r="E57" s="30"/>
      <c r="F57" s="30"/>
      <c r="G57" s="36" t="str">
        <f>HYPERLINK("https://gov.alaska.gov/newsroom/2020/03/12/first-case-of-covid-19-confirmed-by-alaska-state-public-health-laboratory-is-an-international-resident/","Source")</f>
        <v>Source</v>
      </c>
      <c r="H57" s="18"/>
      <c r="I57" s="18"/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27.75" customHeight="1">
      <c r="A58" s="23" t="s">
        <v>158</v>
      </c>
      <c r="B58" s="48">
        <v>1.0</v>
      </c>
      <c r="C58" s="28">
        <v>0.0</v>
      </c>
      <c r="D58" s="32"/>
      <c r="E58" s="30"/>
      <c r="F58" s="30"/>
      <c r="G58" s="36" t="str">
        <f>HYPERLINK("https://doh.vi.gov/news/health-officials-announce-first-confirmed-case-covid-19-usvi","Source")</f>
        <v>Source</v>
      </c>
      <c r="H58" s="18"/>
      <c r="I58" s="18"/>
      <c r="J58" s="1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27.75" customHeight="1">
      <c r="A59" s="23" t="s">
        <v>161</v>
      </c>
      <c r="B59" s="48">
        <v>1.0</v>
      </c>
      <c r="C59" s="28">
        <v>0.0</v>
      </c>
      <c r="D59" s="32"/>
      <c r="E59" s="30"/>
      <c r="F59" s="30"/>
      <c r="G59" s="36" t="str">
        <f>HYPERLINK("https://healthandwelfare.idaho.gov/AboutUs/Newsroom/tabid/130/ctl/ArticleView/mid/3061/articleId/2087/First-case-of-novel-coronavirus-in-Idaho-has-been-confirmed.aspx","Source")</f>
        <v>Source</v>
      </c>
      <c r="H59" s="18"/>
      <c r="I59" s="18"/>
      <c r="J59" s="1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27.75" customHeight="1">
      <c r="A60" s="23" t="s">
        <v>163</v>
      </c>
      <c r="B60" s="48">
        <v>1.0</v>
      </c>
      <c r="C60" s="28">
        <v>0.0</v>
      </c>
      <c r="D60" s="32"/>
      <c r="E60" s="30"/>
      <c r="F60" s="30"/>
      <c r="G60" s="36" t="str">
        <f>HYPERLINK("https://www.health.nd.gov/news/first-case-novel-coronavirus-confirmed-north-dakota-work-continues-prevent-spread","Source")</f>
        <v>Source</v>
      </c>
      <c r="H60" s="18"/>
      <c r="I60" s="18"/>
      <c r="J60" s="1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27.75" customHeight="1">
      <c r="A61" s="23" t="s">
        <v>169</v>
      </c>
      <c r="B61" s="48">
        <v>0.0</v>
      </c>
      <c r="C61" s="28">
        <v>0.0</v>
      </c>
      <c r="D61" s="32"/>
      <c r="E61" s="30"/>
      <c r="F61" s="30"/>
      <c r="G61" s="70"/>
      <c r="H61" s="18"/>
      <c r="I61" s="18"/>
      <c r="J61" s="1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27.75" customHeight="1">
      <c r="A62" s="23" t="s">
        <v>177</v>
      </c>
      <c r="B62" s="48">
        <v>0.0</v>
      </c>
      <c r="C62" s="28">
        <v>0.0</v>
      </c>
      <c r="D62" s="32"/>
      <c r="E62" s="30"/>
      <c r="F62" s="30"/>
      <c r="G62" s="70"/>
      <c r="H62" s="18"/>
      <c r="I62" s="18"/>
      <c r="J62" s="1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27.75" customHeight="1">
      <c r="A63" s="23" t="s">
        <v>182</v>
      </c>
      <c r="B63" s="48">
        <v>0.0</v>
      </c>
      <c r="C63" s="28">
        <v>0.0</v>
      </c>
      <c r="D63" s="32"/>
      <c r="E63" s="30"/>
      <c r="F63" s="30"/>
      <c r="G63" s="70"/>
      <c r="H63" s="18"/>
      <c r="I63" s="18"/>
      <c r="J63" s="1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27.75" customHeight="1">
      <c r="A64" s="23" t="s">
        <v>185</v>
      </c>
      <c r="B64" s="48">
        <v>0.0</v>
      </c>
      <c r="C64" s="28">
        <v>0.0</v>
      </c>
      <c r="D64" s="32"/>
      <c r="E64" s="30"/>
      <c r="F64" s="30"/>
      <c r="G64" s="70"/>
      <c r="H64" s="18"/>
      <c r="I64" s="18"/>
      <c r="J64" s="1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27.75" customHeight="1">
      <c r="A65" s="71" t="s">
        <v>150</v>
      </c>
      <c r="B65" s="72">
        <v>260.0</v>
      </c>
      <c r="C65" s="73"/>
      <c r="D65" s="74"/>
      <c r="E65" s="75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ht="30.0" customHeight="1">
      <c r="A66" s="51" t="s">
        <v>192</v>
      </c>
      <c r="B66" s="52">
        <f t="shared" ref="B66:F66" si="2">SUM(B6:B65)</f>
        <v>2663</v>
      </c>
      <c r="C66" s="52">
        <f t="shared" si="2"/>
        <v>53</v>
      </c>
      <c r="D66" s="52">
        <f t="shared" si="2"/>
        <v>0</v>
      </c>
      <c r="E66" s="52">
        <f t="shared" si="2"/>
        <v>4</v>
      </c>
      <c r="F66" s="52">
        <f t="shared" si="2"/>
        <v>8</v>
      </c>
      <c r="G66" s="54"/>
      <c r="H66" s="18"/>
      <c r="I66" s="18"/>
      <c r="J66" s="1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51"/>
      <c r="B67" s="55"/>
      <c r="C67" s="55"/>
      <c r="D67" s="55"/>
      <c r="E67" s="55"/>
      <c r="F67" s="55"/>
      <c r="G67" s="54"/>
      <c r="H67" s="78"/>
      <c r="I67" s="78"/>
      <c r="J67" s="78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58"/>
      <c r="B68" s="59"/>
      <c r="C68" s="60"/>
      <c r="D68" s="60"/>
      <c r="E68" s="60"/>
      <c r="F68" s="60"/>
      <c r="G68" s="4"/>
      <c r="H68" s="78"/>
      <c r="I68" s="78"/>
      <c r="J68" s="7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1"/>
      <c r="B69" s="60"/>
      <c r="C69" s="60"/>
      <c r="D69" s="60"/>
      <c r="E69" s="60"/>
      <c r="F69" s="60"/>
      <c r="G69" s="4"/>
      <c r="H69" s="78"/>
      <c r="I69" s="78"/>
      <c r="J69" s="78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1"/>
      <c r="B70" s="60"/>
      <c r="C70" s="60"/>
      <c r="D70" s="60"/>
      <c r="E70" s="60"/>
      <c r="F70" s="6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8">
        <f t="shared" ref="A3:B3" si="1">SUM(B14, B15)</f>
        <v>80824</v>
      </c>
      <c r="B3" s="8">
        <f t="shared" si="1"/>
        <v>3189</v>
      </c>
      <c r="D3" s="10">
        <f>SUM(F14, F15)</f>
        <v>65541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3" t="s">
        <v>6</v>
      </c>
      <c r="B5" s="14" t="s">
        <v>8</v>
      </c>
      <c r="C5" s="14" t="s">
        <v>9</v>
      </c>
      <c r="D5" s="16" t="s">
        <v>10</v>
      </c>
      <c r="E5" s="16" t="s">
        <v>11</v>
      </c>
      <c r="F5" s="16" t="s">
        <v>13</v>
      </c>
      <c r="G5" s="14"/>
      <c r="H5" s="18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ht="30.0" customHeight="1">
      <c r="A6" s="21" t="s">
        <v>15</v>
      </c>
      <c r="B6" s="25">
        <v>67790.0</v>
      </c>
      <c r="C6" s="25">
        <v>3075.0</v>
      </c>
      <c r="D6" s="27">
        <v>3543.0</v>
      </c>
      <c r="E6" s="31" t="s">
        <v>17</v>
      </c>
      <c r="F6" s="27">
        <v>52943.0</v>
      </c>
      <c r="G6" s="34" t="str">
        <f>HYPERLINK("http://www.nhc.gov.cn/yjb/s7860/202003/ec0119a5881543288efd5b5c8008387b.shtml","Source")</f>
        <v>Source</v>
      </c>
      <c r="H6" s="18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ht="30.0" customHeight="1">
      <c r="A7" s="37" t="s">
        <v>19</v>
      </c>
      <c r="B7" s="39">
        <v>1356.0</v>
      </c>
      <c r="C7" s="40">
        <v>8.0</v>
      </c>
      <c r="D7" s="42">
        <v>5.0</v>
      </c>
      <c r="E7" s="42">
        <v>14.0</v>
      </c>
      <c r="F7" s="44">
        <v>1299.0</v>
      </c>
      <c r="G7" s="45" t="str">
        <f>HYPERLINK("http://wsjkw.gd.gov.cn/zwyw_yqxx/content/post_2930883.html","Source")</f>
        <v>Source</v>
      </c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30.0" customHeight="1">
      <c r="A8" s="21" t="s">
        <v>23</v>
      </c>
      <c r="B8" s="25">
        <v>1272.0</v>
      </c>
      <c r="C8" s="46">
        <v>22.0</v>
      </c>
      <c r="D8" s="31">
        <v>0.0</v>
      </c>
      <c r="E8" s="31">
        <v>0.0</v>
      </c>
      <c r="F8" s="27">
        <v>1249.0</v>
      </c>
      <c r="G8" s="34" t="str">
        <f>HYPERLINK("https://m.weibo.cn/detail/4482292292333039","Source")</f>
        <v>Source</v>
      </c>
      <c r="H8" s="18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30.0" customHeight="1">
      <c r="A9" s="21" t="s">
        <v>25</v>
      </c>
      <c r="B9" s="25">
        <v>1227.0</v>
      </c>
      <c r="C9" s="46">
        <v>1.0</v>
      </c>
      <c r="D9" s="31">
        <v>1.0</v>
      </c>
      <c r="E9" s="31">
        <v>1.0</v>
      </c>
      <c r="F9" s="27">
        <v>1211.0</v>
      </c>
      <c r="G9" s="36" t="str">
        <f>HYPERLINK("https://www.zjwjw.gov.cn/art/2020/3/14/art_1202101_42276493.html","Source")</f>
        <v>Source</v>
      </c>
      <c r="H9" s="18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ht="30.0" customHeight="1">
      <c r="A10" s="21" t="s">
        <v>26</v>
      </c>
      <c r="B10" s="25">
        <v>1018.0</v>
      </c>
      <c r="C10" s="46">
        <v>4.0</v>
      </c>
      <c r="D10" s="31">
        <v>0.0</v>
      </c>
      <c r="E10" s="31">
        <v>0.0</v>
      </c>
      <c r="F10" s="27">
        <v>1014.0</v>
      </c>
      <c r="G10" s="34" t="str">
        <f>HYPERLINK("http://wjw.hunan.gov.cn/wjw/xxgk/gzdt/zyxw_1/202003/t20200314_11812409.html","Source")</f>
        <v>Source</v>
      </c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30.0" customHeight="1">
      <c r="A11" s="21" t="s">
        <v>29</v>
      </c>
      <c r="B11" s="25">
        <v>437.0</v>
      </c>
      <c r="C11" s="46">
        <v>8.0</v>
      </c>
      <c r="D11" s="31" t="s">
        <v>17</v>
      </c>
      <c r="E11" s="31" t="s">
        <v>17</v>
      </c>
      <c r="F11" s="31">
        <v>349.0</v>
      </c>
      <c r="G11" s="36" t="str">
        <f>HYPERLINK("https://m.weibo.cn/detail/4482313780012398","Source")</f>
        <v>Source</v>
      </c>
      <c r="H11" s="18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30.0" customHeight="1">
      <c r="A12" s="21" t="s">
        <v>31</v>
      </c>
      <c r="B12" s="25">
        <v>350.0</v>
      </c>
      <c r="C12" s="46">
        <v>3.0</v>
      </c>
      <c r="D12" s="31">
        <v>8.0</v>
      </c>
      <c r="E12" s="31">
        <v>1.0</v>
      </c>
      <c r="F12" s="31">
        <v>324.0</v>
      </c>
      <c r="G12" s="34" t="str">
        <f>HYPERLINK("https://m.weibo.cn/detail/4482285359102844","Source")</f>
        <v>Source</v>
      </c>
      <c r="H12" s="18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30.0" customHeight="1">
      <c r="A13" s="21" t="s">
        <v>33</v>
      </c>
      <c r="B13" s="25">
        <v>7374.0</v>
      </c>
      <c r="C13" s="46">
        <v>68.0</v>
      </c>
      <c r="D13" s="31" t="s">
        <v>34</v>
      </c>
      <c r="E13" s="31" t="s">
        <v>17</v>
      </c>
      <c r="F13" s="27">
        <v>7152.0</v>
      </c>
      <c r="G13" s="34" t="str">
        <f>HYPERLINK("http://www.nhc.gov.cn/yjb/s7860/202003/ec0119a5881543288efd5b5c8008387b.shtml","Source")</f>
        <v>Source</v>
      </c>
      <c r="H13" s="49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30.0" customHeight="1">
      <c r="A14" s="51" t="s">
        <v>37</v>
      </c>
      <c r="B14" s="52">
        <f t="shared" ref="B14:C14" si="2">SUM(B6:B13)</f>
        <v>80824</v>
      </c>
      <c r="C14" s="52">
        <f t="shared" si="2"/>
        <v>3189</v>
      </c>
      <c r="D14" s="52">
        <v>3610.0</v>
      </c>
      <c r="E14" s="52"/>
      <c r="F14" s="52">
        <f>SUM(F6:F13)</f>
        <v>65541</v>
      </c>
      <c r="G14" s="54"/>
      <c r="H14" s="18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>
      <c r="A15" s="51"/>
      <c r="B15" s="55"/>
      <c r="C15" s="55"/>
      <c r="D15" s="56"/>
      <c r="E15" s="57"/>
      <c r="F15" s="55"/>
      <c r="G15" s="5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58"/>
      <c r="B16" s="59"/>
      <c r="C16" s="60"/>
      <c r="D16" s="60"/>
      <c r="E16" s="60"/>
      <c r="F16" s="6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1"/>
      <c r="B17" s="60"/>
      <c r="C17" s="60"/>
      <c r="D17" s="60"/>
      <c r="E17" s="60"/>
      <c r="F17" s="6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1"/>
      <c r="B18" s="60"/>
      <c r="C18" s="60"/>
      <c r="D18" s="60"/>
      <c r="E18" s="60"/>
      <c r="F18" s="6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8">
        <f t="shared" ref="A3:B3" si="1">SUM(B19, B20)</f>
        <v>247</v>
      </c>
      <c r="B3" s="8">
        <f t="shared" si="1"/>
        <v>1</v>
      </c>
      <c r="D3" s="10">
        <f>SUM(F19, F20)</f>
        <v>11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3" t="s">
        <v>64</v>
      </c>
      <c r="B5" s="14" t="s">
        <v>8</v>
      </c>
      <c r="C5" s="14" t="s">
        <v>9</v>
      </c>
      <c r="D5" s="16" t="s">
        <v>10</v>
      </c>
      <c r="E5" s="16" t="s">
        <v>11</v>
      </c>
      <c r="F5" s="16" t="s">
        <v>13</v>
      </c>
      <c r="G5" s="14"/>
      <c r="H5" s="18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30.0" customHeight="1">
      <c r="A6" s="37" t="s">
        <v>65</v>
      </c>
      <c r="B6" s="39">
        <v>101.0</v>
      </c>
      <c r="C6" s="40">
        <v>0.0</v>
      </c>
      <c r="D6" s="42"/>
      <c r="E6" s="42"/>
      <c r="F6" s="42">
        <v>5.0</v>
      </c>
      <c r="G6" s="45" t="str">
        <f>HYPERLINK("https://www.ontario.ca/page/2019-novel-coronavirus","Source")</f>
        <v>Source</v>
      </c>
      <c r="H6" s="41"/>
      <c r="I6" s="18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30.0" customHeight="1">
      <c r="A7" s="21" t="s">
        <v>68</v>
      </c>
      <c r="B7" s="25">
        <v>73.0</v>
      </c>
      <c r="C7" s="25">
        <v>1.0</v>
      </c>
      <c r="D7" s="27"/>
      <c r="E7" s="31">
        <v>1.0</v>
      </c>
      <c r="F7" s="31">
        <v>6.0</v>
      </c>
      <c r="G7" s="34" t="str">
        <f>HYPERLINK("https://www.thestar.com/news/gta/2020/03/14/97-new-covid-19-deaths-in-iran-apple-closes-all-stores-outside-of-china-us-representatives-pass-free-testing-bill.html?utm_source=Twitter&amp;utm_medium=SocialMedia&amp;utm_campaign=300pm&amp;utm_campaign_id=GTA&amp;utm_content"&amp;"=bcconfirms9newcases&amp;utm_source=twitter&amp;source=starvancouver&amp;utm_medium=SocialMedia&amp;utm_campaign=&amp;utm_campaign_id=&amp;utm_content=","Source")</f>
        <v>Source</v>
      </c>
      <c r="H7" s="41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30.0" customHeight="1">
      <c r="A8" s="21" t="s">
        <v>73</v>
      </c>
      <c r="B8" s="25">
        <v>39.0</v>
      </c>
      <c r="C8" s="46">
        <v>0.0</v>
      </c>
      <c r="D8" s="31"/>
      <c r="E8" s="31"/>
      <c r="F8" s="50"/>
      <c r="G8" s="34" t="str">
        <f>HYPERLINK("https://www.alberta.ca/release.cfm?xID=698138D2A20EF-E044-5CB2-13B7BEE6B54A78EC","Source")</f>
        <v>Source</v>
      </c>
      <c r="H8" s="41"/>
      <c r="I8" s="18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30.0" customHeight="1">
      <c r="A9" s="21" t="s">
        <v>75</v>
      </c>
      <c r="B9" s="25">
        <v>24.0</v>
      </c>
      <c r="C9" s="46">
        <v>0.0</v>
      </c>
      <c r="D9" s="31"/>
      <c r="E9" s="31"/>
      <c r="F9" s="50"/>
      <c r="G9" s="34" t="str">
        <f>HYPERLINK("https://twitter.com/sante_qc/status/1238910191099416578","Source")</f>
        <v>Source</v>
      </c>
      <c r="H9" s="41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30.0" customHeight="1">
      <c r="A10" s="21" t="s">
        <v>77</v>
      </c>
      <c r="B10" s="25">
        <v>4.0</v>
      </c>
      <c r="C10" s="46">
        <v>0.0</v>
      </c>
      <c r="D10" s="31"/>
      <c r="E10" s="31"/>
      <c r="F10" s="50"/>
      <c r="G10" s="34" t="str">
        <f>HYPERLINK("https://www.gov.mb.ca/health/coronavirus/","Source")</f>
        <v>Source</v>
      </c>
      <c r="H10" s="18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30.0" customHeight="1">
      <c r="A11" s="21" t="s">
        <v>79</v>
      </c>
      <c r="B11" s="25">
        <v>2.0</v>
      </c>
      <c r="C11" s="46">
        <v>0.0</v>
      </c>
      <c r="D11" s="31"/>
      <c r="E11" s="31"/>
      <c r="F11" s="50"/>
      <c r="G11" s="34" t="str">
        <f>HYPERLINK("https://www.saskatchewan.ca/government/news-and-media/2020/march/13/second-case-of-covid-19","Source")</f>
        <v>Source</v>
      </c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30.0" customHeight="1">
      <c r="A12" s="21" t="s">
        <v>82</v>
      </c>
      <c r="B12" s="25">
        <v>2.0</v>
      </c>
      <c r="C12" s="46">
        <v>0.0</v>
      </c>
      <c r="D12" s="31"/>
      <c r="E12" s="31"/>
      <c r="F12" s="50"/>
      <c r="G12" s="34" t="str">
        <f>HYPERLINK("https://www2.gnb.ca/content/gnb/en/departments/health/news/news_release.2020.03.0123.html","Source")</f>
        <v>Source</v>
      </c>
      <c r="H12" s="1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30.0" customHeight="1">
      <c r="A13" s="21" t="s">
        <v>84</v>
      </c>
      <c r="B13" s="25">
        <v>1.0</v>
      </c>
      <c r="C13" s="46">
        <v>0.0</v>
      </c>
      <c r="D13" s="31"/>
      <c r="E13" s="31"/>
      <c r="F13" s="50"/>
      <c r="G13" s="34" t="str">
        <f>HYPERLINK("https://www.princeedwardisland.ca/en/news/pei-confirms-first-positive-case-covid-19","Source")</f>
        <v>Source</v>
      </c>
      <c r="H13" s="41"/>
      <c r="I13" s="18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30.0" customHeight="1">
      <c r="A14" s="21" t="s">
        <v>87</v>
      </c>
      <c r="B14" s="25">
        <v>1.0</v>
      </c>
      <c r="C14" s="46">
        <v>0.0</v>
      </c>
      <c r="D14" s="31"/>
      <c r="E14" s="31"/>
      <c r="F14" s="50"/>
      <c r="G14" s="34" t="str">
        <f>HYPERLINK("https://www.gov.nl.ca/covid-19/","Source")</f>
        <v>Source</v>
      </c>
      <c r="H14" s="41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30.0" customHeight="1">
      <c r="A15" s="21" t="s">
        <v>89</v>
      </c>
      <c r="B15" s="25">
        <v>0.0</v>
      </c>
      <c r="C15" s="46">
        <v>0.0</v>
      </c>
      <c r="D15" s="31"/>
      <c r="E15" s="31"/>
      <c r="F15" s="50"/>
      <c r="G15" s="64"/>
      <c r="H15" s="18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30.0" customHeight="1">
      <c r="A16" s="21" t="s">
        <v>92</v>
      </c>
      <c r="B16" s="25">
        <v>0.0</v>
      </c>
      <c r="C16" s="46">
        <v>0.0</v>
      </c>
      <c r="D16" s="31"/>
      <c r="E16" s="31"/>
      <c r="F16" s="50"/>
      <c r="G16" s="64"/>
      <c r="H16" s="18"/>
      <c r="I16" s="18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30.0" customHeight="1">
      <c r="A17" s="21" t="s">
        <v>94</v>
      </c>
      <c r="B17" s="25">
        <v>0.0</v>
      </c>
      <c r="C17" s="46">
        <v>0.0</v>
      </c>
      <c r="D17" s="31"/>
      <c r="E17" s="31"/>
      <c r="F17" s="50"/>
      <c r="G17" s="64"/>
      <c r="H17" s="18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30.0" customHeight="1">
      <c r="A18" s="21" t="s">
        <v>96</v>
      </c>
      <c r="B18" s="25">
        <v>0.0</v>
      </c>
      <c r="C18" s="46">
        <v>0.0</v>
      </c>
      <c r="D18" s="31"/>
      <c r="E18" s="31"/>
      <c r="F18" s="50"/>
      <c r="G18" s="64"/>
      <c r="H18" s="18"/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30.0" customHeight="1">
      <c r="A19" s="51" t="s">
        <v>37</v>
      </c>
      <c r="B19" s="52">
        <f t="shared" ref="B19:F19" si="2">SUM(B6:B18)</f>
        <v>247</v>
      </c>
      <c r="C19" s="52">
        <f t="shared" si="2"/>
        <v>1</v>
      </c>
      <c r="D19" s="52">
        <f t="shared" si="2"/>
        <v>0</v>
      </c>
      <c r="E19" s="52">
        <f t="shared" si="2"/>
        <v>1</v>
      </c>
      <c r="F19" s="52">
        <f t="shared" si="2"/>
        <v>11</v>
      </c>
      <c r="G19" s="54"/>
      <c r="H19" s="19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61"/>
      <c r="B20" s="60"/>
      <c r="C20" s="60"/>
      <c r="D20" s="60"/>
      <c r="E20" s="60"/>
      <c r="F20" s="6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8"/>
      <c r="B21" s="59"/>
      <c r="C21" s="60"/>
      <c r="D21" s="60"/>
      <c r="E21" s="60"/>
      <c r="F21" s="6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1"/>
      <c r="B22" s="60"/>
      <c r="C22" s="60"/>
      <c r="D22" s="60"/>
      <c r="E22" s="60"/>
      <c r="F22" s="6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1"/>
      <c r="B23" s="60"/>
      <c r="C23" s="60"/>
      <c r="D23" s="60"/>
      <c r="E23" s="60"/>
      <c r="F23" s="6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8">
        <f t="shared" ref="A3:B3" si="1">SUM(B17, B18)</f>
        <v>247</v>
      </c>
      <c r="B3" s="8">
        <f t="shared" si="1"/>
        <v>3</v>
      </c>
      <c r="D3" s="10">
        <f>SUM(F17, F18)</f>
        <v>27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3" t="s">
        <v>120</v>
      </c>
      <c r="B5" s="14" t="s">
        <v>8</v>
      </c>
      <c r="C5" s="14" t="s">
        <v>9</v>
      </c>
      <c r="D5" s="16" t="s">
        <v>10</v>
      </c>
      <c r="E5" s="16" t="s">
        <v>11</v>
      </c>
      <c r="F5" s="16" t="s">
        <v>13</v>
      </c>
      <c r="G5" s="14"/>
      <c r="H5" s="18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ht="30.0" customHeight="1">
      <c r="A6" s="21" t="s">
        <v>123</v>
      </c>
      <c r="B6" s="25">
        <v>112.0</v>
      </c>
      <c r="C6" s="25">
        <v>2.0</v>
      </c>
      <c r="D6" s="27"/>
      <c r="E6" s="50"/>
      <c r="F6" s="31"/>
      <c r="G6" s="34" t="str">
        <f>HYPERLINK("https://www.health.nsw.gov.au/news/Pages/20200314_00.aspx","Source")</f>
        <v>Source</v>
      </c>
      <c r="H6" s="18"/>
      <c r="I6" s="18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ht="30.0" customHeight="1">
      <c r="A7" s="21" t="s">
        <v>126</v>
      </c>
      <c r="B7" s="25">
        <v>49.0</v>
      </c>
      <c r="C7" s="46"/>
      <c r="D7" s="31"/>
      <c r="E7" s="31"/>
      <c r="F7" s="50"/>
      <c r="G7" s="34" t="str">
        <f>HYPERLINK("https://www2.health.vic.gov.au/about/media-centre/MediaReleases/more-covid-19-cases-confirmed-in-victoria-14-march-2020","Source")</f>
        <v>Source</v>
      </c>
      <c r="H7" s="18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30.0" customHeight="1">
      <c r="A8" s="37" t="s">
        <v>128</v>
      </c>
      <c r="B8" s="39">
        <v>46.0</v>
      </c>
      <c r="C8" s="40"/>
      <c r="D8" s="42"/>
      <c r="E8" s="42"/>
      <c r="F8" s="68"/>
      <c r="G8" s="45" t="str">
        <f>HYPERLINK("https://www.health.qld.gov.au/news-events/doh-media-releases/releases/queensland-coronavirus-update-2020-03-14","Source")</f>
        <v>Source</v>
      </c>
      <c r="H8" s="18"/>
      <c r="I8" s="18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30.0" customHeight="1">
      <c r="A9" s="21" t="s">
        <v>132</v>
      </c>
      <c r="B9" s="25">
        <v>19.0</v>
      </c>
      <c r="C9" s="46">
        <v>0.0</v>
      </c>
      <c r="D9" s="31"/>
      <c r="E9" s="31"/>
      <c r="F9" s="31">
        <v>3.0</v>
      </c>
      <c r="G9" s="34" t="str">
        <f>HYPERLINK("https://www.sahealth.sa.gov.au/wps/wcm/connect/public+content/sa+health+internet/about+us/news+and+media/all+media+releases/covid-19+coronavirus+update+14+march+2020","Source")</f>
        <v>Source</v>
      </c>
      <c r="H9" s="18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ht="30.0" customHeight="1">
      <c r="A10" s="21" t="s">
        <v>135</v>
      </c>
      <c r="B10" s="25">
        <v>14.0</v>
      </c>
      <c r="C10" s="46">
        <v>1.0</v>
      </c>
      <c r="D10" s="31"/>
      <c r="E10" s="31"/>
      <c r="F10" s="31">
        <v>1.0</v>
      </c>
      <c r="G10" s="34" t="str">
        <f>HYPERLINK("https://ww2.health.wa.gov.au/Media-releases/2020/WA-records-five-new-cases-of-COVID19","Source")</f>
        <v>Source</v>
      </c>
      <c r="H10" s="18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30.0" customHeight="1">
      <c r="A11" s="21" t="s">
        <v>137</v>
      </c>
      <c r="B11" s="25">
        <v>1.0</v>
      </c>
      <c r="C11" s="46">
        <v>0.0</v>
      </c>
      <c r="D11" s="31"/>
      <c r="E11" s="31"/>
      <c r="F11" s="31"/>
      <c r="G11" s="34" t="str">
        <f>HYPERLINK("http://mediareleases.nt.gov.au/mediaRelease/32050","Source")</f>
        <v>Source</v>
      </c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30.0" customHeight="1">
      <c r="A12" s="21" t="s">
        <v>140</v>
      </c>
      <c r="B12" s="25">
        <v>5.0</v>
      </c>
      <c r="C12" s="46">
        <v>0.0</v>
      </c>
      <c r="D12" s="31">
        <v>0.0</v>
      </c>
      <c r="E12" s="31">
        <v>0.0</v>
      </c>
      <c r="F12" s="31">
        <v>0.0</v>
      </c>
      <c r="G12" s="34" t="str">
        <f>HYPERLINK("https://www.dhhs.tas.gov.au/news/2020/fifth_coronavirus_case_confirmed","Source")</f>
        <v>Source</v>
      </c>
      <c r="H12" s="1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30.0" customHeight="1">
      <c r="A13" s="21" t="s">
        <v>143</v>
      </c>
      <c r="B13" s="25">
        <v>1.0</v>
      </c>
      <c r="C13" s="46">
        <v>0.0</v>
      </c>
      <c r="D13" s="31">
        <v>0.0</v>
      </c>
      <c r="E13" s="31">
        <v>0.0</v>
      </c>
      <c r="F13" s="31">
        <v>0.0</v>
      </c>
      <c r="G13" s="34" t="str">
        <f>HYPERLINK("https://www.cmtedd.act.gov.au/open_government/inform/act_government_media_releases/hd/2020/covid-19-case-confirmed-in-the-act","Source")</f>
        <v>Source</v>
      </c>
      <c r="H13" s="18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30.0" customHeight="1">
      <c r="A14" s="21" t="s">
        <v>145</v>
      </c>
      <c r="B14" s="25">
        <v>0.0</v>
      </c>
      <c r="C14" s="46">
        <v>0.0</v>
      </c>
      <c r="D14" s="31">
        <v>0.0</v>
      </c>
      <c r="E14" s="31">
        <v>0.0</v>
      </c>
      <c r="F14" s="31">
        <v>0.0</v>
      </c>
      <c r="G14" s="64"/>
      <c r="H14" s="18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ht="30.0" customHeight="1">
      <c r="A15" s="21" t="s">
        <v>147</v>
      </c>
      <c r="B15" s="25">
        <v>0.0</v>
      </c>
      <c r="C15" s="46">
        <v>0.0</v>
      </c>
      <c r="D15" s="31">
        <v>0.0</v>
      </c>
      <c r="E15" s="31">
        <v>0.0</v>
      </c>
      <c r="F15" s="31">
        <v>0.0</v>
      </c>
      <c r="G15" s="64"/>
      <c r="H15" s="18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ht="30.0" customHeight="1">
      <c r="A16" s="21" t="s">
        <v>150</v>
      </c>
      <c r="B16" s="25">
        <v>0.0</v>
      </c>
      <c r="C16" s="46">
        <v>0.0</v>
      </c>
      <c r="D16" s="31">
        <v>0.0</v>
      </c>
      <c r="E16" s="31">
        <v>0.0</v>
      </c>
      <c r="F16" s="31">
        <v>23.0</v>
      </c>
      <c r="G16" s="64"/>
      <c r="H16" s="18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30.0" customHeight="1">
      <c r="A17" s="51" t="s">
        <v>37</v>
      </c>
      <c r="B17" s="52">
        <f t="shared" ref="B17:F17" si="2">SUM(B6:B16)</f>
        <v>247</v>
      </c>
      <c r="C17" s="52">
        <f t="shared" si="2"/>
        <v>3</v>
      </c>
      <c r="D17" s="52">
        <f t="shared" si="2"/>
        <v>0</v>
      </c>
      <c r="E17" s="52">
        <f t="shared" si="2"/>
        <v>0</v>
      </c>
      <c r="F17" s="52">
        <f t="shared" si="2"/>
        <v>27</v>
      </c>
      <c r="G17" s="5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>
      <c r="A18" s="51"/>
      <c r="B18" s="55"/>
      <c r="C18" s="55"/>
      <c r="D18" s="56"/>
      <c r="E18" s="57"/>
      <c r="F18" s="55"/>
      <c r="G18" s="5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58"/>
      <c r="B19" s="59"/>
      <c r="C19" s="60"/>
      <c r="D19" s="60"/>
      <c r="E19" s="60"/>
      <c r="F19" s="6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1"/>
      <c r="B20" s="60"/>
      <c r="C20" s="60"/>
      <c r="D20" s="60"/>
      <c r="E20" s="60"/>
      <c r="F20" s="6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61"/>
      <c r="B21" s="60"/>
      <c r="C21" s="60"/>
      <c r="D21" s="60"/>
      <c r="E21" s="60"/>
      <c r="F21" s="6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1" t="s">
        <v>164</v>
      </c>
      <c r="H1" s="4"/>
      <c r="I1" s="4"/>
      <c r="J1" s="4"/>
    </row>
    <row r="2">
      <c r="A2" s="3" t="s">
        <v>166</v>
      </c>
      <c r="B2" s="3" t="s">
        <v>167</v>
      </c>
      <c r="D2" s="5" t="s">
        <v>168</v>
      </c>
      <c r="F2" s="6"/>
      <c r="G2" s="7"/>
      <c r="H2" s="4"/>
      <c r="I2" s="4"/>
      <c r="J2" s="4"/>
    </row>
    <row r="3">
      <c r="A3" s="8">
        <f t="shared" ref="A3:B3" si="1">SUM(B21, B22)</f>
        <v>5507</v>
      </c>
      <c r="B3" s="8">
        <f t="shared" si="1"/>
        <v>135</v>
      </c>
      <c r="D3" s="10">
        <f>SUM(F21, F22)</f>
        <v>4</v>
      </c>
      <c r="F3" s="6"/>
      <c r="G3" s="7"/>
      <c r="H3" s="4"/>
      <c r="I3" s="4"/>
      <c r="J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</row>
    <row r="5" ht="30.0" customHeight="1">
      <c r="A5" s="13" t="s">
        <v>171</v>
      </c>
      <c r="B5" s="14" t="s">
        <v>172</v>
      </c>
      <c r="C5" s="14" t="s">
        <v>173</v>
      </c>
      <c r="D5" s="16" t="s">
        <v>174</v>
      </c>
      <c r="E5" s="16" t="s">
        <v>175</v>
      </c>
      <c r="F5" s="16" t="s">
        <v>176</v>
      </c>
      <c r="G5" s="14" t="s">
        <v>179</v>
      </c>
      <c r="H5" s="19"/>
      <c r="I5" s="19"/>
      <c r="J5" s="19"/>
    </row>
    <row r="6" ht="30.0" customHeight="1">
      <c r="A6" s="37" t="s">
        <v>181</v>
      </c>
      <c r="B6" s="39">
        <v>5232.0</v>
      </c>
      <c r="C6" s="40">
        <v>133.0</v>
      </c>
      <c r="D6" s="42"/>
      <c r="E6" s="42"/>
      <c r="F6" s="68"/>
      <c r="G6" s="45" t="str">
        <f>HYPERLINK("https://www.rtve.es/noticias/20200309/mapa-del-coronavirus-espana/2004681.shtml","Fuente")</f>
        <v>Fuente</v>
      </c>
      <c r="H6" s="19"/>
      <c r="I6" s="19"/>
      <c r="J6" s="19"/>
    </row>
    <row r="7" ht="30.0" customHeight="1">
      <c r="A7" s="21" t="s">
        <v>184</v>
      </c>
      <c r="B7" s="25">
        <v>98.0</v>
      </c>
      <c r="C7" s="46">
        <v>0.0</v>
      </c>
      <c r="D7" s="31">
        <v>1.0</v>
      </c>
      <c r="E7" s="31"/>
      <c r="F7" s="50"/>
      <c r="G7" s="34" t="str">
        <f>HYPERLINK("http://plataforma.saude.gov.br/novocoronavirus/","Fuente")</f>
        <v>Fuente</v>
      </c>
      <c r="H7" s="19"/>
      <c r="I7" s="19"/>
      <c r="J7" s="19"/>
    </row>
    <row r="8" ht="30.0" customHeight="1">
      <c r="A8" s="21" t="s">
        <v>151</v>
      </c>
      <c r="B8" s="25">
        <v>43.0</v>
      </c>
      <c r="C8" s="46">
        <v>0.0</v>
      </c>
      <c r="D8" s="31"/>
      <c r="E8" s="31"/>
      <c r="F8" s="50"/>
      <c r="G8" s="34" t="str">
        <f>HYPERLINK("https://www.t13.cl/noticia/nacional/covid-19-aumentan-43-casos-confirmados-chile","Fuente")</f>
        <v>Fuente</v>
      </c>
      <c r="H8" s="19"/>
      <c r="I8" s="19"/>
      <c r="J8" s="19"/>
    </row>
    <row r="9" ht="30.0" customHeight="1">
      <c r="A9" s="21" t="s">
        <v>170</v>
      </c>
      <c r="B9" s="25">
        <v>26.0</v>
      </c>
      <c r="C9" s="46">
        <v>0.0</v>
      </c>
      <c r="D9" s="31"/>
      <c r="E9" s="31"/>
      <c r="F9" s="50"/>
      <c r="G9" s="34" t="str">
        <f>HYPERLINK("https://www.ministeriodesalud.go.cr/index.php/centro-de-prensa/noticias/741-noticias-2020/1567-se-activa-la-linea-1322-para-atencion-de-consultas-sobre-covid-19","Fuente")</f>
        <v>Fuente</v>
      </c>
      <c r="H9" s="19"/>
      <c r="I9" s="19"/>
      <c r="J9" s="19"/>
    </row>
    <row r="10" ht="30.0" customHeight="1">
      <c r="A10" s="21" t="s">
        <v>155</v>
      </c>
      <c r="B10" s="25">
        <v>21.0</v>
      </c>
      <c r="C10" s="46">
        <v>1.0</v>
      </c>
      <c r="D10" s="31"/>
      <c r="E10" s="31"/>
      <c r="F10" s="50"/>
      <c r="G10" s="34" t="str">
        <f>HYPERLINK("https://www.clarin.com/sociedad/coronavirus-argentina-confirmaron-casos-importados-21-contagiados_0_ZU0WjVc-.html","Fuente")</f>
        <v>Fuente</v>
      </c>
      <c r="H10" s="19"/>
      <c r="I10" s="19"/>
      <c r="J10" s="19"/>
    </row>
    <row r="11" ht="30.0" customHeight="1">
      <c r="A11" s="21" t="s">
        <v>188</v>
      </c>
      <c r="B11" s="25">
        <v>17.0</v>
      </c>
      <c r="C11" s="25">
        <v>0.0</v>
      </c>
      <c r="D11" s="27"/>
      <c r="E11" s="50"/>
      <c r="F11" s="31"/>
      <c r="G11" s="34" t="str">
        <f>HYPERLINK("https://twitter.com/Salud_Ec/status/1237506194740109313","Fuente")</f>
        <v>Fuente</v>
      </c>
      <c r="H11" s="19"/>
      <c r="I11" s="19"/>
      <c r="J11" s="19"/>
    </row>
    <row r="12" ht="30.0" customHeight="1">
      <c r="A12" s="21" t="s">
        <v>183</v>
      </c>
      <c r="B12" s="25">
        <v>17.0</v>
      </c>
      <c r="C12" s="46">
        <v>0.0</v>
      </c>
      <c r="D12" s="31"/>
      <c r="E12" s="31"/>
      <c r="F12" s="50"/>
      <c r="G12" s="34" t="str">
        <f>HYPERLINK("https://twitter.com/Minsa_Peru/status/1237916429975945217","Fuente")</f>
        <v>Fuente</v>
      </c>
      <c r="H12" s="19"/>
      <c r="I12" s="19"/>
      <c r="J12" s="19"/>
    </row>
    <row r="13" ht="30.0" customHeight="1">
      <c r="A13" s="21" t="s">
        <v>191</v>
      </c>
      <c r="B13" s="25">
        <v>14.0</v>
      </c>
      <c r="C13" s="46">
        <v>1.0</v>
      </c>
      <c r="D13" s="31"/>
      <c r="E13" s="31"/>
      <c r="F13" s="50"/>
      <c r="G13" s="34" t="str">
        <f>HYPERLINK("https://www.prensa.com/sociedad/coronavirus-10-mujeres-y-4-hombres-contagiados-en-panama/","Fuente")</f>
        <v>Fuente</v>
      </c>
      <c r="H13" s="19"/>
      <c r="I13" s="19"/>
      <c r="J13" s="19"/>
    </row>
    <row r="14" ht="30.0" customHeight="1">
      <c r="A14" s="21" t="s">
        <v>193</v>
      </c>
      <c r="B14" s="25">
        <v>13.0</v>
      </c>
      <c r="C14" s="46">
        <v>0.0</v>
      </c>
      <c r="D14" s="31">
        <v>1.0</v>
      </c>
      <c r="E14" s="31"/>
      <c r="F14" s="31">
        <v>4.0</v>
      </c>
      <c r="G14" s="34" t="str">
        <f>HYPERLINK("https://www.infobae.com/america/mexico/2020/03/11/coronavirus-se-confirmo-el-primer-caso-en-queretaro-suman-9-en-todo-el-pais/","Fuente")</f>
        <v>Fuente</v>
      </c>
      <c r="H14" s="19"/>
      <c r="I14" s="19"/>
      <c r="J14" s="19"/>
    </row>
    <row r="15" ht="30.0" customHeight="1">
      <c r="A15" s="21" t="s">
        <v>194</v>
      </c>
      <c r="B15" s="25">
        <v>9.0</v>
      </c>
      <c r="C15" s="46">
        <v>0.0</v>
      </c>
      <c r="D15" s="31"/>
      <c r="E15" s="31"/>
      <c r="F15" s="50"/>
      <c r="G15" s="34" t="str">
        <f>HYPERLINK("https://www.eltiempo.com/colombia/cali/estado-de-salud-de-colombiano-con-coronavirus-hospitalizado-en-buga-470598","Fuente")</f>
        <v>Fuente</v>
      </c>
      <c r="H15" s="19"/>
      <c r="I15" s="19"/>
      <c r="J15" s="19"/>
    </row>
    <row r="16" ht="30.0" customHeight="1">
      <c r="A16" s="21" t="s">
        <v>195</v>
      </c>
      <c r="B16" s="25">
        <v>5.0</v>
      </c>
      <c r="C16" s="46">
        <v>0.0</v>
      </c>
      <c r="D16" s="31"/>
      <c r="E16" s="31"/>
      <c r="F16" s="50"/>
      <c r="G16" s="34" t="str">
        <f>HYPERLINK("https://listindiario.com/la-republica/2020/03/09/607425/ya-suman-cinco-los-casos-de-coronavirus-en-el-pais","Fuente")</f>
        <v>Fuente</v>
      </c>
      <c r="H16" s="19"/>
      <c r="I16" s="19"/>
      <c r="J16" s="19"/>
    </row>
    <row r="17" ht="30.0" customHeight="1">
      <c r="A17" s="21" t="s">
        <v>197</v>
      </c>
      <c r="B17" s="25">
        <v>5.0</v>
      </c>
      <c r="C17" s="46">
        <v>0.0</v>
      </c>
      <c r="D17" s="31">
        <v>1.0</v>
      </c>
      <c r="E17" s="31"/>
      <c r="F17" s="50"/>
      <c r="G17" s="34" t="str">
        <f>HYPERLINK("https://twitter.com/MazzoleniJulio/status/1237530868287041536","Fuente")</f>
        <v>Fuente</v>
      </c>
      <c r="H17" s="19"/>
      <c r="I17" s="19"/>
      <c r="J17" s="19"/>
    </row>
    <row r="18" ht="30.0" customHeight="1">
      <c r="A18" s="21" t="s">
        <v>199</v>
      </c>
      <c r="B18" s="25">
        <v>3.0</v>
      </c>
      <c r="C18" s="46">
        <v>0.0</v>
      </c>
      <c r="D18" s="31"/>
      <c r="E18" s="31"/>
      <c r="F18" s="50"/>
      <c r="G18" s="34" t="str">
        <f>HYPERLINK("https://twitter.com/DeItaOne/status/1237904234206711808","Fuente")</f>
        <v>Fuente</v>
      </c>
      <c r="H18" s="19"/>
      <c r="I18" s="19"/>
      <c r="J18" s="19"/>
    </row>
    <row r="19" ht="30.0" customHeight="1">
      <c r="A19" s="21" t="s">
        <v>200</v>
      </c>
      <c r="B19" s="25">
        <v>2.0</v>
      </c>
      <c r="C19" s="46">
        <v>0.0</v>
      </c>
      <c r="D19" s="31"/>
      <c r="E19" s="31"/>
      <c r="F19" s="50"/>
      <c r="G19" s="34" t="str">
        <f>HYPERLINK("https://www.minsalud.gob.bo/3967-ministro-de-salud-reporta-dos-casos-confirmados-de-coronavirus-y-pide-calma-a-la-poblacion","Fuente")</f>
        <v>Fuente</v>
      </c>
      <c r="H19" s="19"/>
      <c r="I19" s="19"/>
      <c r="J19" s="19"/>
    </row>
    <row r="20" ht="30.0" customHeight="1">
      <c r="A20" s="21" t="s">
        <v>202</v>
      </c>
      <c r="B20" s="25">
        <v>2.0</v>
      </c>
      <c r="C20" s="46">
        <v>0.0</v>
      </c>
      <c r="D20" s="31"/>
      <c r="E20" s="31"/>
      <c r="F20" s="50"/>
      <c r="G20" s="34" t="str">
        <f>HYPERLINK("https://twitter.com/saludhn/status/1237652409687724034","Fuente")</f>
        <v>Fuente</v>
      </c>
      <c r="H20" s="19"/>
      <c r="I20" s="19"/>
      <c r="J20" s="19"/>
    </row>
    <row r="21" ht="30.0" customHeight="1">
      <c r="A21" s="51" t="s">
        <v>37</v>
      </c>
      <c r="B21" s="52">
        <f t="shared" ref="B21:C21" si="2">SUM(B6:B20)</f>
        <v>5507</v>
      </c>
      <c r="C21" s="52">
        <f t="shared" si="2"/>
        <v>135</v>
      </c>
      <c r="D21" s="52">
        <f t="shared" ref="D21:F21" si="3">SUM(D6:D16)</f>
        <v>2</v>
      </c>
      <c r="E21" s="52">
        <f t="shared" si="3"/>
        <v>0</v>
      </c>
      <c r="F21" s="52">
        <f t="shared" si="3"/>
        <v>4</v>
      </c>
      <c r="G21" s="54"/>
      <c r="H21" s="19"/>
      <c r="I21" s="19"/>
      <c r="J21" s="19"/>
    </row>
    <row r="22">
      <c r="A22" s="61"/>
      <c r="B22" s="60"/>
      <c r="C22" s="60"/>
      <c r="D22" s="60"/>
      <c r="E22" s="60"/>
      <c r="F22" s="60"/>
      <c r="G22" s="4"/>
      <c r="H22" s="4"/>
      <c r="I22" s="4"/>
      <c r="J22" s="4"/>
    </row>
    <row r="23">
      <c r="A23" s="58"/>
      <c r="B23" s="59"/>
      <c r="C23" s="60"/>
      <c r="D23" s="60"/>
      <c r="E23" s="60"/>
      <c r="F23" s="60"/>
      <c r="G23" s="4"/>
      <c r="H23" s="4"/>
      <c r="I23" s="4"/>
      <c r="J23" s="4"/>
    </row>
    <row r="24">
      <c r="A24" s="61"/>
      <c r="B24" s="60"/>
      <c r="C24" s="60"/>
      <c r="D24" s="60"/>
      <c r="E24" s="60"/>
      <c r="F24" s="60"/>
      <c r="G24" s="4"/>
      <c r="H24" s="4"/>
      <c r="I24" s="4"/>
      <c r="J24" s="4"/>
    </row>
    <row r="25">
      <c r="A25" s="61"/>
      <c r="B25" s="60"/>
      <c r="C25" s="60"/>
      <c r="D25" s="60"/>
      <c r="E25" s="60"/>
      <c r="F25" s="60"/>
      <c r="G25" s="4"/>
      <c r="H25" s="4"/>
      <c r="I25" s="4"/>
      <c r="J25" s="4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