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China" sheetId="3" r:id="rId6"/>
    <sheet state="visible" name="Canada" sheetId="4" r:id="rId7"/>
    <sheet state="visible" name="Australia" sheetId="5" r:id="rId8"/>
    <sheet state="visible" name="América Latina y España" sheetId="6" r:id="rId9"/>
    <sheet state="visible" name="Cases" sheetId="9" r:id="rId10"/>
    <sheet state="visible" name="Deaths" sheetId="11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2,955</t>
      </text>
    </comment>
    <comment authorId="0" ref="C6">
      <text>
        <t xml:space="preserve">78</t>
      </text>
    </comment>
    <comment authorId="0" ref="B7">
      <text>
        <t xml:space="preserve">29</t>
      </text>
    </comment>
    <comment authorId="0" ref="B8">
      <text>
        <t xml:space="preserve">20</t>
      </text>
    </comment>
    <comment authorId="0" ref="B9">
      <text>
        <t xml:space="preserve">4</t>
      </text>
    </comment>
  </commentList>
</comments>
</file>

<file path=xl/sharedStrings.xml><?xml version="1.0" encoding="utf-8"?>
<sst xmlns="http://schemas.openxmlformats.org/spreadsheetml/2006/main" count="400" uniqueCount="246">
  <si>
    <t>Updated throughout the day</t>
  </si>
  <si>
    <t>CASES</t>
  </si>
  <si>
    <t>DEATHS</t>
  </si>
  <si>
    <t>RECOVERED</t>
  </si>
  <si>
    <t>UNRESOLVED</t>
  </si>
  <si>
    <t>MAINLAND CHINA</t>
  </si>
  <si>
    <t>UNITED STATES</t>
  </si>
  <si>
    <t>OTHER PLACES</t>
  </si>
  <si>
    <t>Cases</t>
  </si>
  <si>
    <t>Deaths</t>
  </si>
  <si>
    <t>Serious</t>
  </si>
  <si>
    <t>Critical</t>
  </si>
  <si>
    <t>Recovered</t>
  </si>
  <si>
    <t>Links</t>
  </si>
  <si>
    <t>Washington</t>
  </si>
  <si>
    <t>China</t>
  </si>
  <si>
    <t>Hubei province (includes Wuhan)</t>
  </si>
  <si>
    <t>-</t>
  </si>
  <si>
    <t>Italy</t>
  </si>
  <si>
    <t>Iran</t>
  </si>
  <si>
    <t>New York</t>
  </si>
  <si>
    <t>Guangdong province</t>
  </si>
  <si>
    <t>South Korea</t>
  </si>
  <si>
    <t>Spain</t>
  </si>
  <si>
    <t>France</t>
  </si>
  <si>
    <t>Henan province</t>
  </si>
  <si>
    <t>California</t>
  </si>
  <si>
    <t>Germany</t>
  </si>
  <si>
    <t>Massachusetts</t>
  </si>
  <si>
    <t>Zhejiang province</t>
  </si>
  <si>
    <t>United States</t>
  </si>
  <si>
    <t>Hunan province</t>
  </si>
  <si>
    <t>Colorado</t>
  </si>
  <si>
    <t>Beijing</t>
  </si>
  <si>
    <t>United Kingdom</t>
  </si>
  <si>
    <t>Florida</t>
  </si>
  <si>
    <t>Shanghai</t>
  </si>
  <si>
    <t>Switzerland</t>
  </si>
  <si>
    <t>Other regions</t>
  </si>
  <si>
    <t>Norway</t>
  </si>
  <si>
    <t>New Jersey</t>
  </si>
  <si>
    <t>Dozens</t>
  </si>
  <si>
    <t>Illinois</t>
  </si>
  <si>
    <t>TOTAL</t>
  </si>
  <si>
    <t>Netherlands</t>
  </si>
  <si>
    <t>Louisiana</t>
  </si>
  <si>
    <t>Sweden</t>
  </si>
  <si>
    <t>Georgia</t>
  </si>
  <si>
    <t>Denmark</t>
  </si>
  <si>
    <t>Pennsylvania</t>
  </si>
  <si>
    <t>Japan</t>
  </si>
  <si>
    <t>Texas</t>
  </si>
  <si>
    <t>Austria</t>
  </si>
  <si>
    <t>Diamond Princess</t>
  </si>
  <si>
    <t>Michigan</t>
  </si>
  <si>
    <t>Belgium</t>
  </si>
  <si>
    <t>Virginia</t>
  </si>
  <si>
    <t>Qatar</t>
  </si>
  <si>
    <t>Tennessee</t>
  </si>
  <si>
    <t>Canada</t>
  </si>
  <si>
    <t>Oregon</t>
  </si>
  <si>
    <t>Australia</t>
  </si>
  <si>
    <t>Utah</t>
  </si>
  <si>
    <t>Czech Republic</t>
  </si>
  <si>
    <t>Wisconsin</t>
  </si>
  <si>
    <t>Malaysia</t>
  </si>
  <si>
    <t>Maryland</t>
  </si>
  <si>
    <t>Greece</t>
  </si>
  <si>
    <t>Ohio</t>
  </si>
  <si>
    <t>Singapore</t>
  </si>
  <si>
    <t>North Carolina</t>
  </si>
  <si>
    <t>Bahrain</t>
  </si>
  <si>
    <t>Alabama</t>
  </si>
  <si>
    <t>Finland</t>
  </si>
  <si>
    <t>Grand Princess</t>
  </si>
  <si>
    <t>CANADA</t>
  </si>
  <si>
    <t>Brazil</t>
  </si>
  <si>
    <t>Nevada</t>
  </si>
  <si>
    <t>Ontario</t>
  </si>
  <si>
    <t>Israel</t>
  </si>
  <si>
    <t>Minnesota</t>
  </si>
  <si>
    <t>Alberta</t>
  </si>
  <si>
    <t>Slovenia</t>
  </si>
  <si>
    <t>Kentucky</t>
  </si>
  <si>
    <t>British Columbia</t>
  </si>
  <si>
    <t>Ireland</t>
  </si>
  <si>
    <t>Rhode Island</t>
  </si>
  <si>
    <t>Portugal</t>
  </si>
  <si>
    <t>Quebec</t>
  </si>
  <si>
    <t>Connecticut</t>
  </si>
  <si>
    <t>Manitoba</t>
  </si>
  <si>
    <t>Iceland</t>
  </si>
  <si>
    <t>South Carolina</t>
  </si>
  <si>
    <t>Saskatchewan</t>
  </si>
  <si>
    <t>Iowa</t>
  </si>
  <si>
    <t>Hong Kong</t>
  </si>
  <si>
    <t>New Brunswick</t>
  </si>
  <si>
    <t>Nebraska</t>
  </si>
  <si>
    <t>Egypt</t>
  </si>
  <si>
    <t>Prince Edward Island</t>
  </si>
  <si>
    <t>Poland</t>
  </si>
  <si>
    <t>District of Columbia</t>
  </si>
  <si>
    <t>Newfoundland &amp; Labrador</t>
  </si>
  <si>
    <t>Iraq</t>
  </si>
  <si>
    <t>Nova Scotia</t>
  </si>
  <si>
    <t>Romania</t>
  </si>
  <si>
    <t>Indiana</t>
  </si>
  <si>
    <t>Northwest Territories</t>
  </si>
  <si>
    <t>New Mexico</t>
  </si>
  <si>
    <t>Saudi Arabia</t>
  </si>
  <si>
    <t>Nunavut</t>
  </si>
  <si>
    <t>Yukon</t>
  </si>
  <si>
    <t>Indonesia</t>
  </si>
  <si>
    <t>Arizona</t>
  </si>
  <si>
    <t>Estonia</t>
  </si>
  <si>
    <t>Arkansas</t>
  </si>
  <si>
    <t>Thailand</t>
  </si>
  <si>
    <t>Kuwait</t>
  </si>
  <si>
    <t>South Dakota</t>
  </si>
  <si>
    <t>Philippines</t>
  </si>
  <si>
    <t>New Hampshire</t>
  </si>
  <si>
    <t>India</t>
  </si>
  <si>
    <t>Mississippi</t>
  </si>
  <si>
    <t>San Marino</t>
  </si>
  <si>
    <t>Kansas</t>
  </si>
  <si>
    <t>Lebanon</t>
  </si>
  <si>
    <t>Delaware</t>
  </si>
  <si>
    <t>United Arab Emirates</t>
  </si>
  <si>
    <t>Peru</t>
  </si>
  <si>
    <t>Montana</t>
  </si>
  <si>
    <t>Chile</t>
  </si>
  <si>
    <t>Hawaii</t>
  </si>
  <si>
    <t>Russia</t>
  </si>
  <si>
    <t>Oklahoma</t>
  </si>
  <si>
    <t>Taiwan</t>
  </si>
  <si>
    <t>Missouri</t>
  </si>
  <si>
    <t>Luxembourg</t>
  </si>
  <si>
    <t>AUSTRALIA</t>
  </si>
  <si>
    <t>Puerto Rico</t>
  </si>
  <si>
    <t>New South Wales</t>
  </si>
  <si>
    <t>Vietnam</t>
  </si>
  <si>
    <t>Vermont</t>
  </si>
  <si>
    <t>Serbia</t>
  </si>
  <si>
    <t>Queensland</t>
  </si>
  <si>
    <t>Idaho</t>
  </si>
  <si>
    <t>Argentina</t>
  </si>
  <si>
    <t>Victoria</t>
  </si>
  <si>
    <t>Algeria</t>
  </si>
  <si>
    <t>Wuhan</t>
  </si>
  <si>
    <t>South Australia</t>
  </si>
  <si>
    <t>Colombia</t>
  </si>
  <si>
    <t>Guam</t>
  </si>
  <si>
    <t>Western Australia</t>
  </si>
  <si>
    <t>Slovakia</t>
  </si>
  <si>
    <t>Maine</t>
  </si>
  <si>
    <t>Northern Territory</t>
  </si>
  <si>
    <t>Panama</t>
  </si>
  <si>
    <t>Wyoming</t>
  </si>
  <si>
    <t>Tasmania</t>
  </si>
  <si>
    <t>Mexico</t>
  </si>
  <si>
    <t>Alaska</t>
  </si>
  <si>
    <t>Canberra (ACT)</t>
  </si>
  <si>
    <t>Bulgaria</t>
  </si>
  <si>
    <t>U.S. Virgin Islands</t>
  </si>
  <si>
    <t>External territories</t>
  </si>
  <si>
    <t>Palestine</t>
  </si>
  <si>
    <t>Jervis Bay Territory</t>
  </si>
  <si>
    <t>North Dakota</t>
  </si>
  <si>
    <t>South Africa</t>
  </si>
  <si>
    <t>TBD</t>
  </si>
  <si>
    <t>Croatia</t>
  </si>
  <si>
    <t>West Virginia</t>
  </si>
  <si>
    <t>Albania</t>
  </si>
  <si>
    <t>American Samoa</t>
  </si>
  <si>
    <t>Northern Mariana Islands</t>
  </si>
  <si>
    <t>Pakistan</t>
  </si>
  <si>
    <t>Hungary</t>
  </si>
  <si>
    <t>Ecuador</t>
  </si>
  <si>
    <t>U.S. TOTAL</t>
  </si>
  <si>
    <t>Costa Rica</t>
  </si>
  <si>
    <t>Belarus</t>
  </si>
  <si>
    <t>Latvia</t>
  </si>
  <si>
    <t>Última actualización: 11 de Marzo de 2020 a las 7:40 p.m. (hora del centro)</t>
  </si>
  <si>
    <t>CASOS</t>
  </si>
  <si>
    <t>MUERTES</t>
  </si>
  <si>
    <t>Cyprus</t>
  </si>
  <si>
    <t>RECUPERADOS</t>
  </si>
  <si>
    <t>Senegal</t>
  </si>
  <si>
    <t>Mundo Hispano</t>
  </si>
  <si>
    <t>Casos</t>
  </si>
  <si>
    <t>Bosnia</t>
  </si>
  <si>
    <t>Muertes</t>
  </si>
  <si>
    <t>Serios</t>
  </si>
  <si>
    <t>Criticos</t>
  </si>
  <si>
    <t>Recuperados</t>
  </si>
  <si>
    <t>Fuente</t>
  </si>
  <si>
    <t>España</t>
  </si>
  <si>
    <t>Armenia</t>
  </si>
  <si>
    <t>Brasil</t>
  </si>
  <si>
    <t>Oman</t>
  </si>
  <si>
    <t>Azerbaijan</t>
  </si>
  <si>
    <t>Panamá</t>
  </si>
  <si>
    <t>North Macedonia</t>
  </si>
  <si>
    <t>México</t>
  </si>
  <si>
    <t>Tunisia</t>
  </si>
  <si>
    <t>Rep. Dominicana</t>
  </si>
  <si>
    <t>Paraguay</t>
  </si>
  <si>
    <t>Malta</t>
  </si>
  <si>
    <t>Cuba</t>
  </si>
  <si>
    <t>Morocco</t>
  </si>
  <si>
    <t>Bolivia</t>
  </si>
  <si>
    <t>Honduras</t>
  </si>
  <si>
    <t>Venezuela</t>
  </si>
  <si>
    <t>Afghanistan</t>
  </si>
  <si>
    <t>Moldova</t>
  </si>
  <si>
    <t>Turkey</t>
  </si>
  <si>
    <t>Maldives</t>
  </si>
  <si>
    <t>Dominican Republic</t>
  </si>
  <si>
    <t>Macau</t>
  </si>
  <si>
    <t>Sri Lanka</t>
  </si>
  <si>
    <t>Lithuania</t>
  </si>
  <si>
    <t>Jamaica</t>
  </si>
  <si>
    <t>New Zealand</t>
  </si>
  <si>
    <t>Cambodia</t>
  </si>
  <si>
    <t>Jordan</t>
  </si>
  <si>
    <t>Bangladesh</t>
  </si>
  <si>
    <t>Uzbekistan</t>
  </si>
  <si>
    <t>Liechtenstein</t>
  </si>
  <si>
    <t>Ukraine</t>
  </si>
  <si>
    <t>Cameroon</t>
  </si>
  <si>
    <t>Nigeria</t>
  </si>
  <si>
    <t>Monaco</t>
  </si>
  <si>
    <t>Seychelles</t>
  </si>
  <si>
    <t>Namibia</t>
  </si>
  <si>
    <t>Congo Republic</t>
  </si>
  <si>
    <t>DR Congo</t>
  </si>
  <si>
    <t>Mauritania</t>
  </si>
  <si>
    <t>Rwanda</t>
  </si>
  <si>
    <t>Central African Republic</t>
  </si>
  <si>
    <t>Togo</t>
  </si>
  <si>
    <t>Nepal</t>
  </si>
  <si>
    <t>Andorra</t>
  </si>
  <si>
    <t>Bhutan</t>
  </si>
  <si>
    <t>Gibraltar</t>
  </si>
  <si>
    <t>Vatican City</t>
  </si>
  <si>
    <t>Queue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</si>
</sst>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6">
    <font>
      <sz val="10.0"/>
      <color rgb="FF000000"/>
      <name val="Arial"/>
    </font>
    <font>
      <b/>
      <i/>
      <sz val="12.0"/>
      <color rgb="FF000000"/>
      <name val="Roboto"/>
    </font>
    <font>
      <b/>
      <i/>
      <sz val="11.0"/>
      <color rgb="FF000000"/>
      <name val="Arial"/>
    </font>
    <font>
      <b/>
      <sz val="13.0"/>
      <color rgb="FF000000"/>
      <name val="Roboto"/>
    </font>
    <font>
      <sz val="11.0"/>
      <color theme="1"/>
      <name val="Arial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A0A0A"/>
      <name val="Roboto"/>
    </font>
    <font>
      <sz val="11.0"/>
      <color rgb="FF999999"/>
      <name val="Arial"/>
    </font>
    <font>
      <b/>
      <sz val="11.0"/>
      <color theme="1"/>
      <name val="Arial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000000"/>
      <name val="Arial"/>
    </font>
    <font>
      <sz val="11.0"/>
      <color rgb="FFFFFFFF"/>
      <name val="Roboto"/>
    </font>
    <font>
      <sz val="11.0"/>
      <color rgb="FFFFFFFF"/>
      <name val="Arial"/>
    </font>
    <font>
      <b/>
      <sz val="11.0"/>
      <color rgb="FF38761D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 vertical="bottom"/>
    </xf>
    <xf borderId="0" fillId="0" fontId="4" numFmtId="0" xfId="0" applyFont="1"/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5" numFmtId="0" xfId="0" applyAlignment="1" applyFont="1">
      <alignment readingOrder="0" vertical="bottom"/>
    </xf>
    <xf borderId="0" fillId="0" fontId="8" numFmtId="3" xfId="0" applyAlignment="1" applyFont="1" applyNumberFormat="1">
      <alignment horizontal="left" vertical="bottom"/>
    </xf>
    <xf borderId="0" fillId="0" fontId="4" numFmtId="0" xfId="0" applyAlignment="1" applyFont="1">
      <alignment readingOrder="0"/>
    </xf>
    <xf borderId="0" fillId="0" fontId="9" numFmtId="3" xfId="0" applyAlignment="1" applyFont="1" applyNumberFormat="1">
      <alignment horizontal="left" vertical="bottom"/>
    </xf>
    <xf borderId="0" fillId="0" fontId="7" numFmtId="0" xfId="0" applyAlignment="1" applyFont="1">
      <alignment horizontal="left" readingOrder="0"/>
    </xf>
    <xf borderId="0" fillId="0" fontId="10" numFmtId="3" xfId="0" applyAlignment="1" applyFont="1" applyNumberFormat="1">
      <alignment horizontal="left" vertical="bottom"/>
    </xf>
    <xf borderId="0" fillId="2" fontId="7" numFmtId="0" xfId="0" applyAlignment="1" applyFill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vertical="center"/>
    </xf>
    <xf borderId="0" fillId="2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2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3" fontId="4" numFmtId="0" xfId="0" applyAlignment="1" applyFill="1" applyFont="1">
      <alignment vertical="center"/>
    </xf>
    <xf borderId="0" fillId="0" fontId="6" numFmtId="0" xfId="0" applyAlignment="1" applyFont="1">
      <alignment horizontal="left" readingOrder="0" vertical="center"/>
    </xf>
    <xf borderId="0" fillId="3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2" fontId="11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left" readingOrder="0" vertical="center"/>
    </xf>
    <xf borderId="0" fillId="2" fontId="11" numFmtId="0" xfId="0" applyAlignment="1" applyFont="1">
      <alignment horizontal="center" readingOrder="0" shrinkToFit="0" vertical="center" wrapText="1"/>
    </xf>
    <xf borderId="0" fillId="0" fontId="11" numFmtId="3" xfId="0" applyAlignment="1" applyFont="1" applyNumberFormat="1">
      <alignment horizontal="center" readingOrder="0" vertical="center"/>
    </xf>
    <xf borderId="0" fillId="2" fontId="4" numFmtId="0" xfId="0" applyAlignment="1" applyFont="1">
      <alignment horizontal="center" shrinkToFit="0" vertical="center" wrapText="1"/>
    </xf>
    <xf borderId="0" fillId="0" fontId="4" numFmtId="3" xfId="0" applyAlignment="1" applyFont="1" applyNumberFormat="1">
      <alignment horizontal="center" readingOrder="0" vertical="center"/>
    </xf>
    <xf borderId="0" fillId="2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11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center" readingOrder="0" vertical="center"/>
    </xf>
    <xf borderId="0" fillId="0" fontId="11" numFmtId="3" xfId="0" applyAlignment="1" applyFont="1" applyNumberFormat="1">
      <alignment horizontal="center" readingOrder="0" shrinkToFit="0" vertical="center" wrapText="1"/>
    </xf>
    <xf borderId="0" fillId="4" fontId="4" numFmtId="0" xfId="0" applyAlignment="1" applyFill="1" applyFont="1">
      <alignment vertical="center"/>
    </xf>
    <xf borderId="0" fillId="0" fontId="4" numFmtId="3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2" fontId="13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 shrinkToFit="0" vertical="center" wrapText="1"/>
    </xf>
    <xf borderId="0" fillId="5" fontId="11" numFmtId="0" xfId="0" applyAlignment="1" applyFill="1" applyFont="1">
      <alignment horizontal="left" readingOrder="0" shrinkToFit="0" vertical="center" wrapText="1"/>
    </xf>
    <xf borderId="0" fillId="5" fontId="11" numFmtId="3" xfId="0" applyAlignment="1" applyFont="1" applyNumberFormat="1">
      <alignment horizontal="center" readingOrder="0" shrinkToFit="0" vertical="center" wrapText="1"/>
    </xf>
    <xf borderId="0" fillId="5" fontId="11" numFmtId="0" xfId="0" applyAlignment="1" applyFont="1">
      <alignment horizontal="center" readingOrder="0" shrinkToFit="0" vertical="center" wrapText="1"/>
    </xf>
    <xf borderId="0" fillId="5" fontId="4" numFmtId="0" xfId="0" applyAlignment="1" applyFont="1">
      <alignment horizontal="center" readingOrder="0" shrinkToFit="0" vertical="center" wrapText="1"/>
    </xf>
    <xf borderId="0" fillId="5" fontId="4" numFmtId="3" xfId="0" applyAlignment="1" applyFont="1" applyNumberFormat="1">
      <alignment horizontal="center" readingOrder="0" shrinkToFit="0" vertical="center" wrapText="1"/>
    </xf>
    <xf borderId="0" fillId="5" fontId="15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2" fontId="11" numFmtId="3" xfId="0" applyAlignment="1" applyFont="1" applyNumberFormat="1">
      <alignment horizontal="center" readingOrder="0" shrinkToFit="0" vertical="center" wrapText="1"/>
    </xf>
    <xf borderId="0" fillId="0" fontId="16" numFmtId="0" xfId="0" applyAlignment="1" applyFont="1">
      <alignment horizontal="center" readingOrder="0" vertical="center"/>
    </xf>
    <xf borderId="0" fillId="3" fontId="4" numFmtId="0" xfId="0" applyAlignment="1" applyFont="1">
      <alignment vertical="center"/>
    </xf>
    <xf borderId="0" fillId="0" fontId="4" numFmtId="0" xfId="0" applyAlignment="1" applyFont="1">
      <alignment horizontal="center" shrinkToFit="0" vertical="center" wrapText="1"/>
    </xf>
    <xf borderId="0" fillId="4" fontId="17" numFmtId="0" xfId="0" applyAlignment="1" applyFont="1">
      <alignment vertical="center"/>
    </xf>
    <xf borderId="0" fillId="0" fontId="18" numFmtId="0" xfId="0" applyAlignment="1" applyFont="1">
      <alignment readingOrder="0" vertical="center"/>
    </xf>
    <xf borderId="0" fillId="0" fontId="7" numFmtId="0" xfId="0" applyAlignment="1" applyFont="1">
      <alignment horizontal="left" readingOrder="0" shrinkToFit="0" vertical="center" wrapText="1"/>
    </xf>
    <xf borderId="0" fillId="0" fontId="19" numFmtId="3" xfId="0" applyAlignment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0" fontId="21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 vertical="center"/>
    </xf>
    <xf borderId="0" fillId="4" fontId="22" numFmtId="0" xfId="0" applyAlignment="1" applyFont="1">
      <alignment vertical="center"/>
    </xf>
    <xf borderId="0" fillId="0" fontId="16" numFmtId="0" xfId="0" applyAlignment="1" applyFont="1">
      <alignment horizontal="center" readingOrder="0" shrinkToFit="0" vertical="center" wrapText="1"/>
    </xf>
    <xf borderId="0" fillId="5" fontId="4" numFmtId="0" xfId="0" applyAlignment="1" applyFont="1">
      <alignment horizontal="center" shrinkToFit="0" vertical="center" wrapText="1"/>
    </xf>
    <xf borderId="0" fillId="2" fontId="16" numFmtId="0" xfId="0" applyAlignment="1" applyFont="1">
      <alignment horizontal="center" readingOrder="0" shrinkToFit="0" vertical="center" wrapText="1"/>
    </xf>
    <xf borderId="0" fillId="2" fontId="16" numFmtId="0" xfId="0" applyAlignment="1" applyFont="1">
      <alignment horizontal="center" readingOrder="0" shrinkToFit="0" vertical="center" wrapText="1"/>
    </xf>
    <xf borderId="0" fillId="3" fontId="23" numFmtId="0" xfId="0" applyAlignment="1" applyFont="1">
      <alignment horizontal="left" readingOrder="0" shrinkToFit="0" vertical="center" wrapText="1"/>
    </xf>
    <xf borderId="0" fillId="3" fontId="23" numFmtId="3" xfId="0" applyAlignment="1" applyFont="1" applyNumberFormat="1">
      <alignment horizontal="center" readingOrder="0" shrinkToFit="0" vertical="center" wrapText="1"/>
    </xf>
    <xf borderId="0" fillId="3" fontId="23" numFmtId="0" xfId="0" applyAlignment="1" applyFont="1">
      <alignment horizontal="center" readingOrder="0" shrinkToFit="0" vertical="center" wrapText="1"/>
    </xf>
    <xf borderId="0" fillId="3" fontId="24" numFmtId="0" xfId="0" applyAlignment="1" applyFont="1">
      <alignment horizontal="center" readingOrder="0" shrinkToFit="0" vertical="center" wrapText="1"/>
    </xf>
    <xf borderId="0" fillId="3" fontId="24" numFmtId="0" xfId="0" applyAlignment="1" applyFont="1">
      <alignment horizontal="center" shrinkToFit="0" vertical="center" wrapText="1"/>
    </xf>
    <xf borderId="0" fillId="3" fontId="23" numFmtId="0" xfId="0" applyAlignment="1" applyFont="1">
      <alignment horizontal="center" readingOrder="0" shrinkToFit="0" vertical="center" wrapText="1"/>
    </xf>
    <xf borderId="0" fillId="3" fontId="24" numFmtId="0" xfId="0" applyAlignment="1" applyFont="1">
      <alignment vertical="center"/>
    </xf>
    <xf borderId="0" fillId="3" fontId="4" numFmtId="0" xfId="0" applyFont="1"/>
    <xf borderId="0" fillId="0" fontId="16" numFmtId="0" xfId="0" applyAlignment="1" applyFont="1">
      <alignment horizontal="center" readingOrder="0" vertical="center"/>
    </xf>
    <xf borderId="0" fillId="3" fontId="17" numFmtId="0" xfId="0" applyAlignment="1" applyFont="1">
      <alignment vertical="center"/>
    </xf>
    <xf borderId="0" fillId="3" fontId="23" numFmtId="0" xfId="0" applyAlignment="1" applyFont="1">
      <alignment horizontal="left" readingOrder="0" vertical="center"/>
    </xf>
    <xf borderId="0" fillId="3" fontId="23" numFmtId="0" xfId="0" applyAlignment="1" applyFont="1">
      <alignment horizontal="center" readingOrder="0" vertical="center"/>
    </xf>
    <xf borderId="0" fillId="3" fontId="24" numFmtId="0" xfId="0" applyAlignment="1" applyFont="1">
      <alignment horizontal="center" readingOrder="0" vertical="center"/>
    </xf>
    <xf borderId="0" fillId="3" fontId="23" numFmtId="0" xfId="0" applyAlignment="1" applyFont="1">
      <alignment horizontal="center" readingOrder="0" vertical="center"/>
    </xf>
    <xf borderId="0" fillId="0" fontId="20" numFmtId="3" xfId="0" applyAlignment="1" applyFont="1" applyNumberFormat="1">
      <alignment horizontal="center" vertical="center"/>
    </xf>
    <xf borderId="0" fillId="0" fontId="19" numFmtId="3" xfId="0" applyAlignment="1" applyFont="1" applyNumberFormat="1">
      <alignment horizontal="center" readingOrder="0" vertical="center"/>
    </xf>
    <xf borderId="0" fillId="0" fontId="19" numFmtId="0" xfId="0" applyAlignment="1" applyFont="1">
      <alignment horizontal="center" readingOrder="0" vertical="center"/>
    </xf>
    <xf borderId="0" fillId="0" fontId="25" numFmtId="3" xfId="0" applyAlignment="1" applyFont="1" applyNumberFormat="1">
      <alignment horizontal="center" readingOrder="0" vertical="center"/>
    </xf>
    <xf borderId="0" fillId="0" fontId="20" numFmtId="0" xfId="0" applyAlignment="1" applyFont="1">
      <alignment horizontal="center" vertical="center"/>
    </xf>
    <xf borderId="0" fillId="0" fontId="25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América Latina y Españ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World!$A$7:$A$125</c:f>
            </c:strRef>
          </c:cat>
          <c:val>
            <c:numRef>
              <c:f>World!$B$7:$B$125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World!$A$7:$A$125</c:f>
            </c:strRef>
          </c:cat>
          <c:val>
            <c:numRef>
              <c:f>World!$C$7:$C$125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headerRowCount="0" ref="A6:G128" displayName="Table_6" id="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Worl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5:G67" displayName="Table_4" id="4">
  <tableColumns count="7">
    <tableColumn name="UNITED STATES" id="1"/>
    <tableColumn name="Cases" id="2"/>
    <tableColumn name="Deaths" id="3"/>
    <tableColumn name="Serious" id="4"/>
    <tableColumn name="Critical" id="5"/>
    <tableColumn name="Recovered" id="6"/>
    <tableColumn name="Links" id="7"/>
  </tableColumns>
  <tableStyleInfo name="USA-style" showColumnStripes="0" showFirstColumn="1" showLastColumn="1" showRowStripes="1"/>
</table>
</file>

<file path=xl/tables/table3.xml><?xml version="1.0" encoding="utf-8"?>
<table xmlns="http://schemas.openxmlformats.org/spreadsheetml/2006/main" headerRowCount="0" ref="A5:G15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5:G19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na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5:G18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ustral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5:G21" displayName="Table_5" id="5">
  <tableColumns count="7">
    <tableColumn name="Mundo Hispano" id="1"/>
    <tableColumn name="Casos" id="2"/>
    <tableColumn name="Muertes" id="3"/>
    <tableColumn name="Serios" id="4"/>
    <tableColumn name="Criticos" id="5"/>
    <tableColumn name="Recuperados" id="6"/>
    <tableColumn name="Fuente" id="7"/>
  </tableColumns>
  <tableStyleInfo name="América Latina y Españ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43"/>
    <col customWidth="1" min="2" max="2" width="9.43"/>
    <col customWidth="1" min="3" max="3" width="8.43"/>
    <col customWidth="1" min="4" max="4" width="9.71"/>
    <col customWidth="1" min="5" max="5" width="8.71"/>
    <col customWidth="1" min="6" max="6" width="12.0"/>
    <col customWidth="1" min="7" max="7" width="11.29"/>
    <col customWidth="1" min="8" max="8" width="1.14"/>
  </cols>
  <sheetData>
    <row r="1">
      <c r="A1" s="1" t="s">
        <v>0</v>
      </c>
      <c r="B1" s="3"/>
      <c r="C1" s="3"/>
      <c r="D1" s="5"/>
      <c r="E1" s="5"/>
      <c r="F1" s="6"/>
      <c r="G1" s="7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/>
      <c r="B2" s="3"/>
      <c r="C2" s="3"/>
      <c r="D2" s="5"/>
      <c r="E2" s="5"/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3" t="s">
        <v>1</v>
      </c>
      <c r="B3" s="3" t="s">
        <v>2</v>
      </c>
      <c r="D3" s="5" t="s">
        <v>3</v>
      </c>
      <c r="F3" s="8" t="s">
        <v>4</v>
      </c>
      <c r="H3" s="5"/>
      <c r="I3" s="1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9">
        <f t="shared" ref="A4:B4" si="1">SUM(B127, B128)</f>
        <v>165969</v>
      </c>
      <c r="B4" s="9">
        <f t="shared" si="1"/>
        <v>6475</v>
      </c>
      <c r="D4" s="11">
        <f>SUM(F127, F128)</f>
        <v>75910</v>
      </c>
      <c r="F4" s="13">
        <f>MINUS(A4,B4+D4)</f>
        <v>83584</v>
      </c>
      <c r="H4" s="11"/>
      <c r="I4" s="10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2"/>
      <c r="B5" s="7"/>
      <c r="C5" s="7"/>
      <c r="D5" s="6"/>
      <c r="E5" s="6"/>
      <c r="F5" s="6"/>
      <c r="G5" s="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30.0" customHeight="1">
      <c r="A6" s="15" t="s">
        <v>7</v>
      </c>
      <c r="B6" s="17" t="s">
        <v>8</v>
      </c>
      <c r="C6" s="17" t="s">
        <v>9</v>
      </c>
      <c r="D6" s="19" t="s">
        <v>10</v>
      </c>
      <c r="E6" s="21" t="s">
        <v>11</v>
      </c>
      <c r="F6" s="21" t="s">
        <v>12</v>
      </c>
      <c r="G6" s="17"/>
      <c r="H6" s="20"/>
      <c r="I6" s="20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ht="30.0" customHeight="1">
      <c r="A7" s="25" t="s">
        <v>15</v>
      </c>
      <c r="B7" s="27">
        <v>80844.0</v>
      </c>
      <c r="C7" s="27">
        <v>3199.0</v>
      </c>
      <c r="D7" s="29">
        <v>3226.0</v>
      </c>
      <c r="E7" s="31" t="s">
        <v>17</v>
      </c>
      <c r="F7" s="29">
        <v>66911.0</v>
      </c>
      <c r="G7" s="33" t="str">
        <f>HYPERLINK("http://www.nhc.gov.cn/yjb/s7860/202003/8331f126d3854413b6ea323009fbbcc5.shtml","Source")</f>
        <v>Source</v>
      </c>
      <c r="H7" s="35"/>
      <c r="I7" s="20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ht="30.0" customHeight="1">
      <c r="A8" s="25" t="s">
        <v>18</v>
      </c>
      <c r="B8" s="27">
        <v>24747.0</v>
      </c>
      <c r="C8" s="27">
        <v>1809.0</v>
      </c>
      <c r="D8" s="29">
        <v>1672.0</v>
      </c>
      <c r="E8" s="31" t="s">
        <v>17</v>
      </c>
      <c r="F8" s="29">
        <v>2335.0</v>
      </c>
      <c r="G8" s="33" t="str">
        <f>HYPERLINK("https://pbs.twimg.com/media/ETKoXpLWkAYO8mt?format=jpg&amp;name=large","Source")</f>
        <v>Source</v>
      </c>
      <c r="H8" s="35"/>
      <c r="I8" s="20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ht="30.0" customHeight="1">
      <c r="A9" s="25" t="s">
        <v>19</v>
      </c>
      <c r="B9" s="27">
        <v>13938.0</v>
      </c>
      <c r="C9" s="39">
        <v>724.0</v>
      </c>
      <c r="D9" s="31" t="s">
        <v>17</v>
      </c>
      <c r="E9" s="31" t="s">
        <v>17</v>
      </c>
      <c r="F9" s="29">
        <v>4339.0</v>
      </c>
      <c r="G9" s="33" t="str">
        <f>HYPERLINK("https://news.trust.org/item/20200315102630-cep2x","Source")</f>
        <v>Source</v>
      </c>
      <c r="H9" s="35"/>
      <c r="I9" s="20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 ht="30.0" customHeight="1">
      <c r="A10" s="25" t="s">
        <v>22</v>
      </c>
      <c r="B10" s="27">
        <v>8162.0</v>
      </c>
      <c r="C10" s="39">
        <v>75.0</v>
      </c>
      <c r="D10" s="31" t="s">
        <v>17</v>
      </c>
      <c r="E10" s="31">
        <v>36.0</v>
      </c>
      <c r="F10" s="31">
        <v>834.0</v>
      </c>
      <c r="G10" s="33" t="str">
        <f>HYPERLINK("http://ncov.mohw.go.kr/tcmBoardView.do?brdId=&amp;brdGubun=&amp;dataGubun=&amp;ncvContSeq=353554&amp;contSeq=353554&amp;board_id=&amp;gubun=ALL","Source")</f>
        <v>Source</v>
      </c>
      <c r="H10" s="35"/>
      <c r="I10" s="20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 ht="30.0" customHeight="1">
      <c r="A11" s="25" t="s">
        <v>23</v>
      </c>
      <c r="B11" s="27">
        <v>7847.0</v>
      </c>
      <c r="C11" s="39">
        <v>292.0</v>
      </c>
      <c r="D11" s="31">
        <v>272.0</v>
      </c>
      <c r="E11" s="31" t="s">
        <v>17</v>
      </c>
      <c r="F11" s="31">
        <v>517.0</v>
      </c>
      <c r="G11" s="33" t="str">
        <f>HYPERLINK("https://www.rtve.es/noticias/20200314/mapa-del-coronavirus-espana/2004681.shtml","Source")</f>
        <v>Source</v>
      </c>
      <c r="H11" s="35"/>
      <c r="I11" s="20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ht="30.0" customHeight="1">
      <c r="A12" s="25" t="s">
        <v>24</v>
      </c>
      <c r="B12" s="27">
        <v>5423.0</v>
      </c>
      <c r="C12" s="39">
        <v>127.0</v>
      </c>
      <c r="D12" s="31">
        <v>300.0</v>
      </c>
      <c r="E12" s="31" t="s">
        <v>17</v>
      </c>
      <c r="F12" s="31">
        <v>12.0</v>
      </c>
      <c r="G12" s="33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H12" s="35"/>
      <c r="I12" s="20"/>
      <c r="J12" s="25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ht="30.0" customHeight="1">
      <c r="A13" s="25" t="s">
        <v>27</v>
      </c>
      <c r="B13" s="27">
        <v>4585.0</v>
      </c>
      <c r="C13" s="39">
        <v>12.0</v>
      </c>
      <c r="D13" s="31" t="s">
        <v>17</v>
      </c>
      <c r="E13" s="31">
        <v>2.0</v>
      </c>
      <c r="F13" s="31">
        <v>46.0</v>
      </c>
      <c r="G13" s="33" t="str">
        <f>HYPERLINK("https://interaktiv.morgenpost.de/corona-virus-karte-infektionen-deutschland-weltweit/?fbclid=IwAR04HlqzakGaNssQzbz4d8o8R3gz0C910U8tvfYlBT6P0lVJJvHfk9uS2rc","Source")</f>
        <v>Source</v>
      </c>
      <c r="H13" s="35"/>
      <c r="I13" s="20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ht="30.0" customHeight="1">
      <c r="A14" s="25" t="s">
        <v>30</v>
      </c>
      <c r="B14" s="27">
        <v>3783.0</v>
      </c>
      <c r="C14" s="39">
        <v>65.0</v>
      </c>
      <c r="D14" s="31">
        <v>60.0</v>
      </c>
      <c r="E14" s="31">
        <v>4.0</v>
      </c>
      <c r="F14" s="31">
        <v>9.0</v>
      </c>
      <c r="G14" s="49"/>
      <c r="H14" s="50"/>
      <c r="I14" s="50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ht="30.0" customHeight="1">
      <c r="A15" s="25" t="s">
        <v>34</v>
      </c>
      <c r="B15" s="27">
        <v>1372.0</v>
      </c>
      <c r="C15" s="39">
        <v>35.0</v>
      </c>
      <c r="D15" s="31">
        <v>20.0</v>
      </c>
      <c r="E15" s="31" t="s">
        <v>17</v>
      </c>
      <c r="F15" s="31">
        <v>18.0</v>
      </c>
      <c r="G15" s="33" t="str">
        <f>HYPERLINK("https://twitter.com/DHSCgovuk/status/1239214816860016640","Source")</f>
        <v>Source</v>
      </c>
      <c r="H15" s="35"/>
      <c r="I15" s="20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ht="30.0" customHeight="1">
      <c r="A16" s="25" t="s">
        <v>37</v>
      </c>
      <c r="B16" s="27">
        <v>1355.0</v>
      </c>
      <c r="C16" s="39">
        <v>13.0</v>
      </c>
      <c r="D16" s="31" t="s">
        <v>17</v>
      </c>
      <c r="E16" s="31" t="s">
        <v>17</v>
      </c>
      <c r="F16" s="31">
        <v>4.0</v>
      </c>
      <c r="G16" s="33" t="str">
        <f>HYPERLINK("https://twitter.com/BAG_OFSP_UFSP/status/1238773861082116096","Source")</f>
        <v>Source</v>
      </c>
      <c r="H16" s="35"/>
      <c r="I16" s="20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ht="30.0" customHeight="1">
      <c r="A17" s="25" t="s">
        <v>39</v>
      </c>
      <c r="B17" s="27">
        <v>1120.0</v>
      </c>
      <c r="C17" s="39">
        <v>3.0</v>
      </c>
      <c r="D17" s="31" t="s">
        <v>17</v>
      </c>
      <c r="E17" s="31" t="s">
        <v>17</v>
      </c>
      <c r="F17" s="31" t="s">
        <v>17</v>
      </c>
      <c r="G17" s="33" t="str">
        <f>HYPERLINK("https://www.vg.no/spesial/2020/corona-viruset/?utm_source=vgfront&amp;utm_content=row-1","Source")</f>
        <v>Source</v>
      </c>
      <c r="H17" s="35"/>
      <c r="I17" s="20"/>
      <c r="J17" s="5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ht="30.0" customHeight="1">
      <c r="A18" s="25" t="s">
        <v>44</v>
      </c>
      <c r="B18" s="39">
        <v>959.0</v>
      </c>
      <c r="C18" s="39">
        <v>12.0</v>
      </c>
      <c r="D18" s="31" t="s">
        <v>17</v>
      </c>
      <c r="E18" s="31">
        <v>45.0</v>
      </c>
      <c r="F18" s="31">
        <v>2.0</v>
      </c>
      <c r="G18" s="33" t="str">
        <f>HYPERLINK("https://www.rivm.nl/nieuws/actuele-informatie-over-coronavirus","Source")</f>
        <v>Source</v>
      </c>
      <c r="H18" s="35"/>
      <c r="I18" s="20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ht="30.0" customHeight="1">
      <c r="A19" s="25" t="s">
        <v>46</v>
      </c>
      <c r="B19" s="39">
        <v>961.0</v>
      </c>
      <c r="C19" s="39">
        <v>2.0</v>
      </c>
      <c r="D19" s="31" t="s">
        <v>17</v>
      </c>
      <c r="E19" s="31" t="s">
        <v>17</v>
      </c>
      <c r="F19" s="31" t="s">
        <v>17</v>
      </c>
      <c r="G19" s="33" t="str">
        <f>HYPERLINK("https://www.svt.se/datajournalistik/har-sprider-sig-coronaviruset/","Source")</f>
        <v>Source</v>
      </c>
      <c r="H19" s="35"/>
      <c r="I19" s="20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ht="30.0" customHeight="1">
      <c r="A20" s="25" t="s">
        <v>48</v>
      </c>
      <c r="B20" s="39">
        <v>836.0</v>
      </c>
      <c r="C20" s="39">
        <v>1.0</v>
      </c>
      <c r="D20" s="31" t="s">
        <v>17</v>
      </c>
      <c r="E20" s="31" t="s">
        <v>17</v>
      </c>
      <c r="F20" s="31" t="s">
        <v>17</v>
      </c>
      <c r="G20" s="33" t="str">
        <f>HYPERLINK("https://news.trust.org/item/20200314154754-5n5we","Source")</f>
        <v>Source</v>
      </c>
      <c r="H20" s="35"/>
      <c r="I20" s="20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ht="30.0" customHeight="1">
      <c r="A21" s="25" t="s">
        <v>50</v>
      </c>
      <c r="B21" s="39">
        <v>805.0</v>
      </c>
      <c r="C21" s="39">
        <v>22.0</v>
      </c>
      <c r="D21" s="31">
        <v>32.0</v>
      </c>
      <c r="E21" s="31" t="s">
        <v>17</v>
      </c>
      <c r="F21" s="31">
        <v>59.0</v>
      </c>
      <c r="G21" s="33" t="str">
        <f>HYPERLINK("https://www3.nhk.or.jp/news/html/20200315/k10012332011000.html?utm_int=word_contents_list-items_007&amp;word_result=%E6%96%B0%E5%9E%8B%E3%82%B3%E3%83%AD%E3%83%8A%E3%82%A6%E3%82%A4%E3%83%AB%E3%82%B9","Source")</f>
        <v>Source</v>
      </c>
      <c r="H21" s="52"/>
      <c r="I21" s="20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ht="30.0" customHeight="1">
      <c r="A22" s="25" t="s">
        <v>52</v>
      </c>
      <c r="B22" s="39">
        <v>800.0</v>
      </c>
      <c r="C22" s="39">
        <v>1.0</v>
      </c>
      <c r="D22" s="31" t="s">
        <v>17</v>
      </c>
      <c r="E22" s="31" t="s">
        <v>17</v>
      </c>
      <c r="F22" s="31">
        <v>6.0</v>
      </c>
      <c r="G22" s="33" t="str">
        <f>HYPERLINK("https://twitter.com/bmsgpk/status/1239101418293932032","Source")</f>
        <v>Source</v>
      </c>
      <c r="H22" s="35"/>
      <c r="I22" s="20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ht="30.0" customHeight="1">
      <c r="A23" s="25" t="s">
        <v>53</v>
      </c>
      <c r="B23" s="39">
        <v>697.0</v>
      </c>
      <c r="C23" s="39">
        <v>7.0</v>
      </c>
      <c r="D23" s="31">
        <v>14.0</v>
      </c>
      <c r="E23" s="31" t="s">
        <v>17</v>
      </c>
      <c r="F23" s="31">
        <v>245.0</v>
      </c>
      <c r="G23" s="33" t="str">
        <f>HYPERLINK("https://www.mhlw.go.jp/stf/newpage_10161.html","Source")</f>
        <v>Source</v>
      </c>
      <c r="H23" s="35"/>
      <c r="I23" s="20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ht="30.0" customHeight="1">
      <c r="A24" s="25" t="s">
        <v>55</v>
      </c>
      <c r="B24" s="39">
        <v>689.0</v>
      </c>
      <c r="C24" s="39">
        <v>4.0</v>
      </c>
      <c r="D24" s="31" t="s">
        <v>17</v>
      </c>
      <c r="E24" s="31" t="s">
        <v>17</v>
      </c>
      <c r="F24" s="31">
        <v>1.0</v>
      </c>
      <c r="G24" s="33" t="str">
        <f>HYPERLINK("https://www.info-coronavirus.be/nl/2020/03/14/133-nieuwe-besmettingen-met-coronavirus-covid-19/","Source")</f>
        <v>Source</v>
      </c>
      <c r="H24" s="35"/>
      <c r="I24" s="20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ht="30.0" customHeight="1">
      <c r="A25" s="25" t="s">
        <v>57</v>
      </c>
      <c r="B25" s="39">
        <v>337.0</v>
      </c>
      <c r="C25" s="39">
        <v>0.0</v>
      </c>
      <c r="D25" s="31" t="s">
        <v>17</v>
      </c>
      <c r="E25" s="31" t="s">
        <v>17</v>
      </c>
      <c r="F25" s="31">
        <v>4.0</v>
      </c>
      <c r="G25" s="33" t="str">
        <f>HYPERLINK("https://www.moph.gov.qa/arabic/mediacenter/News/Pages/NewsDetails.aspx?ItemId=102","Source")</f>
        <v>Source</v>
      </c>
      <c r="H25" s="35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ht="30.0" customHeight="1">
      <c r="A26" s="25" t="s">
        <v>59</v>
      </c>
      <c r="B26" s="39">
        <v>264.0</v>
      </c>
      <c r="C26" s="39">
        <v>1.0</v>
      </c>
      <c r="D26" s="31" t="s">
        <v>17</v>
      </c>
      <c r="E26" s="31">
        <v>1.0</v>
      </c>
      <c r="F26" s="31">
        <v>11.0</v>
      </c>
      <c r="G26" s="33" t="str">
        <f>HYPERLINK("https://www.gov.nl.ca/covid-19/","Source")</f>
        <v>Source</v>
      </c>
      <c r="H26" s="20"/>
      <c r="I26" s="20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ht="30.0" customHeight="1">
      <c r="A27" s="25" t="s">
        <v>61</v>
      </c>
      <c r="B27" s="39">
        <v>262.0</v>
      </c>
      <c r="C27" s="39">
        <v>3.0</v>
      </c>
      <c r="D27" s="31" t="s">
        <v>17</v>
      </c>
      <c r="E27" s="31" t="s">
        <v>17</v>
      </c>
      <c r="F27" s="31">
        <v>27.0</v>
      </c>
      <c r="G27" s="33" t="str">
        <f>HYPERLINK("https://www.health.nsw.gov.au/news/Pages/20200314_00.aspx","Source")</f>
        <v>Source</v>
      </c>
      <c r="H27" s="20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ht="30.0" customHeight="1">
      <c r="A28" s="25" t="s">
        <v>63</v>
      </c>
      <c r="B28" s="39">
        <v>253.0</v>
      </c>
      <c r="C28" s="39">
        <v>0.0</v>
      </c>
      <c r="D28" s="31">
        <v>2.0</v>
      </c>
      <c r="E28" s="31">
        <v>0.0</v>
      </c>
      <c r="F28" s="31">
        <v>0.0</v>
      </c>
      <c r="G28" s="33" t="str">
        <f>HYPERLINK("https://onemocneni-aktualne.mzcr.cz/covid-19","Source")</f>
        <v>Source</v>
      </c>
      <c r="H28" s="35"/>
      <c r="I28" s="20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ht="30.0" customHeight="1">
      <c r="A29" s="25" t="s">
        <v>65</v>
      </c>
      <c r="B29" s="39">
        <v>238.0</v>
      </c>
      <c r="C29" s="39">
        <v>0.0</v>
      </c>
      <c r="D29" s="31">
        <v>5.0</v>
      </c>
      <c r="E29" s="31" t="s">
        <v>17</v>
      </c>
      <c r="F29" s="31">
        <v>35.0</v>
      </c>
      <c r="G29" s="33" t="str">
        <f>HYPERLINK("https://kpkesihatan.com/2020/03/14/kenyataan-akhbar-kpk-14-mac-2020-situasi-semasa-jangkitan-penyakit-coronavirus-2019-covid-19-di-malaysia/","Source")</f>
        <v>Source</v>
      </c>
      <c r="H29" s="35"/>
      <c r="I29" s="20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ht="30.0" customHeight="1">
      <c r="A30" s="25" t="s">
        <v>67</v>
      </c>
      <c r="B30" s="39">
        <v>228.0</v>
      </c>
      <c r="C30" s="39">
        <v>3.0</v>
      </c>
      <c r="D30" s="31">
        <v>5.0</v>
      </c>
      <c r="E30" s="31" t="s">
        <v>17</v>
      </c>
      <c r="F30" s="31">
        <v>8.0</v>
      </c>
      <c r="G30" s="33" t="str">
        <f>HYPERLINK("https://www.moh.gov.gr/articles/ministry/grafeio-typoy/press-releases/6869-enhmerwsh-diapisteymenwn-syntaktwn-ygeias-apo-ton-ekproswpo-toy-ypoyrgeioy-ygeias-gia-to-neo-koronoio-kathhghth-swthrh-tsiodra-14-3-2020","Source")</f>
        <v>Source</v>
      </c>
      <c r="H30" s="35"/>
      <c r="I30" s="20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ht="30.0" customHeight="1">
      <c r="A31" s="25" t="s">
        <v>69</v>
      </c>
      <c r="B31" s="39">
        <v>212.0</v>
      </c>
      <c r="C31" s="39">
        <v>0.0</v>
      </c>
      <c r="D31" s="31" t="s">
        <v>17</v>
      </c>
      <c r="E31" s="31">
        <v>14.0</v>
      </c>
      <c r="F31" s="31">
        <v>105.0</v>
      </c>
      <c r="G31" s="33" t="str">
        <f>HYPERLINK("https://www.moh.gov.sg/news-highlights/details/eight-more-cases-discharged-twelve-new-cases-of-covid-19-infection-confirmed","Source")</f>
        <v>Source</v>
      </c>
      <c r="H31" s="35"/>
      <c r="I31" s="20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ht="30.0" customHeight="1">
      <c r="A32" s="25" t="s">
        <v>71</v>
      </c>
      <c r="B32" s="39">
        <v>212.0</v>
      </c>
      <c r="C32" s="39">
        <v>0.0</v>
      </c>
      <c r="D32" s="31" t="s">
        <v>17</v>
      </c>
      <c r="E32" s="31">
        <v>2.0</v>
      </c>
      <c r="F32" s="31">
        <v>60.0</v>
      </c>
      <c r="G32" s="33" t="str">
        <f>HYPERLINK("https://www.moh.gov.bh/COVID19","Source")</f>
        <v>Source</v>
      </c>
      <c r="H32" s="52"/>
      <c r="I32" s="20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ht="30.0" customHeight="1">
      <c r="A33" s="25" t="s">
        <v>73</v>
      </c>
      <c r="B33" s="39">
        <v>210.0</v>
      </c>
      <c r="C33" s="39">
        <v>0.0</v>
      </c>
      <c r="D33" s="31" t="s">
        <v>17</v>
      </c>
      <c r="E33" s="31" t="s">
        <v>17</v>
      </c>
      <c r="F33" s="31">
        <v>1.0</v>
      </c>
      <c r="G33" s="33" t="str">
        <f>HYPERLINK("https://thl.fi/fi/-/suomessa-on-todettu-55-uutta-koronavirustartuntaa?redirect=%2Ffi%2Fajankohtaista","Source")</f>
        <v>Source</v>
      </c>
      <c r="H33" s="35"/>
      <c r="I33" s="20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ht="30.0" customHeight="1">
      <c r="A34" s="25" t="s">
        <v>76</v>
      </c>
      <c r="B34" s="39">
        <v>200.0</v>
      </c>
      <c r="C34" s="39">
        <v>0.0</v>
      </c>
      <c r="D34" s="31" t="s">
        <v>17</v>
      </c>
      <c r="E34" s="31" t="s">
        <v>17</v>
      </c>
      <c r="F34" s="31">
        <v>1.0</v>
      </c>
      <c r="G34" s="33" t="str">
        <f>HYPERLINK("https://g1.globo.com/bemestar/coronavirus/noticia/2020/03/15/brasil-tem-176-casos-de-coronavirus-segundo-relatorio-do-ministerio-da-saude.ghtml","Source")</f>
        <v>Source</v>
      </c>
      <c r="H34" s="35"/>
      <c r="I34" s="20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ht="30.0" customHeight="1">
      <c r="A35" s="25" t="s">
        <v>79</v>
      </c>
      <c r="B35" s="39">
        <v>193.0</v>
      </c>
      <c r="C35" s="39">
        <v>0.0</v>
      </c>
      <c r="D35" s="31">
        <v>2.0</v>
      </c>
      <c r="E35" s="31" t="s">
        <v>17</v>
      </c>
      <c r="F35" s="31">
        <v>3.0</v>
      </c>
      <c r="G35" s="33" t="str">
        <f>HYPERLINK("https://www.jpost.com/Breaking-News/126-people-in-Israel-diagnosed-with-coronavirus-620851","Source")</f>
        <v>Source</v>
      </c>
      <c r="H35" s="35"/>
      <c r="I35" s="20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ht="27.75" customHeight="1">
      <c r="A36" s="25" t="s">
        <v>82</v>
      </c>
      <c r="B36" s="39">
        <v>181.0</v>
      </c>
      <c r="C36" s="39">
        <v>1.0</v>
      </c>
      <c r="D36" s="31">
        <v>0.0</v>
      </c>
      <c r="E36" s="31">
        <v>0.0</v>
      </c>
      <c r="F36" s="31">
        <v>0.0</v>
      </c>
      <c r="G36" s="33" t="str">
        <f>HYPERLINK("https://www.gov.si/en/topics/coronavirus-disease-covid-19/","Source")</f>
        <v>Source</v>
      </c>
      <c r="H36" s="35"/>
      <c r="I36" s="20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ht="30.0" customHeight="1">
      <c r="A37" s="25" t="s">
        <v>85</v>
      </c>
      <c r="B37" s="39">
        <v>169.0</v>
      </c>
      <c r="C37" s="39">
        <v>2.0</v>
      </c>
      <c r="D37" s="64"/>
      <c r="E37" s="64"/>
      <c r="F37" s="64"/>
      <c r="G37" s="33" t="str">
        <f>HYPERLINK("https://www.gov.ie/en/press-release/6c3762-statement-from-the-health-protection-surveillance-centre-saturday-14/","Source")</f>
        <v>Source</v>
      </c>
      <c r="H37" s="52"/>
      <c r="I37" s="20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ht="30.0" customHeight="1">
      <c r="A38" s="25" t="s">
        <v>87</v>
      </c>
      <c r="B38" s="39">
        <v>169.0</v>
      </c>
      <c r="C38" s="39">
        <v>0.0</v>
      </c>
      <c r="D38" s="64"/>
      <c r="E38" s="64"/>
      <c r="F38" s="64"/>
      <c r="G38" s="33" t="str">
        <f>HYPERLINK("https://covid19.min-saude.pt/wp-content/uploads/2020/03/12_DGS_boletim_202003143.pdf","Source")</f>
        <v>Source</v>
      </c>
      <c r="H38" s="35"/>
      <c r="I38" s="20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ht="30.0" customHeight="1">
      <c r="A39" s="25" t="s">
        <v>91</v>
      </c>
      <c r="B39" s="39">
        <v>161.0</v>
      </c>
      <c r="C39" s="39">
        <v>0.0</v>
      </c>
      <c r="D39" s="31">
        <v>1.0</v>
      </c>
      <c r="E39" s="31" t="s">
        <v>17</v>
      </c>
      <c r="F39" s="31" t="s">
        <v>17</v>
      </c>
      <c r="G39" s="33" t="str">
        <f>HYPERLINK("https://www.ruv.is/frett/covid-19-tilfelli-ordin-161","Source")</f>
        <v>Source</v>
      </c>
      <c r="H39" s="65"/>
      <c r="I39" s="20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ht="30.0" customHeight="1">
      <c r="A40" s="25" t="s">
        <v>95</v>
      </c>
      <c r="B40" s="39">
        <v>142.0</v>
      </c>
      <c r="C40" s="39">
        <v>4.0</v>
      </c>
      <c r="D40" s="31">
        <v>2.0</v>
      </c>
      <c r="E40" s="31">
        <v>2.0</v>
      </c>
      <c r="F40" s="31">
        <v>81.0</v>
      </c>
      <c r="G40" s="33" t="str">
        <f>HYPERLINK("https://www.info.gov.hk/gia/general/202003/15/P2020031400856.htm","Source")</f>
        <v>Source</v>
      </c>
      <c r="H40" s="35"/>
      <c r="I40" s="20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ht="30.0" customHeight="1">
      <c r="A41" s="25" t="s">
        <v>98</v>
      </c>
      <c r="B41" s="39">
        <v>126.0</v>
      </c>
      <c r="C41" s="39">
        <v>2.0</v>
      </c>
      <c r="D41" s="31" t="s">
        <v>17</v>
      </c>
      <c r="E41" s="31" t="s">
        <v>17</v>
      </c>
      <c r="F41" s="31">
        <v>27.0</v>
      </c>
      <c r="G41" s="33" t="str">
        <f>HYPERLINK("https://www.facebook.com/EgyMohpSpokes/photos/a.353628178307691/1122156434788191/","Source")</f>
        <v>Source</v>
      </c>
      <c r="H41" s="35"/>
      <c r="I41" s="20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ht="27.75" customHeight="1">
      <c r="A42" s="25" t="s">
        <v>100</v>
      </c>
      <c r="B42" s="39">
        <v>125.0</v>
      </c>
      <c r="C42" s="39">
        <v>3.0</v>
      </c>
      <c r="D42" s="31">
        <v>2.0</v>
      </c>
      <c r="E42" s="31">
        <v>0.0</v>
      </c>
      <c r="F42" s="31">
        <v>0.0</v>
      </c>
      <c r="G42" s="33" t="str">
        <f>HYPERLINK("https://twitter.com/MZ_GOV_PL/status/1239102169904807936","Source")</f>
        <v>Source</v>
      </c>
      <c r="H42" s="35"/>
      <c r="I42" s="20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ht="30.0" customHeight="1">
      <c r="A43" s="25" t="s">
        <v>103</v>
      </c>
      <c r="B43" s="39">
        <v>124.0</v>
      </c>
      <c r="C43" s="39">
        <v>10.0</v>
      </c>
      <c r="D43" s="31" t="s">
        <v>17</v>
      </c>
      <c r="E43" s="31" t="s">
        <v>17</v>
      </c>
      <c r="F43" s="31">
        <v>26.0</v>
      </c>
      <c r="G43" s="33" t="str">
        <f>HYPERLINK("https://www.facebook.com/MOH.GOV.IQ/photos/a.860171854037214/2800317056689341/","Source")</f>
        <v>Source</v>
      </c>
      <c r="H43" s="35"/>
      <c r="I43" s="20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ht="30.0" customHeight="1">
      <c r="A44" s="25" t="s">
        <v>105</v>
      </c>
      <c r="B44" s="39">
        <v>123.0</v>
      </c>
      <c r="C44" s="39">
        <v>0.0</v>
      </c>
      <c r="D44" s="31" t="s">
        <v>17</v>
      </c>
      <c r="E44" s="31" t="s">
        <v>17</v>
      </c>
      <c r="F44" s="31">
        <v>9.0</v>
      </c>
      <c r="G44" s="33" t="str">
        <f>HYPERLINK("http://www.ms.ro/2020/03/14/2-cazuri-noi-de-imbolnavire-cu-coronavirus-cazurile-122-si-123/","Source")</f>
        <v>Source</v>
      </c>
      <c r="H44" s="35"/>
      <c r="I44" s="20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ht="30.0" customHeight="1">
      <c r="A45" s="25" t="s">
        <v>109</v>
      </c>
      <c r="B45" s="39">
        <v>118.0</v>
      </c>
      <c r="C45" s="39">
        <v>0.0</v>
      </c>
      <c r="D45" s="64"/>
      <c r="E45" s="64"/>
      <c r="F45" s="31">
        <v>2.0</v>
      </c>
      <c r="G45" s="33" t="str">
        <f>HYPERLINK("https://twitter.com/SaudiMOH/status/1238859170658598912","Source")</f>
        <v>Source</v>
      </c>
      <c r="H45" s="35"/>
      <c r="I45" s="20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ht="30.0" customHeight="1">
      <c r="A46" s="25" t="s">
        <v>112</v>
      </c>
      <c r="B46" s="39">
        <v>117.0</v>
      </c>
      <c r="C46" s="39">
        <v>5.0</v>
      </c>
      <c r="D46" s="64"/>
      <c r="E46" s="64"/>
      <c r="F46" s="31">
        <v>5.0</v>
      </c>
      <c r="G46" s="33" t="str">
        <f>HYPERLINK("https://www.cnnindonesia.com/nasional/20200315133445-20-483573/21-kasus-baru-pasien-positif-corona-indonesia-jadi-117-orang","Source")</f>
        <v>Source</v>
      </c>
      <c r="H46" s="35"/>
      <c r="I46" s="20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ht="30.0" customHeight="1">
      <c r="A47" s="25" t="s">
        <v>114</v>
      </c>
      <c r="B47" s="39">
        <v>115.0</v>
      </c>
      <c r="C47" s="39">
        <v>0.0</v>
      </c>
      <c r="D47" s="31" t="s">
        <v>17</v>
      </c>
      <c r="E47" s="31" t="s">
        <v>17</v>
      </c>
      <c r="F47" s="31">
        <v>1.0</v>
      </c>
      <c r="G47" s="33" t="str">
        <f>HYPERLINK("https://www.terviseamet.ee/et/uudised/paeva-jooksul-tuvastasid-laborid-6-uut-koroonaviirusesse-nakatunut","Source")</f>
        <v>Source</v>
      </c>
      <c r="H47" s="35"/>
      <c r="I47" s="20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ht="30.0" customHeight="1">
      <c r="A48" s="25" t="s">
        <v>116</v>
      </c>
      <c r="B48" s="39">
        <v>114.0</v>
      </c>
      <c r="C48" s="39">
        <v>1.0</v>
      </c>
      <c r="D48" s="31">
        <v>1.0</v>
      </c>
      <c r="E48" s="31" t="s">
        <v>17</v>
      </c>
      <c r="F48" s="31">
        <v>35.0</v>
      </c>
      <c r="G48" s="33" t="str">
        <f>HYPERLINK("https://news.trust.org/item/20200315055205-sqoee","Source")</f>
        <v>Source</v>
      </c>
      <c r="H48" s="35"/>
      <c r="I48" s="20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ht="30.0" customHeight="1">
      <c r="A49" s="25" t="s">
        <v>117</v>
      </c>
      <c r="B49" s="39">
        <v>112.0</v>
      </c>
      <c r="C49" s="39">
        <v>0.0</v>
      </c>
      <c r="D49" s="31">
        <v>4.0</v>
      </c>
      <c r="E49" s="31" t="s">
        <v>17</v>
      </c>
      <c r="F49" s="31">
        <v>9.0</v>
      </c>
      <c r="G49" s="33" t="str">
        <f>HYPERLINK("https://twitter.com/KUWAIT_MOH/status/1239093764108488706","Source")</f>
        <v>Source</v>
      </c>
      <c r="H49" s="35"/>
      <c r="I49" s="20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ht="30.0" customHeight="1">
      <c r="A50" s="25" t="s">
        <v>119</v>
      </c>
      <c r="B50" s="39">
        <v>111.0</v>
      </c>
      <c r="C50" s="39">
        <v>11.0</v>
      </c>
      <c r="D50" s="31">
        <v>1.0</v>
      </c>
      <c r="E50" s="31" t="s">
        <v>17</v>
      </c>
      <c r="F50" s="31">
        <v>2.0</v>
      </c>
      <c r="G50" s="33" t="str">
        <f>HYPERLINK("https://twitter.com/cnnphilippines/status/1239107634441019394","Source")</f>
        <v>Source</v>
      </c>
      <c r="H50" s="35"/>
      <c r="I50" s="20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ht="30.0" customHeight="1">
      <c r="A51" s="25" t="s">
        <v>121</v>
      </c>
      <c r="B51" s="39">
        <v>109.0</v>
      </c>
      <c r="C51" s="39">
        <v>2.0</v>
      </c>
      <c r="D51" s="31" t="s">
        <v>17</v>
      </c>
      <c r="E51" s="31" t="s">
        <v>17</v>
      </c>
      <c r="F51" s="31">
        <v>10.0</v>
      </c>
      <c r="G51" s="33" t="str">
        <f>HYPERLINK("https://timesofindia.indiatimes.com/india/india-wide-corona-infections-touch-100-maharashtra-has-most-cases-31/articleshow/74632997.cms","Source")</f>
        <v>Source</v>
      </c>
      <c r="H51" s="35"/>
      <c r="I51" s="20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ht="30.0" customHeight="1">
      <c r="A52" s="25" t="s">
        <v>123</v>
      </c>
      <c r="B52" s="39">
        <v>101.0</v>
      </c>
      <c r="C52" s="39">
        <v>5.0</v>
      </c>
      <c r="D52" s="31">
        <v>10.0</v>
      </c>
      <c r="E52" s="31" t="s">
        <v>17</v>
      </c>
      <c r="F52" s="31">
        <v>4.0</v>
      </c>
      <c r="G52" s="33" t="str">
        <f>HYPERLINK("http://www.iss.sm/on-line/home/articolo49014113.html","Source")</f>
        <v>Source</v>
      </c>
      <c r="H52" s="65"/>
      <c r="I52" s="20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ht="30.0" customHeight="1">
      <c r="A53" s="25" t="s">
        <v>125</v>
      </c>
      <c r="B53" s="39">
        <v>93.0</v>
      </c>
      <c r="C53" s="39">
        <v>3.0</v>
      </c>
      <c r="D53" s="31" t="s">
        <v>17</v>
      </c>
      <c r="E53" s="31">
        <v>2.0</v>
      </c>
      <c r="F53" s="31" t="s">
        <v>17</v>
      </c>
      <c r="G53" s="33" t="str">
        <f>HYPERLINK("https://www.moph.gov.lb/ar/Media/view/27128/%D8%A7%D9%84%D8%AA%D9%82%D8%B1%D9%8A%D8%B1-%D8%A7%D9%84%D9%8A%D9%88%D9%85%D9%8A-%D8%B9%D9%86-covid-19-","Source")</f>
        <v>Source</v>
      </c>
      <c r="H53" s="35"/>
      <c r="I53" s="20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ht="30.0" customHeight="1">
      <c r="A54" s="25" t="s">
        <v>127</v>
      </c>
      <c r="B54" s="39">
        <v>86.0</v>
      </c>
      <c r="C54" s="39">
        <v>0.0</v>
      </c>
      <c r="D54" s="31" t="s">
        <v>17</v>
      </c>
      <c r="E54" s="31" t="s">
        <v>17</v>
      </c>
      <c r="F54" s="31">
        <v>23.0</v>
      </c>
      <c r="G54" s="33" t="str">
        <f>HYPERLINK("https://twitter.com/mohapuae/status/1238929321257025537","Source")</f>
        <v>Source</v>
      </c>
      <c r="H54" s="35"/>
      <c r="I54" s="20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ht="30.0" customHeight="1">
      <c r="A55" s="25" t="s">
        <v>128</v>
      </c>
      <c r="B55" s="39">
        <v>71.0</v>
      </c>
      <c r="C55" s="39">
        <v>0.0</v>
      </c>
      <c r="D55" s="31"/>
      <c r="E55" s="31"/>
      <c r="F55" s="31"/>
      <c r="G55" s="33" t="str">
        <f>HYPERLINK("https://twitter.com/Minsa_Peru/status/1238994119646744578","Source")</f>
        <v>Source</v>
      </c>
      <c r="H55" s="35"/>
      <c r="I55" s="20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ht="30.0" customHeight="1">
      <c r="A56" s="25" t="s">
        <v>130</v>
      </c>
      <c r="B56" s="39">
        <v>61.0</v>
      </c>
      <c r="C56" s="39">
        <v>0.0</v>
      </c>
      <c r="D56" s="64"/>
      <c r="E56" s="64"/>
      <c r="F56" s="64"/>
      <c r="G56" s="33" t="str">
        <f>HYPERLINK("https://www.minsal.cl/wp-content/uploads/2020/03/2020-03-14-Casos-confirmados.pdf","Source")</f>
        <v>Source</v>
      </c>
      <c r="H56" s="35"/>
      <c r="I56" s="20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ht="30.0" customHeight="1">
      <c r="A57" s="25" t="s">
        <v>132</v>
      </c>
      <c r="B57" s="39">
        <v>59.0</v>
      </c>
      <c r="C57" s="39">
        <v>0.0</v>
      </c>
      <c r="D57" s="31" t="s">
        <v>17</v>
      </c>
      <c r="E57" s="31" t="s">
        <v>17</v>
      </c>
      <c r="F57" s="31">
        <v>4.0</v>
      </c>
      <c r="G57" s="33" t="str">
        <f>HYPERLINK("https://www.interfax.ru/russia/699133","Source")</f>
        <v>Source</v>
      </c>
      <c r="H57" s="35"/>
      <c r="I57" s="20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ht="30.0" customHeight="1">
      <c r="A58" s="25" t="s">
        <v>134</v>
      </c>
      <c r="B58" s="39">
        <v>53.0</v>
      </c>
      <c r="C58" s="39">
        <v>1.0</v>
      </c>
      <c r="D58" s="31">
        <v>0.0</v>
      </c>
      <c r="E58" s="31">
        <v>0.0</v>
      </c>
      <c r="F58" s="31">
        <v>20.0</v>
      </c>
      <c r="G58" s="33" t="str">
        <f>HYPERLINK("https://www.cdc.gov.tw/En/Bulletin/Detail/4eemGr8oNkmHmfIPtEiT1A?typeid=158","Source")</f>
        <v>Source</v>
      </c>
      <c r="H58" s="35"/>
      <c r="I58" s="20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ht="30.0" customHeight="1">
      <c r="A59" s="25" t="s">
        <v>136</v>
      </c>
      <c r="B59" s="39">
        <v>51.0</v>
      </c>
      <c r="C59" s="39">
        <v>1.0</v>
      </c>
      <c r="D59" s="64"/>
      <c r="E59" s="64"/>
      <c r="F59" s="64"/>
      <c r="G59" s="33" t="str">
        <f>HYPERLINK("https://gouvernement.lu/fr/dossiers.gouv_msan+fr+dossiers+2020+corona-virus.html","Source")</f>
        <v>Source</v>
      </c>
      <c r="H59" s="35"/>
      <c r="I59" s="20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ht="30.0" customHeight="1">
      <c r="A60" s="25" t="s">
        <v>140</v>
      </c>
      <c r="B60" s="39">
        <v>49.0</v>
      </c>
      <c r="C60" s="39">
        <v>0.0</v>
      </c>
      <c r="D60" s="31" t="s">
        <v>17</v>
      </c>
      <c r="E60" s="31" t="s">
        <v>17</v>
      </c>
      <c r="F60" s="31">
        <v>16.0</v>
      </c>
      <c r="G60" s="33" t="str">
        <f>HYPERLINK("http://news.chinhphu.vn/Home/One-more-British-national-infected-with-COVID19-total-rises-to-49/20203/39185.vgp","Source")</f>
        <v>Source</v>
      </c>
      <c r="H60" s="35"/>
      <c r="I60" s="20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ht="27.75" customHeight="1">
      <c r="A61" s="25" t="s">
        <v>142</v>
      </c>
      <c r="B61" s="39">
        <v>46.0</v>
      </c>
      <c r="C61" s="39">
        <v>0.0</v>
      </c>
      <c r="D61" s="31">
        <v>1.0</v>
      </c>
      <c r="E61" s="31"/>
      <c r="F61" s="31"/>
      <c r="G61" s="33" t="str">
        <f>HYPERLINK("https://www.zdravlje.gov.rs/vest/346482/informacije-o-novom-korona-virusu-na-dan-1403-u-20-casova-14-mart-2020.php","Source")</f>
        <v>Source</v>
      </c>
      <c r="H61" s="35"/>
      <c r="I61" s="20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ht="27.75" customHeight="1">
      <c r="A62" s="25" t="s">
        <v>145</v>
      </c>
      <c r="B62" s="39">
        <v>45.0</v>
      </c>
      <c r="C62" s="39">
        <v>2.0</v>
      </c>
      <c r="D62" s="64"/>
      <c r="E62" s="64"/>
      <c r="F62" s="64"/>
      <c r="G62" s="33" t="str">
        <f>HYPERLINK("https://www.argentina.gob.ar/sites/default/files/14-03-20-reporte-diario-covid-19_0.pdf","Source")</f>
        <v>Source</v>
      </c>
      <c r="H62" s="35"/>
      <c r="I62" s="20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ht="30.0" customHeight="1">
      <c r="A63" s="25" t="s">
        <v>147</v>
      </c>
      <c r="B63" s="39">
        <v>45.0</v>
      </c>
      <c r="C63" s="39">
        <v>3.0</v>
      </c>
      <c r="D63" s="31" t="s">
        <v>17</v>
      </c>
      <c r="E63" s="31" t="s">
        <v>17</v>
      </c>
      <c r="F63" s="31">
        <v>10.0</v>
      </c>
      <c r="G63" s="33" t="str">
        <f>HYPERLINK("https://twitter.com/AJABreaking/status/1239096651584876545","Source")</f>
        <v>Source</v>
      </c>
      <c r="H63" s="35"/>
      <c r="I63" s="20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ht="27.75" customHeight="1">
      <c r="A64" s="25" t="s">
        <v>150</v>
      </c>
      <c r="B64" s="39">
        <v>45.0</v>
      </c>
      <c r="C64" s="39">
        <v>0.0</v>
      </c>
      <c r="D64" s="31"/>
      <c r="E64" s="31"/>
      <c r="F64" s="31"/>
      <c r="G64" s="33" t="str">
        <f>HYPERLINK("https://twitter.com/MinSaludCol/status/1237733802295820288","Source")</f>
        <v>Source</v>
      </c>
      <c r="H64" s="20"/>
      <c r="I64" s="20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ht="30.0" customHeight="1">
      <c r="A65" s="25" t="s">
        <v>153</v>
      </c>
      <c r="B65" s="39">
        <v>44.0</v>
      </c>
      <c r="C65" s="39">
        <v>0.0</v>
      </c>
      <c r="D65" s="64"/>
      <c r="E65" s="64"/>
      <c r="F65" s="64"/>
      <c r="G65" s="33" t="str">
        <f>HYPERLINK("https://www.health.gov.sk/Clanok?korovavirus-covid-19-14-3-2020","Source")</f>
        <v>Source</v>
      </c>
      <c r="H65" s="35"/>
      <c r="I65" s="20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ht="27.75" customHeight="1">
      <c r="A66" s="25" t="s">
        <v>156</v>
      </c>
      <c r="B66" s="39">
        <v>43.0</v>
      </c>
      <c r="C66" s="39">
        <v>1.0</v>
      </c>
      <c r="D66" s="31"/>
      <c r="E66" s="31"/>
      <c r="F66" s="31"/>
      <c r="G66" s="33" t="str">
        <f>HYPERLINK("http://www.minsa.gob.pa/noticia/comunicado-no8","Source")</f>
        <v>Source</v>
      </c>
      <c r="H66" s="35"/>
      <c r="I66" s="20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ht="30.0" customHeight="1">
      <c r="A67" s="25" t="s">
        <v>159</v>
      </c>
      <c r="B67" s="39">
        <v>41.0</v>
      </c>
      <c r="C67" s="39">
        <v>0.0</v>
      </c>
      <c r="D67" s="31">
        <v>1.0</v>
      </c>
      <c r="E67" s="31" t="s">
        <v>17</v>
      </c>
      <c r="F67" s="31">
        <v>3.0</v>
      </c>
      <c r="G67" s="33" t="str">
        <f>HYPERLINK("https://twitter.com/SSalud_mx/status/1239012315489583105","Source")</f>
        <v>Source</v>
      </c>
      <c r="H67" s="35"/>
      <c r="I67" s="20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ht="30.0" customHeight="1">
      <c r="A68" s="25" t="s">
        <v>162</v>
      </c>
      <c r="B68" s="39">
        <v>41.0</v>
      </c>
      <c r="C68" s="39">
        <v>2.0</v>
      </c>
      <c r="D68" s="31"/>
      <c r="E68" s="31"/>
      <c r="F68" s="31"/>
      <c r="G68" s="33" t="str">
        <f>HYPERLINK("http://www.mh.government.bg/bg/novini/aktualno/4-novi-sluchaya-na-covid-19-byaha-dokazani-v-nacio/","Source")</f>
        <v>Source</v>
      </c>
      <c r="H68" s="35"/>
      <c r="I68" s="20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ht="30.0" customHeight="1">
      <c r="A69" s="25" t="s">
        <v>165</v>
      </c>
      <c r="B69" s="39">
        <v>38.0</v>
      </c>
      <c r="C69" s="39">
        <v>0.0</v>
      </c>
      <c r="D69" s="31">
        <v>0.0</v>
      </c>
      <c r="E69" s="31">
        <v>0.0</v>
      </c>
      <c r="F69" s="31">
        <v>0.0</v>
      </c>
      <c r="G69" s="33" t="str">
        <f>HYPERLINK("https://www.facebook.com/mohps/posts/2681550485304146","Source")</f>
        <v>Source</v>
      </c>
      <c r="H69" s="35"/>
      <c r="I69" s="20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ht="27.75" customHeight="1">
      <c r="A70" s="25" t="s">
        <v>168</v>
      </c>
      <c r="B70" s="39">
        <v>38.0</v>
      </c>
      <c r="C70" s="39">
        <v>0.0</v>
      </c>
      <c r="D70" s="31"/>
      <c r="E70" s="31"/>
      <c r="F70" s="31"/>
      <c r="G70" s="33" t="str">
        <f>HYPERLINK("http://www.nicd.ac.za/covid-19-update-16/","Source")</f>
        <v>Source</v>
      </c>
      <c r="H70" s="35"/>
      <c r="I70" s="20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ht="30.0" customHeight="1">
      <c r="A71" s="25" t="s">
        <v>170</v>
      </c>
      <c r="B71" s="39">
        <v>38.0</v>
      </c>
      <c r="C71" s="39">
        <v>0.0</v>
      </c>
      <c r="D71" s="31" t="s">
        <v>17</v>
      </c>
      <c r="E71" s="31" t="s">
        <v>17</v>
      </c>
      <c r="F71" s="31">
        <v>1.0</v>
      </c>
      <c r="G71" s="33" t="str">
        <f>HYPERLINK("https://glashrvatske.hrt.hr/en/news/domestic/six-new-coronavirus-cases-38-in-total/","Source")</f>
        <v>Source</v>
      </c>
      <c r="H71" s="35"/>
      <c r="I71" s="20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ht="30.0" customHeight="1">
      <c r="A72" s="25" t="s">
        <v>172</v>
      </c>
      <c r="B72" s="39">
        <v>38.0</v>
      </c>
      <c r="C72" s="39">
        <v>1.0</v>
      </c>
      <c r="D72" s="31">
        <v>2.0</v>
      </c>
      <c r="E72" s="64"/>
      <c r="F72" s="64"/>
      <c r="G72" s="33" t="str">
        <f>HYPERLINK("https://shendetesia.gov.al/covid-19-fico-jane-testuar-505-raste-38-kane-rezultuar-pozitive/","Source")</f>
        <v>Source</v>
      </c>
      <c r="H72" s="35"/>
      <c r="I72" s="20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ht="30.0" customHeight="1">
      <c r="A73" s="25" t="s">
        <v>47</v>
      </c>
      <c r="B73" s="39">
        <v>30.0</v>
      </c>
      <c r="C73" s="39">
        <v>0.0</v>
      </c>
      <c r="D73" s="31">
        <v>1.0</v>
      </c>
      <c r="E73" s="31" t="s">
        <v>17</v>
      </c>
      <c r="F73" s="31">
        <v>1.0</v>
      </c>
      <c r="G73" s="33" t="str">
        <f>HYPERLINK("https://1tv.ge/en/news/five-more-cases-of-coronavirus-confirmed-in-georgia/","Source")</f>
        <v>Source</v>
      </c>
      <c r="H73" s="35"/>
      <c r="I73" s="20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ht="30.0" customHeight="1">
      <c r="A74" s="25" t="s">
        <v>175</v>
      </c>
      <c r="B74" s="39">
        <v>30.0</v>
      </c>
      <c r="C74" s="39">
        <v>0.0</v>
      </c>
      <c r="D74" s="31" t="s">
        <v>17</v>
      </c>
      <c r="E74" s="31" t="s">
        <v>17</v>
      </c>
      <c r="F74" s="31">
        <v>2.0</v>
      </c>
      <c r="G74" s="33" t="str">
        <f>HYPERLINK("https://www.nih.org.pk/covid-2019-live-dashboardf/","Source")</f>
        <v>Source</v>
      </c>
      <c r="H74" s="35"/>
      <c r="I74" s="20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ht="30.0" customHeight="1">
      <c r="A75" s="25" t="s">
        <v>176</v>
      </c>
      <c r="B75" s="39">
        <v>30.0</v>
      </c>
      <c r="C75" s="39">
        <v>0.0</v>
      </c>
      <c r="D75" s="31" t="s">
        <v>17</v>
      </c>
      <c r="E75" s="31" t="s">
        <v>17</v>
      </c>
      <c r="F75" s="31">
        <v>0.0</v>
      </c>
      <c r="G75" s="33" t="str">
        <f>HYPERLINK("https://koronavirus.gov.hu/cikkek/30-ra-nott-az-uj-koronavirussal-fertozottek-szama","Source")</f>
        <v>Source</v>
      </c>
      <c r="H75" s="35"/>
      <c r="I75" s="20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ht="30.0" customHeight="1">
      <c r="A76" s="25" t="s">
        <v>177</v>
      </c>
      <c r="B76" s="39">
        <v>28.0</v>
      </c>
      <c r="C76" s="39">
        <v>2.0</v>
      </c>
      <c r="D76" s="31" t="s">
        <v>17</v>
      </c>
      <c r="E76" s="31">
        <v>1.0</v>
      </c>
      <c r="F76" s="31" t="s">
        <v>17</v>
      </c>
      <c r="G76" s="33" t="str">
        <f>HYPERLINK("https://www.salud.gob.ec/fallece_hermana_covid19_ecuador/","Source")</f>
        <v>Source</v>
      </c>
      <c r="H76" s="35"/>
      <c r="I76" s="20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ht="30.0" customHeight="1">
      <c r="A77" s="25" t="s">
        <v>179</v>
      </c>
      <c r="B77" s="39">
        <v>27.0</v>
      </c>
      <c r="C77" s="39">
        <v>0.0</v>
      </c>
      <c r="D77" s="31">
        <v>1.0</v>
      </c>
      <c r="E77" s="64"/>
      <c r="F77" s="64"/>
      <c r="G77" s="33" t="str">
        <f>HYPERLINK("https://twitter.com/msaludcr/status/1238912811427921922","Source")</f>
        <v>Source</v>
      </c>
      <c r="H77" s="35"/>
      <c r="I77" s="20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ht="30.0" customHeight="1">
      <c r="A78" s="25" t="s">
        <v>180</v>
      </c>
      <c r="B78" s="39">
        <v>27.0</v>
      </c>
      <c r="C78" s="39">
        <v>0.0</v>
      </c>
      <c r="D78" s="31" t="s">
        <v>17</v>
      </c>
      <c r="E78" s="31" t="s">
        <v>17</v>
      </c>
      <c r="F78" s="31">
        <v>3.0</v>
      </c>
      <c r="G78" s="33" t="str">
        <f>HYPERLINK("http://minzdrav.gov.by/ru/sobytiya/sostoyanie-patsientov-s-covid-19-udovletvoritelnoe/","Source")</f>
        <v>Source</v>
      </c>
      <c r="H78" s="35"/>
      <c r="I78" s="20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ht="30.0" customHeight="1">
      <c r="A79" s="25" t="s">
        <v>181</v>
      </c>
      <c r="B79" s="39">
        <v>26.0</v>
      </c>
      <c r="C79" s="39">
        <v>0.0</v>
      </c>
      <c r="D79" s="64"/>
      <c r="E79" s="64"/>
      <c r="F79" s="64"/>
      <c r="G79" s="33" t="str">
        <f>HYPERLINK("https://twitter.com/SPKCentrs/status/1238720898720501760","Source")</f>
        <v>Source</v>
      </c>
      <c r="H79" s="35"/>
      <c r="I79" s="20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ht="30.0" customHeight="1">
      <c r="A80" s="25" t="s">
        <v>185</v>
      </c>
      <c r="B80" s="39">
        <v>26.0</v>
      </c>
      <c r="C80" s="39">
        <v>0.0</v>
      </c>
      <c r="D80" s="31"/>
      <c r="E80" s="31"/>
      <c r="F80" s="31"/>
      <c r="G80" s="33" t="str">
        <f>HYPERLINK("http://www.cna.org.cy/WebNews.aspx?a=b4b7e4a873264e80856ddfe5a9c2beb3","Source")</f>
        <v>Source</v>
      </c>
      <c r="H80" s="20"/>
      <c r="I80" s="20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ht="30.0" customHeight="1">
      <c r="A81" s="25" t="s">
        <v>187</v>
      </c>
      <c r="B81" s="39">
        <v>24.0</v>
      </c>
      <c r="C81" s="39">
        <v>0.0</v>
      </c>
      <c r="D81" s="31" t="s">
        <v>17</v>
      </c>
      <c r="E81" s="31" t="s">
        <v>17</v>
      </c>
      <c r="F81" s="31">
        <v>0.0</v>
      </c>
      <c r="G81" s="33" t="str">
        <f>HYPERLINK("https://twitter.com/MinisteredelaS1/status/1238159763973832710","Source")</f>
        <v>Source</v>
      </c>
      <c r="H81" s="20"/>
      <c r="I81" s="20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ht="27.75" customHeight="1">
      <c r="A82" s="25" t="s">
        <v>190</v>
      </c>
      <c r="B82" s="39">
        <v>21.0</v>
      </c>
      <c r="C82" s="39">
        <v>0.0</v>
      </c>
      <c r="D82" s="31"/>
      <c r="E82" s="31"/>
      <c r="F82" s="31"/>
      <c r="G82" s="33" t="str">
        <f>HYPERLINK("https://radiosarajevo.ba/vijesti/bosna-i-hercegovina/cetiri-nova-slucaja-covuid-19-u-bih/370025","Source")</f>
        <v>Source</v>
      </c>
      <c r="H82" s="20"/>
      <c r="I82" s="20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ht="30.0" customHeight="1">
      <c r="A83" s="25" t="s">
        <v>197</v>
      </c>
      <c r="B83" s="39">
        <v>20.0</v>
      </c>
      <c r="C83" s="39">
        <v>0.0</v>
      </c>
      <c r="D83" s="64"/>
      <c r="E83" s="64"/>
      <c r="F83" s="64"/>
      <c r="G83" s="78"/>
      <c r="H83" s="20"/>
      <c r="I83" s="20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ht="30.0" customHeight="1">
      <c r="A84" s="25" t="s">
        <v>199</v>
      </c>
      <c r="B84" s="39">
        <v>20.0</v>
      </c>
      <c r="C84" s="39">
        <v>0.0</v>
      </c>
      <c r="D84" s="31">
        <v>0.0</v>
      </c>
      <c r="E84" s="31">
        <v>0.0</v>
      </c>
      <c r="F84" s="31">
        <v>9.0</v>
      </c>
      <c r="G84" s="33" t="str">
        <f>HYPERLINK("https://twitter.com/OmaniMOH/status/1238535611444838400","Source")</f>
        <v>Source</v>
      </c>
      <c r="H84" s="52"/>
      <c r="I84" s="20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ht="30.0" customHeight="1">
      <c r="A85" s="25" t="s">
        <v>200</v>
      </c>
      <c r="B85" s="39">
        <v>19.0</v>
      </c>
      <c r="C85" s="39">
        <v>1.0</v>
      </c>
      <c r="D85" s="31" t="s">
        <v>17</v>
      </c>
      <c r="E85" s="31" t="s">
        <v>17</v>
      </c>
      <c r="F85" s="31">
        <v>3.0</v>
      </c>
      <c r="G85" s="33" t="str">
        <f>HYPERLINK("https://news.az/articles/society/146555","Source")</f>
        <v>Source</v>
      </c>
      <c r="H85" s="79"/>
      <c r="I85" s="20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ht="30.0" customHeight="1">
      <c r="A86" s="25" t="s">
        <v>202</v>
      </c>
      <c r="B86" s="39">
        <v>19.0</v>
      </c>
      <c r="C86" s="39">
        <v>0.0</v>
      </c>
      <c r="D86" s="31">
        <v>0.0</v>
      </c>
      <c r="E86" s="31">
        <v>0.0</v>
      </c>
      <c r="F86" s="31">
        <v>0.0</v>
      </c>
      <c r="G86" s="33" t="str">
        <f>HYPERLINK("http://zdravstvo.gov.mk/zdravstvenata-sostojba-na-site-7-pacienti-koi-se-pozitivni-na-korona-virusot-i-se-hospitalizirani-na-klinikata-za-infektivni-bolesti-i-febrilni-sostojbi-e-stabilna/","Source")</f>
        <v>Source</v>
      </c>
      <c r="H86" s="20"/>
      <c r="I86" s="20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ht="30.0" customHeight="1">
      <c r="A87" s="25" t="s">
        <v>204</v>
      </c>
      <c r="B87" s="39">
        <v>18.0</v>
      </c>
      <c r="C87" s="39">
        <v>0.0</v>
      </c>
      <c r="D87" s="64"/>
      <c r="E87" s="64"/>
      <c r="F87" s="64"/>
      <c r="G87" s="33" t="str">
        <f>HYPERLINK("https://www.facebook.com/santetunisie.rns.tn/photos/a.186499378055841/2953517094687375","Source")</f>
        <v>Source</v>
      </c>
      <c r="H87" s="35"/>
      <c r="I87" s="20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ht="27.75" customHeight="1">
      <c r="A88" s="25" t="s">
        <v>207</v>
      </c>
      <c r="B88" s="39">
        <v>18.0</v>
      </c>
      <c r="C88" s="39">
        <v>0.0</v>
      </c>
      <c r="D88" s="31"/>
      <c r="E88" s="31"/>
      <c r="F88" s="31">
        <v>1.0</v>
      </c>
      <c r="G88" s="33" t="str">
        <f>HYPERLINK("https://timesofmalta.com/articles/view/five-new-coronavirus-cases-taking-maltas-total-to-18.778007","Source")</f>
        <v>Source</v>
      </c>
      <c r="H88" s="35"/>
      <c r="I88" s="20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ht="30.0" customHeight="1">
      <c r="A89" s="25" t="s">
        <v>209</v>
      </c>
      <c r="B89" s="39">
        <v>18.0</v>
      </c>
      <c r="C89" s="39">
        <v>1.0</v>
      </c>
      <c r="D89" s="64"/>
      <c r="E89" s="64"/>
      <c r="F89" s="64"/>
      <c r="G89" s="33" t="str">
        <f>HYPERLINK("https://lematin.ma/express/2020/coronavirus-sixieme-cas-confirme-annonce-maroc/333343.html","Source")</f>
        <v>Source</v>
      </c>
      <c r="H89" s="20"/>
      <c r="I89" s="20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ht="30.0" customHeight="1">
      <c r="A90" s="25" t="s">
        <v>212</v>
      </c>
      <c r="B90" s="39">
        <v>17.0</v>
      </c>
      <c r="C90" s="39">
        <v>0.0</v>
      </c>
      <c r="D90" s="64"/>
      <c r="E90" s="64"/>
      <c r="F90" s="64"/>
      <c r="G90" s="33" t="str">
        <f>HYPERLINK("https://twitter.com/eldiario/status/1239296427064537091","Source")</f>
        <v>Source</v>
      </c>
      <c r="H90" s="35"/>
      <c r="I90" s="20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ht="30.0" customHeight="1">
      <c r="A91" s="25" t="s">
        <v>213</v>
      </c>
      <c r="B91" s="39">
        <v>16.0</v>
      </c>
      <c r="C91" s="39">
        <v>0.0</v>
      </c>
      <c r="D91" s="31" t="s">
        <v>17</v>
      </c>
      <c r="E91" s="31" t="s">
        <v>17</v>
      </c>
      <c r="F91" s="31" t="s">
        <v>17</v>
      </c>
      <c r="G91" s="33" t="str">
        <f>HYPERLINK("https://tolonews.com/afghanistan/coronavirus-afghanistan-5-new-cases","Source")</f>
        <v>Source</v>
      </c>
      <c r="H91" s="35"/>
      <c r="I91" s="20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 ht="27.75" customHeight="1">
      <c r="A92" s="25" t="s">
        <v>214</v>
      </c>
      <c r="B92" s="39">
        <v>12.0</v>
      </c>
      <c r="C92" s="39">
        <v>0.0</v>
      </c>
      <c r="D92" s="31"/>
      <c r="E92" s="31"/>
      <c r="F92" s="31"/>
      <c r="G92" s="33" t="str">
        <f>HYPERLINK("https://msmps.gov.md/ro/content/starea-celor-6-persoane-infectate-cu-noul-tip-de-coronavirus-este-stabila-de-gravitate-medie","Source")</f>
        <v>Source</v>
      </c>
      <c r="H92" s="20"/>
      <c r="I92" s="20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ht="27.75" customHeight="1">
      <c r="A93" s="25" t="s">
        <v>215</v>
      </c>
      <c r="B93" s="39">
        <v>12.0</v>
      </c>
      <c r="C93" s="39">
        <v>0.0</v>
      </c>
      <c r="D93" s="31"/>
      <c r="E93" s="31"/>
      <c r="F93" s="31"/>
      <c r="G93" s="33" t="str">
        <f>HYPERLINK("https://www.aa.com.tr/en/health/turkey-confirms-2nd-coronavirus-case/1764434","Source")</f>
        <v>Source</v>
      </c>
      <c r="H93" s="20"/>
      <c r="I93" s="20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 ht="27.75" customHeight="1">
      <c r="A94" s="25" t="s">
        <v>216</v>
      </c>
      <c r="B94" s="39">
        <v>11.0</v>
      </c>
      <c r="C94" s="39">
        <v>0.0</v>
      </c>
      <c r="D94" s="31"/>
      <c r="E94" s="31"/>
      <c r="F94" s="31"/>
      <c r="G94" s="33" t="str">
        <f>HYPERLINK("https://twitter.com/HPA_MV/status/1239061150991409153","Source")</f>
        <v>Source</v>
      </c>
      <c r="H94" s="35"/>
      <c r="I94" s="20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ht="30.0" customHeight="1">
      <c r="A95" s="25" t="s">
        <v>217</v>
      </c>
      <c r="B95" s="39">
        <v>11.0</v>
      </c>
      <c r="C95" s="39">
        <v>0.0</v>
      </c>
      <c r="D95" s="64"/>
      <c r="E95" s="64"/>
      <c r="F95" s="64"/>
      <c r="G95" s="33" t="str">
        <f>HYPERLINK("https://listindiario.com/la-republica/2020/03/09/607425/ya-suman-cinco-los-casos-de-coronavirus-en-el-pais","Source")</f>
        <v>Source</v>
      </c>
      <c r="H95" s="20"/>
      <c r="I95" s="20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ht="30.0" customHeight="1">
      <c r="A96" s="25" t="s">
        <v>218</v>
      </c>
      <c r="B96" s="39">
        <v>10.0</v>
      </c>
      <c r="C96" s="39">
        <v>0.0</v>
      </c>
      <c r="D96" s="31" t="s">
        <v>17</v>
      </c>
      <c r="E96" s="31" t="s">
        <v>17</v>
      </c>
      <c r="F96" s="31">
        <v>6.0</v>
      </c>
      <c r="G96" s="78"/>
      <c r="H96" s="35"/>
      <c r="I96" s="20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ht="30.0" customHeight="1">
      <c r="A97" s="25" t="s">
        <v>219</v>
      </c>
      <c r="B97" s="39">
        <v>10.0</v>
      </c>
      <c r="C97" s="39">
        <v>0.0</v>
      </c>
      <c r="D97" s="31" t="s">
        <v>17</v>
      </c>
      <c r="E97" s="31" t="s">
        <v>17</v>
      </c>
      <c r="F97" s="31">
        <v>1.0</v>
      </c>
      <c r="G97" s="33" t="str">
        <f>HYPERLINK("https://www.dailynews.lk/2020/03/11/local/214046/sri-lankan-tests-positive-coronavirus","Source")</f>
        <v>Source</v>
      </c>
      <c r="H97" s="20"/>
      <c r="I97" s="20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ht="30.0" customHeight="1">
      <c r="A98" s="25" t="s">
        <v>210</v>
      </c>
      <c r="B98" s="39">
        <v>10.0</v>
      </c>
      <c r="C98" s="39"/>
      <c r="D98" s="31"/>
      <c r="E98" s="31"/>
      <c r="F98" s="31"/>
      <c r="G98" s="49"/>
      <c r="H98" s="20"/>
      <c r="I98" s="20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ht="30.0" customHeight="1">
      <c r="A99" s="25" t="s">
        <v>220</v>
      </c>
      <c r="B99" s="39">
        <v>9.0</v>
      </c>
      <c r="C99" s="39">
        <v>0.0</v>
      </c>
      <c r="D99" s="31" t="s">
        <v>17</v>
      </c>
      <c r="E99" s="31" t="s">
        <v>17</v>
      </c>
      <c r="F99" s="31" t="s">
        <v>17</v>
      </c>
      <c r="G99" s="33" t="str">
        <f>HYPERLINK("http://sam.lrv.lt/koronavirusas","Source")</f>
        <v>Source</v>
      </c>
      <c r="H99" s="20"/>
      <c r="I99" s="20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ht="30.0" customHeight="1">
      <c r="A100" s="25" t="s">
        <v>221</v>
      </c>
      <c r="B100" s="39">
        <v>8.0</v>
      </c>
      <c r="C100" s="39">
        <v>0.0</v>
      </c>
      <c r="D100" s="31"/>
      <c r="E100" s="31"/>
      <c r="F100" s="31"/>
      <c r="G100" s="33" t="str">
        <f>HYPERLINK("https://twitter.com/christufton/status/1238337503503044608","Source")</f>
        <v>Source</v>
      </c>
      <c r="H100" s="20"/>
      <c r="I100" s="20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ht="30.0" customHeight="1">
      <c r="A101" s="25" t="s">
        <v>222</v>
      </c>
      <c r="B101" s="39">
        <v>8.0</v>
      </c>
      <c r="C101" s="39">
        <v>0.0</v>
      </c>
      <c r="D101" s="31" t="s">
        <v>17</v>
      </c>
      <c r="E101" s="31" t="s">
        <v>17</v>
      </c>
      <c r="F101" s="31" t="s">
        <v>17</v>
      </c>
      <c r="G101" s="33" t="str">
        <f>HYPERLINK("https://www.health.govt.nz/news-media/media-releases/fifth-case-covid-19-fits-pattern-previous-case","Source")</f>
        <v>Source</v>
      </c>
      <c r="H101" s="20"/>
      <c r="I101" s="20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ht="27.75" customHeight="1">
      <c r="A102" s="25" t="s">
        <v>206</v>
      </c>
      <c r="B102" s="39">
        <v>7.0</v>
      </c>
      <c r="C102" s="39">
        <v>0.0</v>
      </c>
      <c r="D102" s="31">
        <v>1.0</v>
      </c>
      <c r="E102" s="31"/>
      <c r="F102" s="31"/>
      <c r="G102" s="33" t="str">
        <f>HYPERLINK("https://twitter.com/msaludpy/status/1238235453603618816","Source")</f>
        <v>Source</v>
      </c>
      <c r="H102" s="20"/>
      <c r="I102" s="20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ht="30.0" customHeight="1">
      <c r="A103" s="25" t="s">
        <v>223</v>
      </c>
      <c r="B103" s="39">
        <v>7.0</v>
      </c>
      <c r="C103" s="39">
        <v>0.0</v>
      </c>
      <c r="D103" s="31" t="s">
        <v>17</v>
      </c>
      <c r="E103" s="31" t="s">
        <v>17</v>
      </c>
      <c r="F103" s="31">
        <v>1.0</v>
      </c>
      <c r="G103" s="33" t="str">
        <f>HYPERLINK("https://www.voacambodia.com/a/two-more-river-cruise-passengers-test-positive-tally-reaches-five-cases/5325829.html","Source")</f>
        <v>Source</v>
      </c>
      <c r="H103" s="20"/>
      <c r="I103" s="20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ht="30.0" customHeight="1">
      <c r="A104" s="25" t="s">
        <v>224</v>
      </c>
      <c r="B104" s="39">
        <v>6.0</v>
      </c>
      <c r="C104" s="39">
        <v>0.0</v>
      </c>
      <c r="D104" s="64"/>
      <c r="E104" s="64"/>
      <c r="F104" s="31">
        <v>1.0</v>
      </c>
      <c r="G104" s="33" t="str">
        <f>HYPERLINK("https://twitter.com/Petranews/status/1239102223793225728","Source")</f>
        <v>Source</v>
      </c>
      <c r="H104" s="20"/>
      <c r="I104" s="20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ht="27.75" customHeight="1">
      <c r="A105" s="25" t="s">
        <v>225</v>
      </c>
      <c r="B105" s="39">
        <v>5.0</v>
      </c>
      <c r="C105" s="39">
        <v>0.0</v>
      </c>
      <c r="D105" s="31"/>
      <c r="E105" s="31"/>
      <c r="F105" s="31"/>
      <c r="G105" s="33" t="str">
        <f>HYPERLINK("https://www.dhakatribune.com/bangladesh/dhaka/2020/03/08/iedcr-3-affected-with-coronavirus-in-bangladesh","Source")</f>
        <v>Source</v>
      </c>
      <c r="H105" s="20"/>
      <c r="I105" s="20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ht="30.0" customHeight="1">
      <c r="A106" s="25" t="s">
        <v>226</v>
      </c>
      <c r="B106" s="39">
        <v>4.0</v>
      </c>
      <c r="C106" s="39">
        <v>0.0</v>
      </c>
      <c r="D106" s="31"/>
      <c r="E106" s="31"/>
      <c r="F106" s="31"/>
      <c r="G106" s="33" t="str">
        <f>HYPERLINK("https://news.trust.org/item/20200315050633-qdbwd","Source")</f>
        <v>Source</v>
      </c>
      <c r="H106" s="20"/>
      <c r="I106" s="20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ht="27.75" customHeight="1">
      <c r="A107" s="25" t="s">
        <v>227</v>
      </c>
      <c r="B107" s="39">
        <v>4.0</v>
      </c>
      <c r="C107" s="39">
        <v>0.0</v>
      </c>
      <c r="D107" s="64"/>
      <c r="E107" s="64"/>
      <c r="F107" s="64"/>
      <c r="G107" s="33" t="str">
        <f>HYPERLINK("https://twitter.com/BAG_OFSP_UFSP/status/1238072958096232452","Source")</f>
        <v>Source</v>
      </c>
      <c r="H107" s="20"/>
      <c r="I107" s="20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ht="30.0" customHeight="1">
      <c r="A108" s="25" t="s">
        <v>228</v>
      </c>
      <c r="B108" s="39">
        <v>3.0</v>
      </c>
      <c r="C108" s="39">
        <v>1.0</v>
      </c>
      <c r="D108" s="64"/>
      <c r="E108" s="64"/>
      <c r="F108" s="64"/>
      <c r="G108" s="33" t="str">
        <f>HYPERLINK("https://moz.gov.ua/article/news/moz-povidomljae-pro-dva-novih-pidtverdzhenih-vipadki-koronavirusu-v-ukraini","Source")</f>
        <v>Source</v>
      </c>
      <c r="H108" s="20"/>
      <c r="I108" s="20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ht="27.75" customHeight="1">
      <c r="A109" s="25" t="s">
        <v>211</v>
      </c>
      <c r="B109" s="39">
        <v>3.0</v>
      </c>
      <c r="C109" s="39">
        <v>0.0</v>
      </c>
      <c r="D109" s="31"/>
      <c r="E109" s="31"/>
      <c r="F109" s="31"/>
      <c r="G109" s="33" t="str">
        <f>HYPERLINK("https://covid19honduras.org/?q=primeros-casos-confirmados","Source")</f>
        <v>Source</v>
      </c>
      <c r="H109" s="20"/>
      <c r="I109" s="20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ht="27.75" customHeight="1">
      <c r="A110" s="25" t="s">
        <v>229</v>
      </c>
      <c r="B110" s="39">
        <v>2.0</v>
      </c>
      <c r="C110" s="39">
        <v>0.0</v>
      </c>
      <c r="D110" s="31"/>
      <c r="E110" s="31"/>
      <c r="F110" s="31"/>
      <c r="G110" s="33" t="str">
        <f>HYPERLINK("https://www.facebook.com/MINSANTE.PageOfficielle/photos/a.1480278031987670/3361901400491981/","Source")</f>
        <v>Source</v>
      </c>
      <c r="H110" s="20"/>
      <c r="I110" s="20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ht="30.0" customHeight="1">
      <c r="A111" s="25" t="s">
        <v>230</v>
      </c>
      <c r="B111" s="39">
        <v>2.0</v>
      </c>
      <c r="C111" s="39">
        <v>0.0</v>
      </c>
      <c r="D111" s="31">
        <v>0.0</v>
      </c>
      <c r="E111" s="31">
        <v>0.0</v>
      </c>
      <c r="F111" s="31">
        <v>0.0</v>
      </c>
      <c r="G111" s="33" t="str">
        <f>HYPERLINK("https://twitter.com/NCDCgov/status/1236947198971125761","Source")</f>
        <v>Source</v>
      </c>
      <c r="H111" s="20"/>
      <c r="I111" s="20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  <row r="112" ht="30.0" customHeight="1">
      <c r="A112" s="25" t="s">
        <v>231</v>
      </c>
      <c r="B112" s="39">
        <v>2.0</v>
      </c>
      <c r="C112" s="39">
        <v>0.0</v>
      </c>
      <c r="D112" s="31" t="s">
        <v>17</v>
      </c>
      <c r="E112" s="31" t="s">
        <v>17</v>
      </c>
      <c r="F112" s="31" t="s">
        <v>17</v>
      </c>
      <c r="G112" s="33" t="str">
        <f>HYPERLINK("https://en.gouv.mc/Policy-Practice/Social-Affairs-and-Health/News/CORONAVIRUS-Un-deuxieme-cas-positif-revele-a-Monaco","Source")</f>
        <v>Source</v>
      </c>
      <c r="H112" s="20"/>
      <c r="I112" s="20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</row>
    <row r="113" ht="30.0" customHeight="1">
      <c r="A113" s="25" t="s">
        <v>232</v>
      </c>
      <c r="B113" s="39">
        <v>2.0</v>
      </c>
      <c r="C113" s="39">
        <v>0.0</v>
      </c>
      <c r="D113" s="31"/>
      <c r="E113" s="31"/>
      <c r="F113" s="31"/>
      <c r="G113" s="33" t="str">
        <f>HYPERLINK("https://news.trust.org/item/20200314182648-qe8eu","Source")</f>
        <v>Source</v>
      </c>
      <c r="H113" s="20"/>
      <c r="I113" s="20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</row>
    <row r="114" ht="30.0" customHeight="1">
      <c r="A114" s="25" t="s">
        <v>233</v>
      </c>
      <c r="B114" s="39">
        <v>2.0</v>
      </c>
      <c r="C114" s="39">
        <v>0.0</v>
      </c>
      <c r="D114" s="31"/>
      <c r="E114" s="31"/>
      <c r="F114" s="31"/>
      <c r="G114" s="33" t="str">
        <f>HYPERLINK("https://news.trust.org/item/20200314105045-1u9ll","Source")</f>
        <v>Source</v>
      </c>
      <c r="H114" s="20"/>
      <c r="I114" s="20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</row>
    <row r="115" ht="30.0" customHeight="1">
      <c r="A115" s="25" t="s">
        <v>234</v>
      </c>
      <c r="B115" s="39">
        <v>1.0</v>
      </c>
      <c r="C115" s="39">
        <v>0.0</v>
      </c>
      <c r="D115" s="31"/>
      <c r="E115" s="31"/>
      <c r="F115" s="31"/>
      <c r="G115" s="33" t="str">
        <f>HYPERLINK("https://news.trust.org/item/20200314231524-ebs0t","Source")</f>
        <v>Source</v>
      </c>
      <c r="H115" s="20"/>
      <c r="I115" s="20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</row>
    <row r="116" ht="30.0" customHeight="1">
      <c r="A116" s="25" t="s">
        <v>235</v>
      </c>
      <c r="B116" s="39">
        <v>1.0</v>
      </c>
      <c r="C116" s="39">
        <v>0.0</v>
      </c>
      <c r="D116" s="31"/>
      <c r="E116" s="31"/>
      <c r="F116" s="31"/>
      <c r="G116" s="33" t="str">
        <f>HYPERLINK("https://news.trust.org/item/20200310162938-p58s1","Source")</f>
        <v>Source</v>
      </c>
      <c r="H116" s="20"/>
      <c r="I116" s="20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</row>
    <row r="117" ht="30.0" customHeight="1">
      <c r="A117" s="25" t="s">
        <v>236</v>
      </c>
      <c r="B117" s="39">
        <v>1.0</v>
      </c>
      <c r="C117" s="39">
        <v>0.0</v>
      </c>
      <c r="D117" s="31"/>
      <c r="E117" s="31"/>
      <c r="F117" s="31"/>
      <c r="G117" s="33" t="str">
        <f>HYPERLINK("https://news.trust.org/item/20200313230939-l5lk1","Source")</f>
        <v>Source</v>
      </c>
      <c r="H117" s="20"/>
      <c r="I117" s="20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</row>
    <row r="118" ht="30.0" customHeight="1">
      <c r="A118" s="25" t="s">
        <v>237</v>
      </c>
      <c r="B118" s="39">
        <v>1.0</v>
      </c>
      <c r="C118" s="39">
        <v>0.0</v>
      </c>
      <c r="D118" s="31"/>
      <c r="E118" s="31"/>
      <c r="F118" s="31"/>
      <c r="G118" s="33" t="str">
        <f>HYPERLINK("https://news.trust.org/item/20200314090735-1kijw","Source")</f>
        <v>Source</v>
      </c>
      <c r="H118" s="20"/>
      <c r="I118" s="20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</row>
    <row r="119" ht="30.0" customHeight="1">
      <c r="A119" s="25" t="s">
        <v>238</v>
      </c>
      <c r="B119" s="39">
        <v>1.0</v>
      </c>
      <c r="C119" s="39">
        <v>0.0</v>
      </c>
      <c r="D119" s="31"/>
      <c r="E119" s="31"/>
      <c r="F119" s="31"/>
      <c r="G119" s="33" t="str">
        <f>HYPERLINK("https://news.trust.org/item/20200314193058-yce0v","Source")</f>
        <v>Source</v>
      </c>
      <c r="H119" s="20"/>
      <c r="I119" s="20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</row>
    <row r="120" ht="27.75" customHeight="1">
      <c r="A120" s="25" t="s">
        <v>239</v>
      </c>
      <c r="B120" s="39">
        <v>1.0</v>
      </c>
      <c r="C120" s="39">
        <v>0.0</v>
      </c>
      <c r="D120" s="31"/>
      <c r="E120" s="31"/>
      <c r="F120" s="31"/>
      <c r="G120" s="33" t="str">
        <f>HYPERLINK("https://news.trust.org/item/20200306140422-lxn7v","Source")</f>
        <v>Source</v>
      </c>
      <c r="H120" s="20"/>
      <c r="I120" s="20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</row>
    <row r="121" ht="30.0" customHeight="1">
      <c r="A121" s="25" t="s">
        <v>240</v>
      </c>
      <c r="B121" s="39">
        <v>1.0</v>
      </c>
      <c r="C121" s="39">
        <v>0.0</v>
      </c>
      <c r="D121" s="31" t="s">
        <v>17</v>
      </c>
      <c r="E121" s="31" t="s">
        <v>17</v>
      </c>
      <c r="F121" s="31">
        <v>1.0</v>
      </c>
      <c r="G121" s="78"/>
      <c r="H121" s="20"/>
      <c r="I121" s="20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</row>
    <row r="122" ht="30.0" customHeight="1">
      <c r="A122" s="25" t="s">
        <v>241</v>
      </c>
      <c r="B122" s="39">
        <v>1.0</v>
      </c>
      <c r="C122" s="39">
        <v>0.0</v>
      </c>
      <c r="D122" s="64"/>
      <c r="E122" s="64"/>
      <c r="F122" s="64"/>
      <c r="G122" s="78"/>
      <c r="H122" s="20"/>
      <c r="I122" s="20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</row>
    <row r="123" ht="27.75" customHeight="1">
      <c r="A123" s="25" t="s">
        <v>242</v>
      </c>
      <c r="B123" s="39">
        <v>1.0</v>
      </c>
      <c r="C123" s="39">
        <v>0.0</v>
      </c>
      <c r="D123" s="31"/>
      <c r="E123" s="31"/>
      <c r="F123" s="31"/>
      <c r="G123" s="33" t="str">
        <f>HYPERLINK("https://www.facebook.com/MoHBhutan/posts/2974352729292990","Source")</f>
        <v>Source</v>
      </c>
      <c r="H123" s="20"/>
      <c r="I123" s="20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</row>
    <row r="124" ht="27.75" customHeight="1">
      <c r="A124" s="25" t="s">
        <v>243</v>
      </c>
      <c r="B124" s="39">
        <v>1.0</v>
      </c>
      <c r="C124" s="39">
        <v>0.0</v>
      </c>
      <c r="D124" s="31">
        <v>1.0</v>
      </c>
      <c r="E124" s="31"/>
      <c r="F124" s="31"/>
      <c r="G124" s="33" t="str">
        <f>HYPERLINK("https://www.gibraltar.gov.gi/press-releases/confirmed-case-of-covid-19-1372020-5641","Source")</f>
        <v>Source</v>
      </c>
      <c r="H124" s="20"/>
      <c r="I124" s="20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</row>
    <row r="125" ht="27.75" customHeight="1">
      <c r="A125" s="25" t="s">
        <v>244</v>
      </c>
      <c r="B125" s="39">
        <v>1.0</v>
      </c>
      <c r="C125" s="39">
        <v>0.0</v>
      </c>
      <c r="D125" s="31"/>
      <c r="E125" s="31"/>
      <c r="F125" s="31"/>
      <c r="G125" s="33" t="str">
        <f>HYPERLINK("https://news.trust.org/item/20200306084828-6r4o6","Source")</f>
        <v>Source</v>
      </c>
      <c r="H125" s="20"/>
      <c r="I125" s="20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</row>
    <row r="126" ht="27.75" customHeight="1">
      <c r="A126" s="80" t="s">
        <v>245</v>
      </c>
      <c r="B126" s="81">
        <v>600.0</v>
      </c>
      <c r="C126" s="81"/>
      <c r="D126" s="82"/>
      <c r="E126" s="82"/>
      <c r="F126" s="82"/>
      <c r="G126" s="83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</row>
    <row r="127" ht="30.0" customHeight="1">
      <c r="A127" s="15" t="s">
        <v>43</v>
      </c>
      <c r="B127" s="84">
        <f t="shared" ref="B127:C127" si="2">sum(B7:B126)</f>
        <v>165969</v>
      </c>
      <c r="C127" s="85">
        <f t="shared" si="2"/>
        <v>6475</v>
      </c>
      <c r="D127" s="85">
        <f t="shared" ref="D127:F127" si="3">sum(D7:D125)</f>
        <v>5639</v>
      </c>
      <c r="E127" s="86">
        <f t="shared" si="3"/>
        <v>109</v>
      </c>
      <c r="F127" s="87">
        <f t="shared" si="3"/>
        <v>75910</v>
      </c>
      <c r="G127" s="64"/>
      <c r="H127" s="20"/>
      <c r="I127" s="20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</row>
    <row r="128" ht="30.0" customHeight="1">
      <c r="A128" s="15"/>
      <c r="B128" s="88"/>
      <c r="C128" s="86"/>
      <c r="D128" s="86"/>
      <c r="E128" s="86"/>
      <c r="F128" s="89"/>
      <c r="G128" s="64"/>
      <c r="H128" s="20"/>
      <c r="I128" s="20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</row>
  </sheetData>
  <mergeCells count="6">
    <mergeCell ref="B3:C3"/>
    <mergeCell ref="D3:E3"/>
    <mergeCell ref="F3:G3"/>
    <mergeCell ref="B4:C4"/>
    <mergeCell ref="D4:E4"/>
    <mergeCell ref="F4:G4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4.0"/>
    <col customWidth="1" min="8" max="8" width="0.86"/>
  </cols>
  <sheetData>
    <row r="1" ht="27.75" customHeight="1">
      <c r="A1" s="2" t="s">
        <v>0</v>
      </c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1</v>
      </c>
      <c r="B2" s="3" t="s">
        <v>2</v>
      </c>
      <c r="D2" s="5" t="s">
        <v>3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9">
        <f t="shared" ref="A3:B3" si="1">SUM(B66, B67)</f>
        <v>3783</v>
      </c>
      <c r="B3" s="9">
        <f t="shared" si="1"/>
        <v>65</v>
      </c>
      <c r="D3" s="11">
        <f>SUM(F66, F67)</f>
        <v>8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2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4" t="s">
        <v>6</v>
      </c>
      <c r="B5" s="16" t="s">
        <v>8</v>
      </c>
      <c r="C5" s="16" t="s">
        <v>9</v>
      </c>
      <c r="D5" s="18" t="s">
        <v>10</v>
      </c>
      <c r="E5" s="18" t="s">
        <v>11</v>
      </c>
      <c r="F5" s="18" t="s">
        <v>12</v>
      </c>
      <c r="G5" s="16" t="s">
        <v>13</v>
      </c>
      <c r="H5" s="20"/>
      <c r="I5" s="20"/>
      <c r="J5" s="22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ht="30.0" customHeight="1">
      <c r="A6" s="24" t="s">
        <v>14</v>
      </c>
      <c r="B6" s="26">
        <v>769.0</v>
      </c>
      <c r="C6" s="26">
        <v>42.0</v>
      </c>
      <c r="D6" s="28"/>
      <c r="E6" s="28"/>
      <c r="F6" s="30">
        <v>1.0</v>
      </c>
      <c r="G6" s="38" t="str">
        <f>HYPERLINK("https://www.doh.wa.gov/Emergencies/Coronavirus","Source")</f>
        <v>Source</v>
      </c>
      <c r="H6" s="20"/>
      <c r="I6" s="20"/>
      <c r="J6" s="20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ht="30.0" customHeight="1">
      <c r="A7" s="41" t="s">
        <v>20</v>
      </c>
      <c r="B7" s="42">
        <v>729.0</v>
      </c>
      <c r="C7" s="43">
        <v>1.0</v>
      </c>
      <c r="D7" s="44">
        <v>60.0</v>
      </c>
      <c r="E7" s="44"/>
      <c r="F7" s="44"/>
      <c r="G7" s="46" t="str">
        <f>HYPERLINK("https://www.health.ny.gov/diseases/communicable/coronavirus/","Source")</f>
        <v>Source</v>
      </c>
      <c r="H7" s="20"/>
      <c r="I7" s="20"/>
      <c r="J7" s="20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ht="30.0" customHeight="1">
      <c r="A8" s="32" t="s">
        <v>26</v>
      </c>
      <c r="B8" s="34">
        <v>335.0</v>
      </c>
      <c r="C8" s="47">
        <v>6.0</v>
      </c>
      <c r="D8" s="37"/>
      <c r="E8" s="37">
        <v>1.0</v>
      </c>
      <c r="F8" s="37">
        <v>1.0</v>
      </c>
      <c r="G8" s="40" t="str">
        <f>HYPERLINK("https://twitter.com/CAgovernor/status/1239291671939919872","Source")</f>
        <v>Source</v>
      </c>
      <c r="H8" s="20"/>
      <c r="I8" s="20"/>
      <c r="J8" s="20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ht="27.75" customHeight="1">
      <c r="A9" s="24" t="s">
        <v>28</v>
      </c>
      <c r="B9" s="48">
        <v>164.0</v>
      </c>
      <c r="C9" s="26">
        <v>0.0</v>
      </c>
      <c r="D9" s="30"/>
      <c r="E9" s="28"/>
      <c r="F9" s="28"/>
      <c r="G9" s="38" t="str">
        <f>HYPERLINK("https://www.mass.gov/info-details/covid-19-cases-quarantine-and-monitoring","Source")</f>
        <v>Source</v>
      </c>
      <c r="H9" s="20"/>
      <c r="I9" s="20"/>
      <c r="J9" s="20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 ht="27.75" customHeight="1">
      <c r="A10" s="24" t="s">
        <v>32</v>
      </c>
      <c r="B10" s="48">
        <v>131.0</v>
      </c>
      <c r="C10" s="26">
        <v>1.0</v>
      </c>
      <c r="D10" s="30"/>
      <c r="E10" s="28"/>
      <c r="F10" s="28"/>
      <c r="G10" s="38" t="str">
        <f>HYPERLINK("https://docs.google.com/document/d/e/2PACX-1vRSxDeeJEaDxir0cCd9Sfji8ZPKzNaCPZnvRCbG63Oa1ztz4B4r7xG_wsoC9ucd_ei3--Pz7UD50yQD/pub","Source")</f>
        <v>Source</v>
      </c>
      <c r="H10" s="20"/>
      <c r="I10" s="20"/>
      <c r="J10" s="20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 ht="30.0" customHeight="1">
      <c r="A11" s="32" t="s">
        <v>35</v>
      </c>
      <c r="B11" s="47">
        <v>122.0</v>
      </c>
      <c r="C11" s="47">
        <v>4.0</v>
      </c>
      <c r="D11" s="37"/>
      <c r="E11" s="51"/>
      <c r="F11" s="51"/>
      <c r="G11" s="40" t="str">
        <f>HYPERLINK("http://www.floridahealth.gov/diseases-and-conditions/COVID-19/","Source")</f>
        <v>Source</v>
      </c>
      <c r="H11" s="20"/>
      <c r="I11" s="20"/>
      <c r="J11" s="20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ht="27.75" customHeight="1">
      <c r="A12" s="24" t="s">
        <v>40</v>
      </c>
      <c r="B12" s="48">
        <v>98.0</v>
      </c>
      <c r="C12" s="26">
        <v>2.0</v>
      </c>
      <c r="D12" s="30"/>
      <c r="E12" s="28"/>
      <c r="F12" s="28"/>
      <c r="G12" s="38" t="str">
        <f>HYPERLINK("https://twitter.com/GovMurphy/status/1239255639911813120","Source")</f>
        <v>Source</v>
      </c>
      <c r="H12" s="35"/>
      <c r="I12" s="20"/>
      <c r="J12" s="20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ht="27.75" customHeight="1">
      <c r="A13" s="24" t="s">
        <v>42</v>
      </c>
      <c r="B13" s="48">
        <v>93.0</v>
      </c>
      <c r="C13" s="26">
        <v>0.0</v>
      </c>
      <c r="D13" s="30"/>
      <c r="E13" s="30"/>
      <c r="F13" s="30">
        <v>2.0</v>
      </c>
      <c r="G13" s="38" t="str">
        <f>HYPERLINK("http://www.dph.illinois.gov/news/first-cases-coronavirus-disease-central-and-southern-illinois","Source")</f>
        <v>Source</v>
      </c>
      <c r="H13" s="20"/>
      <c r="I13" s="20"/>
      <c r="J13" s="20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ht="27.75" customHeight="1">
      <c r="A14" s="24" t="s">
        <v>45</v>
      </c>
      <c r="B14" s="48">
        <v>77.0</v>
      </c>
      <c r="C14" s="26">
        <v>1.0</v>
      </c>
      <c r="D14" s="30"/>
      <c r="E14" s="28"/>
      <c r="F14" s="28"/>
      <c r="G14" s="38" t="str">
        <f>HYPERLINK("http://ldh.la.gov/coronavirus/","Source")</f>
        <v>Source</v>
      </c>
      <c r="H14" s="20"/>
      <c r="I14" s="20"/>
      <c r="J14" s="20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ht="30.0" customHeight="1">
      <c r="A15" s="24" t="s">
        <v>47</v>
      </c>
      <c r="B15" s="48">
        <v>66.0</v>
      </c>
      <c r="C15" s="26">
        <v>1.0</v>
      </c>
      <c r="D15" s="30"/>
      <c r="E15" s="30"/>
      <c r="F15" s="28"/>
      <c r="G15" s="38" t="str">
        <f>HYPERLINK("https://dph.georgia.gov/covid-19-daily-status-report","Source")</f>
        <v>Source</v>
      </c>
      <c r="H15" s="20"/>
      <c r="I15" s="20"/>
      <c r="J15" s="20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ht="27.75" customHeight="1">
      <c r="A16" s="24" t="s">
        <v>49</v>
      </c>
      <c r="B16" s="48">
        <v>63.0</v>
      </c>
      <c r="C16" s="26">
        <v>0.0</v>
      </c>
      <c r="D16" s="30"/>
      <c r="E16" s="30">
        <v>1.0</v>
      </c>
      <c r="F16" s="28"/>
      <c r="G16" s="38" t="str">
        <f>HYPERLINK("https://www.media.pa.gov/Pages/Health-Details.aspx?newsid=739","Source")</f>
        <v>Source</v>
      </c>
      <c r="H16" s="20"/>
      <c r="I16" s="20"/>
      <c r="J16" s="20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ht="30.0" customHeight="1">
      <c r="A17" s="32" t="s">
        <v>51</v>
      </c>
      <c r="B17" s="47">
        <v>51.0</v>
      </c>
      <c r="C17" s="47">
        <v>0.0</v>
      </c>
      <c r="D17" s="37"/>
      <c r="E17" s="37">
        <v>1.0</v>
      </c>
      <c r="F17" s="51"/>
      <c r="G17" s="40" t="str">
        <f>HYPERLINK("https://www.dshs.texas.gov/news/updates.shtm#coronavirus","Source")</f>
        <v>Source</v>
      </c>
      <c r="H17" s="20"/>
      <c r="I17" s="20"/>
      <c r="J17" s="20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ht="24.0" customHeight="1">
      <c r="A18" s="24" t="s">
        <v>53</v>
      </c>
      <c r="B18" s="48">
        <v>46.0</v>
      </c>
      <c r="C18" s="26">
        <v>0.0</v>
      </c>
      <c r="D18" s="30"/>
      <c r="E18" s="28"/>
      <c r="F18" s="30">
        <v>2.0</v>
      </c>
      <c r="G18" s="38" t="str">
        <f>HYPERLINK("https://www.cdc.gov/coronavirus/2019-ncov/cases-in-us.html","Source")</f>
        <v>Source</v>
      </c>
      <c r="H18" s="20"/>
      <c r="I18" s="20"/>
      <c r="J18" s="20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ht="27.75" customHeight="1">
      <c r="A19" s="24" t="s">
        <v>54</v>
      </c>
      <c r="B19" s="48">
        <v>45.0</v>
      </c>
      <c r="C19" s="26">
        <v>0.0</v>
      </c>
      <c r="D19" s="30"/>
      <c r="E19" s="28"/>
      <c r="F19" s="28"/>
      <c r="G19" s="38" t="str">
        <f>HYPERLINK("https://www.michigan.gov/coronavirus/0,9753,7-406-98158-521675--,00.html","Source")</f>
        <v>Source</v>
      </c>
      <c r="H19" s="20"/>
      <c r="I19" s="20"/>
      <c r="J19" s="20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ht="30.0" customHeight="1">
      <c r="A20" s="32" t="s">
        <v>56</v>
      </c>
      <c r="B20" s="34">
        <v>41.0</v>
      </c>
      <c r="C20" s="34">
        <v>0.0</v>
      </c>
      <c r="D20" s="36"/>
      <c r="E20" s="51"/>
      <c r="F20" s="51"/>
      <c r="G20" s="40" t="str">
        <f>HYPERLINK("http://www.vdh.virginia.gov/surveillance-and-investigation/novel-coronavirus/","Source")</f>
        <v>Source</v>
      </c>
      <c r="H20" s="20"/>
      <c r="I20" s="20"/>
      <c r="J20" s="20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ht="27.75" customHeight="1">
      <c r="A21" s="24" t="s">
        <v>58</v>
      </c>
      <c r="B21" s="48">
        <v>39.0</v>
      </c>
      <c r="C21" s="26">
        <v>0.0</v>
      </c>
      <c r="D21" s="30"/>
      <c r="E21" s="28"/>
      <c r="F21" s="28"/>
      <c r="G21" s="38" t="str">
        <f>HYPERLINK("https://www.tn.gov/health/cedep/ncov.html","Source")</f>
        <v>Source</v>
      </c>
      <c r="H21" s="20"/>
      <c r="I21" s="20"/>
      <c r="J21" s="20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ht="27.75" customHeight="1">
      <c r="A22" s="24" t="s">
        <v>60</v>
      </c>
      <c r="B22" s="48">
        <v>36.0</v>
      </c>
      <c r="C22" s="26">
        <v>1.0</v>
      </c>
      <c r="D22" s="30"/>
      <c r="E22" s="28"/>
      <c r="F22" s="28"/>
      <c r="G22" s="38" t="str">
        <f>HYPERLINK("https://www.oregon.gov/oha/ERD/Pages/State-Local-Officials-Announce-First-Fatality-from-COVID-19-in-Oregon.aspx","Source")</f>
        <v>Source</v>
      </c>
      <c r="H22" s="20"/>
      <c r="I22" s="20"/>
      <c r="J22" s="20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ht="30.0" customHeight="1">
      <c r="A23" s="32" t="s">
        <v>62</v>
      </c>
      <c r="B23" s="34">
        <v>28.0</v>
      </c>
      <c r="C23" s="34">
        <v>0.0</v>
      </c>
      <c r="D23" s="36"/>
      <c r="E23" s="51"/>
      <c r="F23" s="51"/>
      <c r="G23" s="40" t="str">
        <f>HYPERLINK("https://coronavirus.utah.gov/latest/","Source")</f>
        <v>Source</v>
      </c>
      <c r="H23" s="20"/>
      <c r="I23" s="20"/>
      <c r="J23" s="20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ht="27.75" customHeight="1">
      <c r="A24" s="24" t="s">
        <v>64</v>
      </c>
      <c r="B24" s="48">
        <v>27.0</v>
      </c>
      <c r="C24" s="26">
        <v>0.0</v>
      </c>
      <c r="D24" s="30"/>
      <c r="E24" s="28"/>
      <c r="F24" s="30">
        <v>1.0</v>
      </c>
      <c r="G24" s="38" t="str">
        <f>HYPERLINK("https://www.dhs.wisconsin.gov/outbreaks/index.htm","Source")</f>
        <v>Source</v>
      </c>
      <c r="H24" s="20"/>
      <c r="I24" s="20"/>
      <c r="J24" s="20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ht="27.75" customHeight="1">
      <c r="A25" s="24" t="s">
        <v>66</v>
      </c>
      <c r="B25" s="48">
        <v>26.0</v>
      </c>
      <c r="C25" s="26">
        <v>0.0</v>
      </c>
      <c r="D25" s="30"/>
      <c r="E25" s="30"/>
      <c r="F25" s="30">
        <v>0.0</v>
      </c>
      <c r="G25" s="38" t="str">
        <f>HYPERLINK("https://coronavirus.maryland.gov/","Source")</f>
        <v>Source</v>
      </c>
      <c r="H25" s="20"/>
      <c r="I25" s="20"/>
      <c r="J25" s="20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ht="27.75" customHeight="1">
      <c r="A26" s="24" t="s">
        <v>68</v>
      </c>
      <c r="B26" s="48">
        <v>26.0</v>
      </c>
      <c r="C26" s="26">
        <v>0.0</v>
      </c>
      <c r="D26" s="30"/>
      <c r="E26" s="28"/>
      <c r="F26" s="28"/>
      <c r="G26" s="38" t="str">
        <f>HYPERLINK("https://odh.ohio.gov/wps/portal/gov/odh/know-our-programs/Novel-Coronavirus/2019-nCoV","Source")</f>
        <v>Source</v>
      </c>
      <c r="H26" s="20"/>
      <c r="I26" s="20"/>
      <c r="J26" s="20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ht="30.0" customHeight="1">
      <c r="A27" s="32" t="s">
        <v>70</v>
      </c>
      <c r="B27" s="34">
        <v>23.0</v>
      </c>
      <c r="C27" s="34">
        <v>0.0</v>
      </c>
      <c r="D27" s="36"/>
      <c r="E27" s="51"/>
      <c r="F27" s="51"/>
      <c r="G27" s="40" t="str">
        <f>HYPERLINK("https://www.ncdhhs.gov/covid-19-case-count-nc","Source")</f>
        <v>Source</v>
      </c>
      <c r="H27" s="20"/>
      <c r="I27" s="20"/>
      <c r="J27" s="20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ht="27.75" customHeight="1">
      <c r="A28" s="24" t="s">
        <v>72</v>
      </c>
      <c r="B28" s="48">
        <v>22.0</v>
      </c>
      <c r="C28" s="26">
        <v>0.0</v>
      </c>
      <c r="D28" s="30"/>
      <c r="E28" s="28"/>
      <c r="F28" s="28"/>
      <c r="G28" s="38" t="str">
        <f>HYPERLINK("http://alabamapublichealth.gov/infectiousdiseases/2019-coronavirus.html","Source")</f>
        <v>Source</v>
      </c>
      <c r="H28" s="20"/>
      <c r="I28" s="20"/>
      <c r="J28" s="20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ht="27.75" customHeight="1">
      <c r="A29" s="24" t="s">
        <v>74</v>
      </c>
      <c r="B29" s="48">
        <v>21.0</v>
      </c>
      <c r="C29" s="26">
        <v>0.0</v>
      </c>
      <c r="D29" s="30"/>
      <c r="E29" s="28"/>
      <c r="F29" s="28"/>
      <c r="G29" s="38" t="str">
        <f>HYPERLINK("https://www.youtube.com/watch?v=pAsq7-_3XTI","Source")</f>
        <v>Source</v>
      </c>
      <c r="H29" s="20"/>
      <c r="I29" s="20"/>
      <c r="J29" s="20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ht="27.75" customHeight="1">
      <c r="A30" s="24" t="s">
        <v>77</v>
      </c>
      <c r="B30" s="48">
        <v>21.0</v>
      </c>
      <c r="C30" s="26">
        <v>0.0</v>
      </c>
      <c r="D30" s="30"/>
      <c r="E30" s="28"/>
      <c r="F30" s="28"/>
      <c r="G30" s="38" t="str">
        <f>HYPERLINK("https://twitter.com/DentzerNews/status/1238892051644608513","Source")</f>
        <v>Source</v>
      </c>
      <c r="H30" s="20"/>
      <c r="I30" s="20"/>
      <c r="J30" s="20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ht="30.0" customHeight="1">
      <c r="A31" s="32" t="s">
        <v>80</v>
      </c>
      <c r="B31" s="34">
        <v>21.0</v>
      </c>
      <c r="C31" s="34">
        <v>0.0</v>
      </c>
      <c r="D31" s="36"/>
      <c r="E31" s="37">
        <v>1.0</v>
      </c>
      <c r="F31" s="37"/>
      <c r="G31" s="40" t="str">
        <f>HYPERLINK("https://www.health.state.mn.us/diseases/coronavirus/situation.html","Source")</f>
        <v>Source</v>
      </c>
      <c r="H31" s="20"/>
      <c r="I31" s="20"/>
      <c r="J31" s="20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ht="27.75" customHeight="1">
      <c r="A32" s="24" t="s">
        <v>83</v>
      </c>
      <c r="B32" s="48">
        <v>21.0</v>
      </c>
      <c r="C32" s="26">
        <v>0.0</v>
      </c>
      <c r="D32" s="30"/>
      <c r="E32" s="28"/>
      <c r="F32" s="28"/>
      <c r="G32" s="38" t="str">
        <f>HYPERLINK("https://chfs.ky.gov/agencies/dph/pages/covid19.aspx","Source")</f>
        <v>Source</v>
      </c>
      <c r="H32" s="20"/>
      <c r="I32" s="20"/>
      <c r="J32" s="20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ht="27.75" customHeight="1">
      <c r="A33" s="24" t="s">
        <v>86</v>
      </c>
      <c r="B33" s="48">
        <v>20.0</v>
      </c>
      <c r="C33" s="26">
        <v>0.0</v>
      </c>
      <c r="D33" s="30"/>
      <c r="E33" s="28"/>
      <c r="F33" s="28"/>
      <c r="G33" s="38" t="str">
        <f>HYPERLINK("https://www.ri.gov/press/view/37915","Source")</f>
        <v>Source</v>
      </c>
      <c r="H33" s="20"/>
      <c r="I33" s="20"/>
      <c r="J33" s="20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ht="27.75" customHeight="1">
      <c r="A34" s="24" t="s">
        <v>89</v>
      </c>
      <c r="B34" s="48">
        <v>20.0</v>
      </c>
      <c r="C34" s="26">
        <v>0.0</v>
      </c>
      <c r="D34" s="30"/>
      <c r="E34" s="28"/>
      <c r="F34" s="28"/>
      <c r="G34" s="38" t="str">
        <f>HYPERLINK("https://portal.ct.gov/Coronavirus","Source")</f>
        <v>Source</v>
      </c>
      <c r="H34" s="20"/>
      <c r="I34" s="20"/>
      <c r="J34" s="20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ht="30.0" customHeight="1">
      <c r="A35" s="32" t="s">
        <v>92</v>
      </c>
      <c r="B35" s="34">
        <v>19.0</v>
      </c>
      <c r="C35" s="34">
        <v>0.0</v>
      </c>
      <c r="D35" s="36"/>
      <c r="E35" s="51"/>
      <c r="F35" s="51"/>
      <c r="G35" s="40" t="str">
        <f>HYPERLINK("https://www.scdhec.gov/news-releases/dhec-announces-additional-six-cases-2019-novel-coronavirus-south-carolina","Source")</f>
        <v>Source</v>
      </c>
      <c r="H35" s="20"/>
      <c r="I35" s="20"/>
      <c r="J35" s="20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ht="27.75" customHeight="1">
      <c r="A36" s="24" t="s">
        <v>94</v>
      </c>
      <c r="B36" s="48">
        <v>18.0</v>
      </c>
      <c r="C36" s="26">
        <v>0.0</v>
      </c>
      <c r="D36" s="30"/>
      <c r="E36" s="28"/>
      <c r="F36" s="28"/>
      <c r="G36" s="38" t="str">
        <f>HYPERLINK("https://governor.iowa.gov/press-release/covid-19-community-spread-confirmed-in-iowa-state-agencies-take-additional-measures","Source")</f>
        <v>Source</v>
      </c>
      <c r="H36" s="20"/>
      <c r="I36" s="20"/>
      <c r="J36" s="20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ht="27.75" customHeight="1">
      <c r="A37" s="24" t="s">
        <v>97</v>
      </c>
      <c r="B37" s="48">
        <v>16.0</v>
      </c>
      <c r="C37" s="26">
        <v>0.0</v>
      </c>
      <c r="D37" s="30"/>
      <c r="E37" s="28"/>
      <c r="F37" s="28"/>
      <c r="G37" s="38" t="str">
        <f>HYPERLINK("https://journalstar.com/lifestyles/health-med-fit/health/omaha-officials-state-has-first-case-of-coronavirus-caused-by/article_63280394-2bd2-50d3-b0b1-72aedb5a410a.html","Source")</f>
        <v>Source</v>
      </c>
      <c r="H37" s="20"/>
      <c r="I37" s="20"/>
      <c r="J37" s="20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ht="27.75" customHeight="1">
      <c r="A38" s="24" t="s">
        <v>101</v>
      </c>
      <c r="B38" s="48">
        <v>16.0</v>
      </c>
      <c r="C38" s="26">
        <v>0.0</v>
      </c>
      <c r="D38" s="30"/>
      <c r="E38" s="28"/>
      <c r="F38" s="28"/>
      <c r="G38" s="38" t="str">
        <f>HYPERLINK("https://coronavirus.dc.gov/release/coronavirus-data-update-march-14","Source")</f>
        <v>Source</v>
      </c>
      <c r="H38" s="20"/>
      <c r="I38" s="20"/>
      <c r="J38" s="20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ht="30.0" customHeight="1">
      <c r="A39" s="32" t="s">
        <v>106</v>
      </c>
      <c r="B39" s="34">
        <v>15.0</v>
      </c>
      <c r="C39" s="34">
        <v>0.0</v>
      </c>
      <c r="D39" s="36"/>
      <c r="E39" s="51"/>
      <c r="F39" s="51"/>
      <c r="G39" s="40" t="str">
        <f>HYPERLINK("https://www.in.gov/coronavirus/","Source")</f>
        <v>Source</v>
      </c>
      <c r="H39" s="20"/>
      <c r="I39" s="20"/>
      <c r="J39" s="20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ht="27.75" customHeight="1">
      <c r="A40" s="24" t="s">
        <v>108</v>
      </c>
      <c r="B40" s="48">
        <v>13.0</v>
      </c>
      <c r="C40" s="26">
        <v>0.0</v>
      </c>
      <c r="D40" s="30"/>
      <c r="E40" s="28"/>
      <c r="F40" s="28"/>
      <c r="G40" s="38" t="str">
        <f>HYPERLINK("https://cv.nmhealth.org/","Source")</f>
        <v>Source</v>
      </c>
      <c r="H40" s="20"/>
      <c r="I40" s="20"/>
      <c r="J40" s="20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ht="27.75" customHeight="1">
      <c r="A41" s="24" t="s">
        <v>113</v>
      </c>
      <c r="B41" s="48">
        <v>12.0</v>
      </c>
      <c r="C41" s="26">
        <v>0.0</v>
      </c>
      <c r="D41" s="30"/>
      <c r="E41" s="28"/>
      <c r="F41" s="30">
        <v>1.0</v>
      </c>
      <c r="G41" s="38" t="str">
        <f>HYPERLINK("https://www.azdhs.gov/preparedness/epidemiology-disease-control/infectious-disease-epidemiology/index.php#novel-coronavirus-home","Source")</f>
        <v>Source</v>
      </c>
      <c r="H41" s="20"/>
      <c r="I41" s="20"/>
      <c r="J41" s="20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ht="27.75" customHeight="1">
      <c r="A42" s="24" t="s">
        <v>115</v>
      </c>
      <c r="B42" s="48">
        <v>12.0</v>
      </c>
      <c r="C42" s="26">
        <v>0.0</v>
      </c>
      <c r="D42" s="30"/>
      <c r="E42" s="28"/>
      <c r="F42" s="28"/>
      <c r="G42" s="38" t="str">
        <f>HYPERLINK("https://www.healthy.arkansas.gov/programs-services/topics/novel-coronavirus","Source")</f>
        <v>Source</v>
      </c>
      <c r="H42" s="20"/>
      <c r="I42" s="20"/>
      <c r="J42" s="20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ht="27.75" customHeight="1">
      <c r="A43" s="24" t="s">
        <v>118</v>
      </c>
      <c r="B43" s="48">
        <v>9.0</v>
      </c>
      <c r="C43" s="26">
        <v>1.0</v>
      </c>
      <c r="D43" s="30"/>
      <c r="E43" s="28"/>
      <c r="F43" s="28"/>
      <c r="G43" s="38" t="str">
        <f>HYPERLINK("https://twitter.com/govkristinoem/status/1238496911365222400","Source")</f>
        <v>Source</v>
      </c>
      <c r="H43" s="20"/>
      <c r="I43" s="20"/>
      <c r="J43" s="20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ht="30.0" customHeight="1">
      <c r="A44" s="32" t="s">
        <v>120</v>
      </c>
      <c r="B44" s="34">
        <v>7.0</v>
      </c>
      <c r="C44" s="47">
        <v>0.0</v>
      </c>
      <c r="D44" s="37"/>
      <c r="E44" s="51"/>
      <c r="F44" s="51"/>
      <c r="G44" s="40" t="str">
        <f>HYPERLINK("https://www.dhhs.nh.gov/media/pr/2020/03132020-covid19-case.htm","Source")</f>
        <v>Source</v>
      </c>
      <c r="H44" s="20"/>
      <c r="I44" s="20"/>
      <c r="J44" s="20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ht="27.75" customHeight="1">
      <c r="A45" s="24" t="s">
        <v>122</v>
      </c>
      <c r="B45" s="48">
        <v>6.0</v>
      </c>
      <c r="C45" s="26">
        <v>0.0</v>
      </c>
      <c r="D45" s="30"/>
      <c r="E45" s="28"/>
      <c r="F45" s="28"/>
      <c r="G45" s="38" t="str">
        <f>HYPERLINK("https://twitter.com/msdh/status/1238607002525470721","Source")</f>
        <v>Source</v>
      </c>
      <c r="H45" s="20"/>
      <c r="I45" s="20"/>
      <c r="J45" s="20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ht="30.0" customHeight="1">
      <c r="A46" s="32" t="s">
        <v>124</v>
      </c>
      <c r="B46" s="34">
        <v>6.0</v>
      </c>
      <c r="C46" s="34">
        <v>1.0</v>
      </c>
      <c r="D46" s="36"/>
      <c r="E46" s="51"/>
      <c r="F46" s="51"/>
      <c r="G46" s="40" t="str">
        <f>HYPERLINK("https://khap2.kdhe.state.ks.us/NewsRelease/PDFs/3-13-20%20COVID-19.pdf","Source")</f>
        <v>Source</v>
      </c>
      <c r="H46" s="20"/>
      <c r="I46" s="20"/>
      <c r="J46" s="20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ht="27.75" customHeight="1">
      <c r="A47" s="24" t="s">
        <v>126</v>
      </c>
      <c r="B47" s="48">
        <v>6.0</v>
      </c>
      <c r="C47" s="26">
        <v>0.0</v>
      </c>
      <c r="D47" s="30"/>
      <c r="E47" s="28"/>
      <c r="F47" s="28"/>
      <c r="G47" s="38" t="str">
        <f>HYPERLINK("https://news.delaware.gov/2020/03/14/dph-announces-2-more-presumptive-positives-individuals-associated-with-ud-community/","Source")</f>
        <v>Source</v>
      </c>
      <c r="H47" s="20"/>
      <c r="I47" s="20"/>
      <c r="J47" s="20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ht="27.75" customHeight="1">
      <c r="A48" s="24" t="s">
        <v>129</v>
      </c>
      <c r="B48" s="48">
        <v>6.0</v>
      </c>
      <c r="C48" s="26">
        <v>0.0</v>
      </c>
      <c r="D48" s="30"/>
      <c r="E48" s="28"/>
      <c r="F48" s="28"/>
      <c r="G48" s="38" t="str">
        <f>HYPERLINK("https://nbcmontana.com/news/local/two-people-in-missoula-co-presumptive-positive-for-covid-19","Source")</f>
        <v>Source</v>
      </c>
      <c r="H48" s="20"/>
      <c r="I48" s="20"/>
      <c r="J48" s="20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ht="27.75" customHeight="1">
      <c r="A49" s="24" t="s">
        <v>131</v>
      </c>
      <c r="B49" s="48">
        <v>6.0</v>
      </c>
      <c r="C49" s="26">
        <v>0.0</v>
      </c>
      <c r="D49" s="30"/>
      <c r="E49" s="28"/>
      <c r="F49" s="28"/>
      <c r="G49" s="38" t="str">
        <f>HYPERLINK("https://www.staradvertiser.com/2020/03/14/breaking-news/two-visitors-on-kauai-test-positive-for-coronavirus-county-officials-announce/","Source")</f>
        <v>Source</v>
      </c>
      <c r="H49" s="20"/>
      <c r="I49" s="20"/>
      <c r="J49" s="20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ht="30.0" customHeight="1">
      <c r="A50" s="32" t="s">
        <v>133</v>
      </c>
      <c r="B50" s="34">
        <v>4.0</v>
      </c>
      <c r="C50" s="34">
        <v>0.0</v>
      </c>
      <c r="D50" s="36"/>
      <c r="E50" s="51"/>
      <c r="F50" s="51"/>
      <c r="G50" s="40" t="str">
        <f>HYPERLINK("https://content.govdelivery.com/accounts/OKSDH/bulletins/281157b","Source")</f>
        <v>Source</v>
      </c>
      <c r="H50" s="20"/>
      <c r="I50" s="20"/>
      <c r="J50" s="20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ht="30.0" customHeight="1">
      <c r="A51" s="32" t="s">
        <v>135</v>
      </c>
      <c r="B51" s="34">
        <v>4.0</v>
      </c>
      <c r="C51" s="34">
        <v>0.0</v>
      </c>
      <c r="D51" s="36"/>
      <c r="E51" s="51"/>
      <c r="F51" s="51"/>
      <c r="G51" s="40" t="str">
        <f>HYPERLINK("https://twitter.com/HealthyLivingMo/status/1238608897084133376","Source")</f>
        <v>Source</v>
      </c>
      <c r="H51" s="20"/>
      <c r="I51" s="20"/>
      <c r="J51" s="20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ht="27.75" customHeight="1">
      <c r="A52" s="24" t="s">
        <v>138</v>
      </c>
      <c r="B52" s="48">
        <v>4.0</v>
      </c>
      <c r="C52" s="26">
        <v>0.0</v>
      </c>
      <c r="D52" s="30"/>
      <c r="E52" s="28"/>
      <c r="F52" s="28"/>
      <c r="G52" s="38" t="str">
        <f>HYPERLINK("https://twitter.com/wandavazquezg/status/1238992246051090434","Source")</f>
        <v>Source</v>
      </c>
      <c r="H52" s="20"/>
      <c r="I52" s="20"/>
      <c r="J52" s="20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ht="30.0" customHeight="1">
      <c r="A53" s="32" t="s">
        <v>141</v>
      </c>
      <c r="B53" s="34">
        <v>4.0</v>
      </c>
      <c r="C53" s="34">
        <v>0.0</v>
      </c>
      <c r="D53" s="36"/>
      <c r="E53" s="51"/>
      <c r="F53" s="51"/>
      <c r="G53" s="40" t="str">
        <f>HYPERLINK("https://www.healthvermont.gov/response/infectious-disease/2019-novel-coronavirus","Source")</f>
        <v>Source</v>
      </c>
      <c r="H53" s="20"/>
      <c r="I53" s="20"/>
      <c r="J53" s="20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ht="27.75" customHeight="1">
      <c r="A54" s="24" t="s">
        <v>144</v>
      </c>
      <c r="B54" s="48">
        <v>4.0</v>
      </c>
      <c r="C54" s="26">
        <v>0.0</v>
      </c>
      <c r="D54" s="30"/>
      <c r="E54" s="28"/>
      <c r="F54" s="28"/>
      <c r="G54" s="38" t="str">
        <f>HYPERLINK("https://coronavirus.idaho.gov/","Source")</f>
        <v>Source</v>
      </c>
      <c r="H54" s="20"/>
      <c r="I54" s="20"/>
      <c r="J54" s="20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ht="27.75" customHeight="1">
      <c r="A55" s="24" t="s">
        <v>148</v>
      </c>
      <c r="B55" s="48">
        <v>3.0</v>
      </c>
      <c r="C55" s="26">
        <v>0.0</v>
      </c>
      <c r="D55" s="30"/>
      <c r="E55" s="28"/>
      <c r="F55" s="28"/>
      <c r="G55" s="68"/>
      <c r="H55" s="20"/>
      <c r="I55" s="20"/>
      <c r="J55" s="20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ht="27.75" customHeight="1">
      <c r="A56" s="24" t="s">
        <v>151</v>
      </c>
      <c r="B56" s="48">
        <v>3.0</v>
      </c>
      <c r="C56" s="26">
        <v>0.0</v>
      </c>
      <c r="D56" s="30"/>
      <c r="E56" s="28"/>
      <c r="F56" s="28"/>
      <c r="G56" s="69"/>
      <c r="H56" s="20"/>
      <c r="I56" s="20"/>
      <c r="J56" s="20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ht="27.75" customHeight="1">
      <c r="A57" s="24" t="s">
        <v>154</v>
      </c>
      <c r="B57" s="48">
        <v>3.0</v>
      </c>
      <c r="C57" s="26">
        <v>0.0</v>
      </c>
      <c r="D57" s="30"/>
      <c r="E57" s="28"/>
      <c r="F57" s="28"/>
      <c r="G57" s="38" t="str">
        <f>HYPERLINK("https://www.maine.gov/dhhs/press-release.shtml?id=2220093","Source")</f>
        <v>Source</v>
      </c>
      <c r="H57" s="20"/>
      <c r="I57" s="20"/>
      <c r="J57" s="20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ht="27.75" customHeight="1">
      <c r="A58" s="24" t="s">
        <v>157</v>
      </c>
      <c r="B58" s="48">
        <v>3.0</v>
      </c>
      <c r="C58" s="26">
        <v>0.0</v>
      </c>
      <c r="D58" s="30"/>
      <c r="E58" s="28"/>
      <c r="F58" s="28"/>
      <c r="G58" s="38" t="str">
        <f>HYPERLINK("https://health.wyo.gov/wyomings-coronavirus-total-up-to-three/","Source")</f>
        <v>Source</v>
      </c>
      <c r="H58" s="20"/>
      <c r="I58" s="20"/>
      <c r="J58" s="20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ht="27.75" customHeight="1">
      <c r="A59" s="24" t="s">
        <v>160</v>
      </c>
      <c r="B59" s="48">
        <v>1.0</v>
      </c>
      <c r="C59" s="26">
        <v>0.0</v>
      </c>
      <c r="D59" s="30"/>
      <c r="E59" s="28"/>
      <c r="F59" s="28"/>
      <c r="G59" s="38" t="str">
        <f>HYPERLINK("https://gov.alaska.gov/newsroom/2020/03/12/first-case-of-covid-19-confirmed-by-alaska-state-public-health-laboratory-is-an-international-resident/","Source")</f>
        <v>Source</v>
      </c>
      <c r="H59" s="20"/>
      <c r="I59" s="20"/>
      <c r="J59" s="20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ht="27.75" customHeight="1">
      <c r="A60" s="24" t="s">
        <v>163</v>
      </c>
      <c r="B60" s="48">
        <v>1.0</v>
      </c>
      <c r="C60" s="26">
        <v>0.0</v>
      </c>
      <c r="D60" s="30"/>
      <c r="E60" s="28"/>
      <c r="F60" s="28"/>
      <c r="G60" s="38" t="str">
        <f>HYPERLINK("https://doh.vi.gov/news/health-officials-announce-first-confirmed-case-covid-19-usvi","Source")</f>
        <v>Source</v>
      </c>
      <c r="H60" s="20"/>
      <c r="I60" s="20"/>
      <c r="J60" s="20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ht="27.75" customHeight="1">
      <c r="A61" s="24" t="s">
        <v>167</v>
      </c>
      <c r="B61" s="48">
        <v>1.0</v>
      </c>
      <c r="C61" s="26">
        <v>0.0</v>
      </c>
      <c r="D61" s="30"/>
      <c r="E61" s="28"/>
      <c r="F61" s="28"/>
      <c r="G61" s="38" t="str">
        <f>HYPERLINK("https://www.health.nd.gov/news/first-case-novel-coronavirus-confirmed-north-dakota-work-continues-prevent-spread","Source")</f>
        <v>Source</v>
      </c>
      <c r="H61" s="20"/>
      <c r="I61" s="20"/>
      <c r="J61" s="20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ht="27.75" customHeight="1">
      <c r="A62" s="24" t="s">
        <v>171</v>
      </c>
      <c r="B62" s="48">
        <v>0.0</v>
      </c>
      <c r="C62" s="26">
        <v>0.0</v>
      </c>
      <c r="D62" s="30"/>
      <c r="E62" s="28"/>
      <c r="F62" s="28"/>
      <c r="G62" s="69"/>
      <c r="H62" s="20"/>
      <c r="I62" s="20"/>
      <c r="J62" s="20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ht="27.75" customHeight="1">
      <c r="A63" s="24" t="s">
        <v>173</v>
      </c>
      <c r="B63" s="48">
        <v>0.0</v>
      </c>
      <c r="C63" s="26">
        <v>0.0</v>
      </c>
      <c r="D63" s="30"/>
      <c r="E63" s="28"/>
      <c r="F63" s="28"/>
      <c r="G63" s="69"/>
      <c r="H63" s="20"/>
      <c r="I63" s="20"/>
      <c r="J63" s="20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ht="27.75" customHeight="1">
      <c r="A64" s="24" t="s">
        <v>174</v>
      </c>
      <c r="B64" s="48">
        <v>0.0</v>
      </c>
      <c r="C64" s="26">
        <v>0.0</v>
      </c>
      <c r="D64" s="30"/>
      <c r="E64" s="28"/>
      <c r="F64" s="28"/>
      <c r="G64" s="69"/>
      <c r="H64" s="20"/>
      <c r="I64" s="20"/>
      <c r="J64" s="20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ht="27.75" customHeight="1">
      <c r="A65" s="70"/>
      <c r="B65" s="71">
        <v>400.0</v>
      </c>
      <c r="C65" s="72">
        <v>4.0</v>
      </c>
      <c r="D65" s="73"/>
      <c r="E65" s="74"/>
      <c r="F65" s="74"/>
      <c r="G65" s="75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</row>
    <row r="66" ht="30.0" customHeight="1">
      <c r="A66" s="54" t="s">
        <v>178</v>
      </c>
      <c r="B66" s="55">
        <f t="shared" ref="B66:C66" si="2">SUM(B6:B65)</f>
        <v>3783</v>
      </c>
      <c r="C66" s="55">
        <f t="shared" si="2"/>
        <v>65</v>
      </c>
      <c r="D66" s="55">
        <f t="shared" ref="D66:F66" si="3">SUM(D6:D64)</f>
        <v>60</v>
      </c>
      <c r="E66" s="55">
        <f t="shared" si="3"/>
        <v>4</v>
      </c>
      <c r="F66" s="55">
        <f t="shared" si="3"/>
        <v>8</v>
      </c>
      <c r="G66" s="56"/>
      <c r="H66" s="20"/>
      <c r="I66" s="20"/>
      <c r="J66" s="20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>
      <c r="A67" s="54"/>
      <c r="B67" s="57"/>
      <c r="C67" s="57"/>
      <c r="D67" s="57"/>
      <c r="E67" s="57"/>
      <c r="F67" s="57"/>
      <c r="G67" s="56"/>
      <c r="H67" s="77"/>
      <c r="I67" s="77"/>
      <c r="J67" s="77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60"/>
      <c r="B68" s="61"/>
      <c r="C68" s="62"/>
      <c r="D68" s="62"/>
      <c r="E68" s="62"/>
      <c r="F68" s="62"/>
      <c r="G68" s="4"/>
      <c r="H68" s="77"/>
      <c r="I68" s="77"/>
      <c r="J68" s="77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63"/>
      <c r="B69" s="62"/>
      <c r="C69" s="62"/>
      <c r="D69" s="62"/>
      <c r="E69" s="62"/>
      <c r="F69" s="62"/>
      <c r="G69" s="4"/>
      <c r="H69" s="77"/>
      <c r="I69" s="77"/>
      <c r="J69" s="77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63"/>
      <c r="B70" s="62"/>
      <c r="C70" s="62"/>
      <c r="D70" s="62"/>
      <c r="E70" s="62"/>
      <c r="F70" s="6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</sheetData>
  <mergeCells count="5">
    <mergeCell ref="A1:F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1</v>
      </c>
      <c r="B2" s="3" t="s">
        <v>2</v>
      </c>
      <c r="D2" s="5" t="s">
        <v>3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9">
        <f t="shared" ref="A3:B3" si="1">SUM(B14, B15)</f>
        <v>80844</v>
      </c>
      <c r="B3" s="9">
        <f t="shared" si="1"/>
        <v>3199</v>
      </c>
      <c r="D3" s="11">
        <f>SUM(F14, F15)</f>
        <v>66911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2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14" t="s">
        <v>5</v>
      </c>
      <c r="B5" s="16" t="s">
        <v>8</v>
      </c>
      <c r="C5" s="16" t="s">
        <v>9</v>
      </c>
      <c r="D5" s="18" t="s">
        <v>10</v>
      </c>
      <c r="E5" s="18" t="s">
        <v>11</v>
      </c>
      <c r="F5" s="18" t="s">
        <v>12</v>
      </c>
      <c r="G5" s="16"/>
      <c r="H5" s="20"/>
      <c r="I5" s="20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ht="30.0" customHeight="1">
      <c r="A6" s="32" t="s">
        <v>16</v>
      </c>
      <c r="B6" s="34">
        <v>67794.0</v>
      </c>
      <c r="C6" s="34">
        <v>3085.0</v>
      </c>
      <c r="D6" s="36">
        <v>3163.0</v>
      </c>
      <c r="E6" s="37" t="s">
        <v>17</v>
      </c>
      <c r="F6" s="36">
        <v>54278.0</v>
      </c>
      <c r="G6" s="40" t="str">
        <f>HYPERLINK("http://www.nhc.gov.cn/yjb/s7860/202003/8331f126d3854413b6ea323009fbbcc5.shtml","Source")</f>
        <v>Source</v>
      </c>
      <c r="H6" s="35"/>
      <c r="I6" s="20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ht="30.0" customHeight="1">
      <c r="A7" s="41" t="s">
        <v>21</v>
      </c>
      <c r="B7" s="42">
        <v>1357.0</v>
      </c>
      <c r="C7" s="43">
        <v>8.0</v>
      </c>
      <c r="D7" s="44">
        <v>4.0</v>
      </c>
      <c r="E7" s="44">
        <v>13.0</v>
      </c>
      <c r="F7" s="45">
        <v>1303.0</v>
      </c>
      <c r="G7" s="46" t="str">
        <f>HYPERLINK("http://wsjkw.gd.gov.cn/zwyw_yqxx/content/post_2931107.html","Source")</f>
        <v>Source</v>
      </c>
      <c r="H7" s="35"/>
      <c r="I7" s="20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ht="30.0" customHeight="1">
      <c r="A8" s="32" t="s">
        <v>25</v>
      </c>
      <c r="B8" s="34">
        <v>1272.0</v>
      </c>
      <c r="C8" s="47">
        <v>22.0</v>
      </c>
      <c r="D8" s="37">
        <v>0.0</v>
      </c>
      <c r="E8" s="37">
        <v>0.0</v>
      </c>
      <c r="F8" s="36">
        <v>1250.0</v>
      </c>
      <c r="G8" s="40" t="str">
        <f>HYPERLINK("https://m.weibo.cn/detail/4482654848043575","Source")</f>
        <v>Source</v>
      </c>
      <c r="H8" s="35"/>
      <c r="I8" s="20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ht="30.0" customHeight="1">
      <c r="A9" s="32" t="s">
        <v>29</v>
      </c>
      <c r="B9" s="34">
        <v>1231.0</v>
      </c>
      <c r="C9" s="47">
        <v>1.0</v>
      </c>
      <c r="D9" s="37">
        <v>1.0</v>
      </c>
      <c r="E9" s="37">
        <v>1.0</v>
      </c>
      <c r="F9" s="36">
        <v>1211.0</v>
      </c>
      <c r="G9" s="38" t="str">
        <f>HYPERLINK("https://www.zjwjw.gov.cn/art/2020/3/15/art_1202101_42277193.html","Source")</f>
        <v>Source</v>
      </c>
      <c r="H9" s="35"/>
      <c r="I9" s="20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ht="30.0" customHeight="1">
      <c r="A10" s="32" t="s">
        <v>31</v>
      </c>
      <c r="B10" s="34">
        <v>1018.0</v>
      </c>
      <c r="C10" s="47">
        <v>4.0</v>
      </c>
      <c r="D10" s="37">
        <v>0.0</v>
      </c>
      <c r="E10" s="37">
        <v>0.0</v>
      </c>
      <c r="F10" s="36">
        <v>1014.0</v>
      </c>
      <c r="G10" s="40" t="str">
        <f>HYPERLINK("http://wjw.hunan.gov.cn/wjw/xxgk/gzdt/zyxw_1/202003/t20200315_11812446.html","Source")</f>
        <v>Source</v>
      </c>
      <c r="H10" s="35"/>
      <c r="I10" s="20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ht="30.0" customHeight="1">
      <c r="A11" s="32" t="s">
        <v>33</v>
      </c>
      <c r="B11" s="34">
        <v>442.0</v>
      </c>
      <c r="C11" s="47">
        <v>8.0</v>
      </c>
      <c r="D11" s="37" t="s">
        <v>17</v>
      </c>
      <c r="E11" s="37" t="s">
        <v>17</v>
      </c>
      <c r="F11" s="37">
        <v>353.0</v>
      </c>
      <c r="G11" s="38" t="str">
        <f>HYPERLINK("http://wjw.beijing.gov.cn/xwzx_20031/wnxw/202003/t20200315_1706294.html","Source")</f>
        <v>Source</v>
      </c>
      <c r="H11" s="35"/>
      <c r="I11" s="20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ht="30.0" customHeight="1">
      <c r="A12" s="32" t="s">
        <v>36</v>
      </c>
      <c r="B12" s="34">
        <v>353.0</v>
      </c>
      <c r="C12" s="47">
        <v>3.0</v>
      </c>
      <c r="D12" s="37">
        <v>8.0</v>
      </c>
      <c r="E12" s="37">
        <v>1.0</v>
      </c>
      <c r="F12" s="37">
        <v>324.0</v>
      </c>
      <c r="G12" s="40" t="str">
        <f>HYPERLINK("http://wsjkw.sh.gov.cn/xwfb/20200315/7b4878a4f5ee479da8a5e47d68683064.html","Source")</f>
        <v>Source</v>
      </c>
      <c r="H12" s="35"/>
      <c r="I12" s="20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ht="30.0" customHeight="1">
      <c r="A13" s="32" t="s">
        <v>38</v>
      </c>
      <c r="B13" s="34">
        <v>7377.0</v>
      </c>
      <c r="C13" s="47">
        <v>68.0</v>
      </c>
      <c r="D13" s="37" t="s">
        <v>41</v>
      </c>
      <c r="E13" s="37" t="s">
        <v>17</v>
      </c>
      <c r="F13" s="36">
        <v>7178.0</v>
      </c>
      <c r="G13" s="40" t="str">
        <f>HYPERLINK("http://www.nhc.gov.cn/yjb/s7860/202003/8331f126d3854413b6ea323009fbbcc5.shtml","Source")</f>
        <v>Source</v>
      </c>
      <c r="H13" s="52"/>
      <c r="I13" s="20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ht="30.0" customHeight="1">
      <c r="A14" s="54" t="s">
        <v>43</v>
      </c>
      <c r="B14" s="55">
        <f t="shared" ref="B14:C14" si="2">SUM(B6:B13)</f>
        <v>80844</v>
      </c>
      <c r="C14" s="55">
        <f t="shared" si="2"/>
        <v>3199</v>
      </c>
      <c r="D14" s="55">
        <v>3226.0</v>
      </c>
      <c r="E14" s="55"/>
      <c r="F14" s="55">
        <f>SUM(F6:F13)</f>
        <v>66911</v>
      </c>
      <c r="G14" s="56"/>
      <c r="H14" s="20"/>
      <c r="I14" s="20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>
      <c r="A15" s="54"/>
      <c r="B15" s="57"/>
      <c r="C15" s="57"/>
      <c r="D15" s="58"/>
      <c r="E15" s="59"/>
      <c r="F15" s="57"/>
      <c r="G15" s="56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60"/>
      <c r="B16" s="61"/>
      <c r="C16" s="62"/>
      <c r="D16" s="62"/>
      <c r="E16" s="62"/>
      <c r="F16" s="6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63"/>
      <c r="B17" s="62"/>
      <c r="C17" s="62"/>
      <c r="D17" s="62"/>
      <c r="E17" s="62"/>
      <c r="F17" s="6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63"/>
      <c r="B18" s="62"/>
      <c r="C18" s="62"/>
      <c r="D18" s="62"/>
      <c r="E18" s="62"/>
      <c r="F18" s="6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71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1</v>
      </c>
      <c r="B2" s="3" t="s">
        <v>2</v>
      </c>
      <c r="D2" s="5" t="s">
        <v>3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9">
        <f t="shared" ref="A3:B3" si="1">SUM(B19, B20)</f>
        <v>264</v>
      </c>
      <c r="B3" s="9">
        <f t="shared" si="1"/>
        <v>1</v>
      </c>
      <c r="D3" s="11">
        <f>SUM(F19, F20)</f>
        <v>11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2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4" t="s">
        <v>75</v>
      </c>
      <c r="B5" s="16" t="s">
        <v>8</v>
      </c>
      <c r="C5" s="16" t="s">
        <v>9</v>
      </c>
      <c r="D5" s="18" t="s">
        <v>10</v>
      </c>
      <c r="E5" s="18" t="s">
        <v>11</v>
      </c>
      <c r="F5" s="18" t="s">
        <v>12</v>
      </c>
      <c r="G5" s="16"/>
      <c r="H5" s="20"/>
      <c r="I5" s="20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ht="30.0" customHeight="1">
      <c r="A6" s="41" t="s">
        <v>78</v>
      </c>
      <c r="B6" s="42">
        <v>101.0</v>
      </c>
      <c r="C6" s="43">
        <v>0.0</v>
      </c>
      <c r="D6" s="44"/>
      <c r="E6" s="44"/>
      <c r="F6" s="44">
        <v>5.0</v>
      </c>
      <c r="G6" s="46" t="str">
        <f>HYPERLINK("https://www.ontario.ca/page/2019-novel-coronavirus","Source")</f>
        <v>Source</v>
      </c>
      <c r="H6" s="35"/>
      <c r="I6" s="20"/>
      <c r="J6" s="20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ht="30.0" customHeight="1">
      <c r="A7" s="32" t="s">
        <v>81</v>
      </c>
      <c r="B7" s="34">
        <v>56.0</v>
      </c>
      <c r="C7" s="47">
        <v>0.0</v>
      </c>
      <c r="D7" s="37"/>
      <c r="E7" s="37"/>
      <c r="F7" s="51"/>
      <c r="G7" s="40" t="str">
        <f>HYPERLINK("https://www.alberta.ca/release.cfm?xID=698138D2A20EF-E044-5CB2-13B7BEE6B54A78EC","Source")</f>
        <v>Source</v>
      </c>
      <c r="H7" s="35"/>
      <c r="I7" s="20"/>
      <c r="J7" s="20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ht="30.0" customHeight="1">
      <c r="A8" s="32" t="s">
        <v>84</v>
      </c>
      <c r="B8" s="34">
        <v>73.0</v>
      </c>
      <c r="C8" s="34">
        <v>1.0</v>
      </c>
      <c r="D8" s="36"/>
      <c r="E8" s="37">
        <v>1.0</v>
      </c>
      <c r="F8" s="37">
        <v>6.0</v>
      </c>
      <c r="G8" s="40" t="str">
        <f>HYPERLINK("https://www.thestar.com/news/gta/2020/03/14/97-new-covid-19-deaths-in-iran-apple-closes-all-stores-outside-of-china-us-representatives-pass-free-testing-bill.html?utm_source=Twitter&amp;utm_medium=SocialMedia&amp;utm_campaign=300pm&amp;utm_campaign_id=GTA&amp;utm_content"&amp;"=bcconfirms9newcases&amp;utm_source=twitter&amp;source=starvancouver&amp;utm_medium=SocialMedia&amp;utm_campaign=&amp;utm_campaign_id=&amp;utm_content=","Source")</f>
        <v>Source</v>
      </c>
      <c r="H8" s="35"/>
      <c r="I8" s="20"/>
      <c r="J8" s="20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ht="30.0" customHeight="1">
      <c r="A9" s="32" t="s">
        <v>88</v>
      </c>
      <c r="B9" s="34">
        <v>24.0</v>
      </c>
      <c r="C9" s="47">
        <v>0.0</v>
      </c>
      <c r="D9" s="37"/>
      <c r="E9" s="37"/>
      <c r="F9" s="51"/>
      <c r="G9" s="40" t="str">
        <f>HYPERLINK("https://twitter.com/sante_qc/status/1238910191099416578","Source")</f>
        <v>Source</v>
      </c>
      <c r="H9" s="35"/>
      <c r="I9" s="20"/>
      <c r="J9" s="20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 ht="30.0" customHeight="1">
      <c r="A10" s="32" t="s">
        <v>90</v>
      </c>
      <c r="B10" s="34">
        <v>4.0</v>
      </c>
      <c r="C10" s="47">
        <v>0.0</v>
      </c>
      <c r="D10" s="37"/>
      <c r="E10" s="37"/>
      <c r="F10" s="51"/>
      <c r="G10" s="40" t="str">
        <f>HYPERLINK("https://www.gov.mb.ca/health/coronavirus/","Source")</f>
        <v>Source</v>
      </c>
      <c r="H10" s="20"/>
      <c r="I10" s="20"/>
      <c r="J10" s="20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 ht="30.0" customHeight="1">
      <c r="A11" s="32" t="s">
        <v>93</v>
      </c>
      <c r="B11" s="34">
        <v>2.0</v>
      </c>
      <c r="C11" s="47">
        <v>0.0</v>
      </c>
      <c r="D11" s="37"/>
      <c r="E11" s="37"/>
      <c r="F11" s="51"/>
      <c r="G11" s="40" t="str">
        <f>HYPERLINK("https://www.saskatchewan.ca/government/news-and-media/2020/march/13/second-case-of-covid-19","Source")</f>
        <v>Source</v>
      </c>
      <c r="H11" s="20"/>
      <c r="I11" s="20"/>
      <c r="J11" s="20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ht="30.0" customHeight="1">
      <c r="A12" s="32" t="s">
        <v>96</v>
      </c>
      <c r="B12" s="34">
        <v>2.0</v>
      </c>
      <c r="C12" s="47">
        <v>0.0</v>
      </c>
      <c r="D12" s="37"/>
      <c r="E12" s="37"/>
      <c r="F12" s="51"/>
      <c r="G12" s="40" t="str">
        <f>HYPERLINK("https://www2.gnb.ca/content/gnb/en/departments/health/news/news_release.2020.03.0123.html","Source")</f>
        <v>Source</v>
      </c>
      <c r="H12" s="20"/>
      <c r="I12" s="20"/>
      <c r="J12" s="20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ht="30.0" customHeight="1">
      <c r="A13" s="32" t="s">
        <v>99</v>
      </c>
      <c r="B13" s="34">
        <v>1.0</v>
      </c>
      <c r="C13" s="47">
        <v>0.0</v>
      </c>
      <c r="D13" s="37"/>
      <c r="E13" s="37"/>
      <c r="F13" s="51"/>
      <c r="G13" s="40" t="str">
        <f>HYPERLINK("https://www.princeedwardisland.ca/en/news/pei-confirms-first-positive-case-covid-19","Source")</f>
        <v>Source</v>
      </c>
      <c r="H13" s="35"/>
      <c r="I13" s="20"/>
      <c r="J13" s="20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ht="30.0" customHeight="1">
      <c r="A14" s="32" t="s">
        <v>102</v>
      </c>
      <c r="B14" s="34">
        <v>1.0</v>
      </c>
      <c r="C14" s="47">
        <v>0.0</v>
      </c>
      <c r="D14" s="37"/>
      <c r="E14" s="37"/>
      <c r="F14" s="51"/>
      <c r="G14" s="40" t="str">
        <f>HYPERLINK("https://www.gov.nl.ca/covid-19/","Source")</f>
        <v>Source</v>
      </c>
      <c r="H14" s="35"/>
      <c r="J14" s="20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ht="30.0" customHeight="1">
      <c r="A15" s="32" t="s">
        <v>104</v>
      </c>
      <c r="B15" s="34">
        <v>0.0</v>
      </c>
      <c r="C15" s="47">
        <v>0.0</v>
      </c>
      <c r="D15" s="37"/>
      <c r="E15" s="37"/>
      <c r="F15" s="51"/>
      <c r="G15" s="66"/>
      <c r="H15" s="20"/>
      <c r="I15" s="20"/>
      <c r="J15" s="20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ht="30.0" customHeight="1">
      <c r="A16" s="32" t="s">
        <v>107</v>
      </c>
      <c r="B16" s="34">
        <v>0.0</v>
      </c>
      <c r="C16" s="47">
        <v>0.0</v>
      </c>
      <c r="D16" s="37"/>
      <c r="E16" s="37"/>
      <c r="F16" s="51"/>
      <c r="G16" s="66"/>
      <c r="H16" s="20"/>
      <c r="I16" s="20"/>
      <c r="J16" s="20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ht="30.0" customHeight="1">
      <c r="A17" s="32" t="s">
        <v>110</v>
      </c>
      <c r="B17" s="34">
        <v>0.0</v>
      </c>
      <c r="C17" s="47">
        <v>0.0</v>
      </c>
      <c r="D17" s="37"/>
      <c r="E17" s="37"/>
      <c r="F17" s="51"/>
      <c r="G17" s="66"/>
      <c r="H17" s="20"/>
      <c r="I17" s="20"/>
      <c r="J17" s="20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ht="30.0" customHeight="1">
      <c r="A18" s="32" t="s">
        <v>111</v>
      </c>
      <c r="B18" s="34">
        <v>0.0</v>
      </c>
      <c r="C18" s="47">
        <v>0.0</v>
      </c>
      <c r="D18" s="37"/>
      <c r="E18" s="37"/>
      <c r="F18" s="51"/>
      <c r="G18" s="66"/>
      <c r="H18" s="20"/>
      <c r="I18" s="20"/>
      <c r="J18" s="20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ht="30.0" customHeight="1">
      <c r="A19" s="54" t="s">
        <v>43</v>
      </c>
      <c r="B19" s="55">
        <f t="shared" ref="B19:F19" si="2">SUM(B6:B18)</f>
        <v>264</v>
      </c>
      <c r="C19" s="55">
        <f t="shared" si="2"/>
        <v>1</v>
      </c>
      <c r="D19" s="55">
        <f t="shared" si="2"/>
        <v>0</v>
      </c>
      <c r="E19" s="55">
        <f t="shared" si="2"/>
        <v>1</v>
      </c>
      <c r="F19" s="55">
        <f t="shared" si="2"/>
        <v>11</v>
      </c>
      <c r="G19" s="56"/>
      <c r="H19" s="23"/>
      <c r="I19" s="20"/>
      <c r="J19" s="20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>
      <c r="A20" s="63"/>
      <c r="B20" s="62"/>
      <c r="C20" s="62"/>
      <c r="D20" s="62"/>
      <c r="E20" s="62"/>
      <c r="F20" s="6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60"/>
      <c r="B21" s="61"/>
      <c r="C21" s="62"/>
      <c r="D21" s="62"/>
      <c r="E21" s="62"/>
      <c r="F21" s="6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63"/>
      <c r="B22" s="62"/>
      <c r="C22" s="62"/>
      <c r="D22" s="62"/>
      <c r="E22" s="62"/>
      <c r="F22" s="6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63"/>
      <c r="B23" s="62"/>
      <c r="C23" s="62"/>
      <c r="D23" s="62"/>
      <c r="E23" s="62"/>
      <c r="F23" s="6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1.14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1</v>
      </c>
      <c r="B2" s="3" t="s">
        <v>2</v>
      </c>
      <c r="D2" s="5" t="s">
        <v>3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9">
        <f t="shared" ref="A3:B3" si="1">SUM(B17, B18)</f>
        <v>262</v>
      </c>
      <c r="B3" s="9">
        <f t="shared" si="1"/>
        <v>3</v>
      </c>
      <c r="D3" s="11">
        <f>SUM(F17, F18)</f>
        <v>27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2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14" t="s">
        <v>137</v>
      </c>
      <c r="B5" s="16" t="s">
        <v>8</v>
      </c>
      <c r="C5" s="16" t="s">
        <v>9</v>
      </c>
      <c r="D5" s="18" t="s">
        <v>10</v>
      </c>
      <c r="E5" s="18" t="s">
        <v>11</v>
      </c>
      <c r="F5" s="18" t="s">
        <v>12</v>
      </c>
      <c r="G5" s="16"/>
      <c r="H5" s="20"/>
      <c r="I5" s="20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ht="30.0" customHeight="1">
      <c r="A6" s="32" t="s">
        <v>139</v>
      </c>
      <c r="B6" s="34">
        <v>112.0</v>
      </c>
      <c r="C6" s="34">
        <v>2.0</v>
      </c>
      <c r="D6" s="36"/>
      <c r="E6" s="51"/>
      <c r="F6" s="37"/>
      <c r="G6" s="40" t="str">
        <f>HYPERLINK("https://www.health.nsw.gov.au/news/Pages/20200314_00.aspx","Source")</f>
        <v>Source</v>
      </c>
      <c r="H6" s="20"/>
      <c r="I6" s="20"/>
      <c r="J6" s="20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ht="30.0" customHeight="1">
      <c r="A7" s="41" t="s">
        <v>143</v>
      </c>
      <c r="B7" s="42">
        <v>61.0</v>
      </c>
      <c r="C7" s="43"/>
      <c r="D7" s="44"/>
      <c r="E7" s="44"/>
      <c r="F7" s="67"/>
      <c r="G7" s="46" t="str">
        <f>HYPERLINK("https://www.health.qld.gov.au/news-events/doh-media-releases/releases/queensland-coronavirus-update-2020-03-14","Source")</f>
        <v>Source</v>
      </c>
      <c r="H7" s="20"/>
      <c r="I7" s="20"/>
      <c r="J7" s="20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ht="30.0" customHeight="1">
      <c r="A8" s="32" t="s">
        <v>146</v>
      </c>
      <c r="B8" s="34">
        <v>49.0</v>
      </c>
      <c r="C8" s="47"/>
      <c r="D8" s="37"/>
      <c r="E8" s="37"/>
      <c r="F8" s="51"/>
      <c r="G8" s="40" t="str">
        <f>HYPERLINK("https://www2.health.vic.gov.au/about/media-centre/MediaReleases/more-covid-19-cases-confirmed-in-victoria-14-march-2020","Source")</f>
        <v>Source</v>
      </c>
      <c r="H8" s="20"/>
      <c r="I8" s="20"/>
      <c r="J8" s="20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ht="30.0" customHeight="1">
      <c r="A9" s="32" t="s">
        <v>149</v>
      </c>
      <c r="B9" s="34">
        <v>19.0</v>
      </c>
      <c r="C9" s="47">
        <v>0.0</v>
      </c>
      <c r="D9" s="37"/>
      <c r="E9" s="37"/>
      <c r="F9" s="37">
        <v>3.0</v>
      </c>
      <c r="G9" s="40" t="str">
        <f>HYPERLINK("https://www.sahealth.sa.gov.au/wps/wcm/connect/public+content/sa+health+internet/about+us/news+and+media/all+media+releases/covid-19+coronavirus+update+14+march+2020","Source")</f>
        <v>Source</v>
      </c>
      <c r="H9" s="20"/>
      <c r="I9" s="20"/>
      <c r="J9" s="20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ht="30.0" customHeight="1">
      <c r="A10" s="32" t="s">
        <v>152</v>
      </c>
      <c r="B10" s="34">
        <v>14.0</v>
      </c>
      <c r="C10" s="47">
        <v>1.0</v>
      </c>
      <c r="D10" s="37"/>
      <c r="E10" s="37"/>
      <c r="F10" s="37">
        <v>1.0</v>
      </c>
      <c r="G10" s="40" t="str">
        <f>HYPERLINK("https://ww2.health.wa.gov.au/Media-releases/2020/WA-records-five-new-cases-of-COVID19","Source")</f>
        <v>Source</v>
      </c>
      <c r="H10" s="20"/>
      <c r="I10" s="20"/>
      <c r="J10" s="20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ht="30.0" customHeight="1">
      <c r="A11" s="32" t="s">
        <v>155</v>
      </c>
      <c r="B11" s="34">
        <v>1.0</v>
      </c>
      <c r="C11" s="47">
        <v>0.0</v>
      </c>
      <c r="D11" s="37"/>
      <c r="E11" s="37"/>
      <c r="F11" s="37"/>
      <c r="G11" s="40" t="str">
        <f>HYPERLINK("http://mediareleases.nt.gov.au/mediaRelease/32050","Source")</f>
        <v>Source</v>
      </c>
      <c r="H11" s="20"/>
      <c r="I11" s="20"/>
      <c r="J11" s="20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ht="30.0" customHeight="1">
      <c r="A12" s="32" t="s">
        <v>158</v>
      </c>
      <c r="B12" s="34">
        <v>5.0</v>
      </c>
      <c r="C12" s="47">
        <v>0.0</v>
      </c>
      <c r="D12" s="37">
        <v>0.0</v>
      </c>
      <c r="E12" s="37">
        <v>0.0</v>
      </c>
      <c r="F12" s="37">
        <v>0.0</v>
      </c>
      <c r="G12" s="40" t="str">
        <f>HYPERLINK("https://www.dhhs.tas.gov.au/news/2020/fifth_coronavirus_case_confirmed","Source")</f>
        <v>Source</v>
      </c>
      <c r="H12" s="20"/>
      <c r="I12" s="20"/>
      <c r="J12" s="20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ht="30.0" customHeight="1">
      <c r="A13" s="32" t="s">
        <v>161</v>
      </c>
      <c r="B13" s="34">
        <v>1.0</v>
      </c>
      <c r="C13" s="47">
        <v>0.0</v>
      </c>
      <c r="D13" s="37">
        <v>0.0</v>
      </c>
      <c r="E13" s="37">
        <v>0.0</v>
      </c>
      <c r="F13" s="37">
        <v>0.0</v>
      </c>
      <c r="G13" s="40" t="str">
        <f>HYPERLINK("https://www.cmtedd.act.gov.au/open_government/inform/act_government_media_releases/hd/2020/covid-19-case-confirmed-in-the-act","Source")</f>
        <v>Source</v>
      </c>
      <c r="H13" s="20"/>
      <c r="I13" s="20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ht="30.0" customHeight="1">
      <c r="A14" s="32" t="s">
        <v>164</v>
      </c>
      <c r="B14" s="34">
        <v>0.0</v>
      </c>
      <c r="C14" s="47">
        <v>0.0</v>
      </c>
      <c r="D14" s="37">
        <v>0.0</v>
      </c>
      <c r="E14" s="37">
        <v>0.0</v>
      </c>
      <c r="F14" s="37">
        <v>0.0</v>
      </c>
      <c r="G14" s="66"/>
      <c r="H14" s="20"/>
      <c r="I14" s="20"/>
      <c r="J14" s="20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ht="30.0" customHeight="1">
      <c r="A15" s="32" t="s">
        <v>166</v>
      </c>
      <c r="B15" s="34">
        <v>0.0</v>
      </c>
      <c r="C15" s="47">
        <v>0.0</v>
      </c>
      <c r="D15" s="37">
        <v>0.0</v>
      </c>
      <c r="E15" s="37">
        <v>0.0</v>
      </c>
      <c r="F15" s="37">
        <v>0.0</v>
      </c>
      <c r="G15" s="66"/>
      <c r="H15" s="20"/>
      <c r="I15" s="20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ht="30.0" customHeight="1">
      <c r="A16" s="32" t="s">
        <v>169</v>
      </c>
      <c r="B16" s="34">
        <v>0.0</v>
      </c>
      <c r="C16" s="47">
        <v>0.0</v>
      </c>
      <c r="D16" s="37">
        <v>0.0</v>
      </c>
      <c r="E16" s="37">
        <v>0.0</v>
      </c>
      <c r="F16" s="37">
        <v>23.0</v>
      </c>
      <c r="G16" s="66"/>
      <c r="H16" s="20"/>
      <c r="I16" s="20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ht="30.0" customHeight="1">
      <c r="A17" s="54" t="s">
        <v>43</v>
      </c>
      <c r="B17" s="55">
        <f t="shared" ref="B17:F17" si="2">SUM(B6:B16)</f>
        <v>262</v>
      </c>
      <c r="C17" s="55">
        <f t="shared" si="2"/>
        <v>3</v>
      </c>
      <c r="D17" s="55">
        <f t="shared" si="2"/>
        <v>0</v>
      </c>
      <c r="E17" s="55">
        <f t="shared" si="2"/>
        <v>0</v>
      </c>
      <c r="F17" s="55">
        <f t="shared" si="2"/>
        <v>27</v>
      </c>
      <c r="G17" s="56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>
      <c r="A18" s="54"/>
      <c r="B18" s="57"/>
      <c r="C18" s="57"/>
      <c r="D18" s="58"/>
      <c r="E18" s="59"/>
      <c r="F18" s="57"/>
      <c r="G18" s="56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60"/>
      <c r="B19" s="61"/>
      <c r="C19" s="62"/>
      <c r="D19" s="62"/>
      <c r="E19" s="62"/>
      <c r="F19" s="6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63"/>
      <c r="B20" s="62"/>
      <c r="C20" s="62"/>
      <c r="D20" s="62"/>
      <c r="E20" s="62"/>
      <c r="F20" s="6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63"/>
      <c r="B21" s="62"/>
      <c r="C21" s="62"/>
      <c r="D21" s="62"/>
      <c r="E21" s="62"/>
      <c r="F21" s="6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8.71"/>
    <col customWidth="1" min="6" max="6" width="13.0"/>
    <col customWidth="1" min="7" max="7" width="11.29"/>
  </cols>
  <sheetData>
    <row r="1" ht="27.75" customHeight="1">
      <c r="A1" s="2" t="s">
        <v>182</v>
      </c>
      <c r="H1" s="4"/>
      <c r="I1" s="4"/>
      <c r="J1" s="4"/>
    </row>
    <row r="2">
      <c r="A2" s="3" t="s">
        <v>183</v>
      </c>
      <c r="B2" s="3" t="s">
        <v>184</v>
      </c>
      <c r="D2" s="5" t="s">
        <v>186</v>
      </c>
      <c r="F2" s="6"/>
      <c r="G2" s="7"/>
      <c r="H2" s="4"/>
      <c r="I2" s="4"/>
      <c r="J2" s="4"/>
    </row>
    <row r="3">
      <c r="A3" s="9">
        <f t="shared" ref="A3:B3" si="1">SUM(B21, B22)</f>
        <v>5507</v>
      </c>
      <c r="B3" s="9">
        <f t="shared" si="1"/>
        <v>135</v>
      </c>
      <c r="D3" s="11">
        <f>SUM(F21, F22)</f>
        <v>4</v>
      </c>
      <c r="F3" s="6"/>
      <c r="G3" s="7"/>
      <c r="H3" s="4"/>
      <c r="I3" s="4"/>
      <c r="J3" s="4"/>
    </row>
    <row r="4">
      <c r="A4" s="12"/>
      <c r="B4" s="7"/>
      <c r="C4" s="7"/>
      <c r="D4" s="6"/>
      <c r="E4" s="6"/>
      <c r="F4" s="6"/>
      <c r="G4" s="7"/>
      <c r="H4" s="4"/>
      <c r="I4" s="4"/>
      <c r="J4" s="4"/>
    </row>
    <row r="5" ht="30.0" customHeight="1">
      <c r="A5" s="14" t="s">
        <v>188</v>
      </c>
      <c r="B5" s="16" t="s">
        <v>189</v>
      </c>
      <c r="C5" s="16" t="s">
        <v>191</v>
      </c>
      <c r="D5" s="18" t="s">
        <v>192</v>
      </c>
      <c r="E5" s="18" t="s">
        <v>193</v>
      </c>
      <c r="F5" s="18" t="s">
        <v>194</v>
      </c>
      <c r="G5" s="16" t="s">
        <v>195</v>
      </c>
      <c r="H5" s="23"/>
      <c r="I5" s="23"/>
      <c r="J5" s="23"/>
    </row>
    <row r="6" ht="30.0" customHeight="1">
      <c r="A6" s="41" t="s">
        <v>196</v>
      </c>
      <c r="B6" s="42">
        <v>5232.0</v>
      </c>
      <c r="C6" s="43">
        <v>133.0</v>
      </c>
      <c r="D6" s="44"/>
      <c r="E6" s="44"/>
      <c r="F6" s="67"/>
      <c r="G6" s="46" t="str">
        <f>HYPERLINK("https://www.rtve.es/noticias/20200309/mapa-del-coronavirus-espana/2004681.shtml","Fuente")</f>
        <v>Fuente</v>
      </c>
      <c r="H6" s="23"/>
      <c r="I6" s="23"/>
      <c r="J6" s="23"/>
    </row>
    <row r="7" ht="30.0" customHeight="1">
      <c r="A7" s="32" t="s">
        <v>198</v>
      </c>
      <c r="B7" s="34">
        <v>98.0</v>
      </c>
      <c r="C7" s="47">
        <v>0.0</v>
      </c>
      <c r="D7" s="37">
        <v>1.0</v>
      </c>
      <c r="E7" s="37"/>
      <c r="F7" s="51"/>
      <c r="G7" s="40" t="str">
        <f>HYPERLINK("http://plataforma.saude.gov.br/novocoronavirus/","Fuente")</f>
        <v>Fuente</v>
      </c>
      <c r="H7" s="23"/>
      <c r="I7" s="23"/>
      <c r="J7" s="23"/>
    </row>
    <row r="8" ht="30.0" customHeight="1">
      <c r="A8" s="32" t="s">
        <v>130</v>
      </c>
      <c r="B8" s="34">
        <v>43.0</v>
      </c>
      <c r="C8" s="47">
        <v>0.0</v>
      </c>
      <c r="D8" s="37"/>
      <c r="E8" s="37"/>
      <c r="F8" s="51"/>
      <c r="G8" s="40" t="str">
        <f>HYPERLINK("https://www.t13.cl/noticia/nacional/covid-19-aumentan-43-casos-confirmados-chile","Fuente")</f>
        <v>Fuente</v>
      </c>
      <c r="H8" s="23"/>
      <c r="I8" s="23"/>
      <c r="J8" s="23"/>
    </row>
    <row r="9" ht="30.0" customHeight="1">
      <c r="A9" s="32" t="s">
        <v>179</v>
      </c>
      <c r="B9" s="34">
        <v>26.0</v>
      </c>
      <c r="C9" s="47">
        <v>0.0</v>
      </c>
      <c r="D9" s="37"/>
      <c r="E9" s="37"/>
      <c r="F9" s="51"/>
      <c r="G9" s="40" t="str">
        <f>HYPERLINK("https://www.ministeriodesalud.go.cr/index.php/centro-de-prensa/noticias/741-noticias-2020/1567-se-activa-la-linea-1322-para-atencion-de-consultas-sobre-covid-19","Fuente")</f>
        <v>Fuente</v>
      </c>
      <c r="H9" s="23"/>
      <c r="I9" s="23"/>
      <c r="J9" s="23"/>
    </row>
    <row r="10" ht="30.0" customHeight="1">
      <c r="A10" s="32" t="s">
        <v>145</v>
      </c>
      <c r="B10" s="34">
        <v>21.0</v>
      </c>
      <c r="C10" s="47">
        <v>1.0</v>
      </c>
      <c r="D10" s="37"/>
      <c r="E10" s="37"/>
      <c r="F10" s="51"/>
      <c r="G10" s="40" t="str">
        <f>HYPERLINK("https://www.clarin.com/sociedad/coronavirus-argentina-confirmaron-casos-importados-21-contagiados_0_ZU0WjVc-.html","Fuente")</f>
        <v>Fuente</v>
      </c>
      <c r="H10" s="23"/>
      <c r="I10" s="23"/>
      <c r="J10" s="23"/>
    </row>
    <row r="11" ht="30.0" customHeight="1">
      <c r="A11" s="32" t="s">
        <v>177</v>
      </c>
      <c r="B11" s="34">
        <v>17.0</v>
      </c>
      <c r="C11" s="34">
        <v>0.0</v>
      </c>
      <c r="D11" s="36"/>
      <c r="E11" s="51"/>
      <c r="F11" s="37"/>
      <c r="G11" s="40" t="str">
        <f>HYPERLINK("https://twitter.com/Salud_Ec/status/1237506194740109313","Fuente")</f>
        <v>Fuente</v>
      </c>
      <c r="H11" s="23"/>
      <c r="I11" s="23"/>
      <c r="J11" s="23"/>
    </row>
    <row r="12" ht="30.0" customHeight="1">
      <c r="A12" s="32" t="s">
        <v>128</v>
      </c>
      <c r="B12" s="34">
        <v>17.0</v>
      </c>
      <c r="C12" s="47">
        <v>0.0</v>
      </c>
      <c r="D12" s="37"/>
      <c r="E12" s="37"/>
      <c r="F12" s="51"/>
      <c r="G12" s="40" t="str">
        <f>HYPERLINK("https://twitter.com/Minsa_Peru/status/1237916429975945217","Fuente")</f>
        <v>Fuente</v>
      </c>
      <c r="H12" s="23"/>
      <c r="I12" s="23"/>
      <c r="J12" s="23"/>
    </row>
    <row r="13" ht="30.0" customHeight="1">
      <c r="A13" s="32" t="s">
        <v>201</v>
      </c>
      <c r="B13" s="34">
        <v>14.0</v>
      </c>
      <c r="C13" s="47">
        <v>1.0</v>
      </c>
      <c r="D13" s="37"/>
      <c r="E13" s="37"/>
      <c r="F13" s="51"/>
      <c r="G13" s="40" t="str">
        <f>HYPERLINK("https://www.prensa.com/sociedad/coronavirus-10-mujeres-y-4-hombres-contagiados-en-panama/","Fuente")</f>
        <v>Fuente</v>
      </c>
      <c r="H13" s="23"/>
      <c r="I13" s="23"/>
      <c r="J13" s="23"/>
    </row>
    <row r="14" ht="30.0" customHeight="1">
      <c r="A14" s="32" t="s">
        <v>203</v>
      </c>
      <c r="B14" s="34">
        <v>13.0</v>
      </c>
      <c r="C14" s="47">
        <v>0.0</v>
      </c>
      <c r="D14" s="37">
        <v>1.0</v>
      </c>
      <c r="E14" s="37"/>
      <c r="F14" s="37">
        <v>4.0</v>
      </c>
      <c r="G14" s="40" t="str">
        <f>HYPERLINK("https://www.infobae.com/america/mexico/2020/03/11/coronavirus-se-confirmo-el-primer-caso-en-queretaro-suman-9-en-todo-el-pais/","Fuente")</f>
        <v>Fuente</v>
      </c>
      <c r="H14" s="23"/>
      <c r="I14" s="23"/>
      <c r="J14" s="23"/>
    </row>
    <row r="15" ht="30.0" customHeight="1">
      <c r="A15" s="32" t="s">
        <v>150</v>
      </c>
      <c r="B15" s="34">
        <v>9.0</v>
      </c>
      <c r="C15" s="47">
        <v>0.0</v>
      </c>
      <c r="D15" s="37"/>
      <c r="E15" s="37"/>
      <c r="F15" s="51"/>
      <c r="G15" s="40" t="str">
        <f>HYPERLINK("https://www.eltiempo.com/colombia/cali/estado-de-salud-de-colombiano-con-coronavirus-hospitalizado-en-buga-470598","Fuente")</f>
        <v>Fuente</v>
      </c>
      <c r="H15" s="23"/>
      <c r="I15" s="23"/>
      <c r="J15" s="23"/>
    </row>
    <row r="16" ht="30.0" customHeight="1">
      <c r="A16" s="32" t="s">
        <v>205</v>
      </c>
      <c r="B16" s="34">
        <v>5.0</v>
      </c>
      <c r="C16" s="47">
        <v>0.0</v>
      </c>
      <c r="D16" s="37"/>
      <c r="E16" s="37"/>
      <c r="F16" s="51"/>
      <c r="G16" s="40" t="str">
        <f>HYPERLINK("https://listindiario.com/la-republica/2020/03/09/607425/ya-suman-cinco-los-casos-de-coronavirus-en-el-pais","Fuente")</f>
        <v>Fuente</v>
      </c>
      <c r="H16" s="23"/>
      <c r="I16" s="23"/>
      <c r="J16" s="23"/>
    </row>
    <row r="17" ht="30.0" customHeight="1">
      <c r="A17" s="32" t="s">
        <v>206</v>
      </c>
      <c r="B17" s="34">
        <v>5.0</v>
      </c>
      <c r="C17" s="47">
        <v>0.0</v>
      </c>
      <c r="D17" s="37">
        <v>1.0</v>
      </c>
      <c r="E17" s="37"/>
      <c r="F17" s="51"/>
      <c r="G17" s="40" t="str">
        <f>HYPERLINK("https://twitter.com/MazzoleniJulio/status/1237530868287041536","Fuente")</f>
        <v>Fuente</v>
      </c>
      <c r="H17" s="23"/>
      <c r="I17" s="23"/>
      <c r="J17" s="23"/>
    </row>
    <row r="18" ht="30.0" customHeight="1">
      <c r="A18" s="32" t="s">
        <v>208</v>
      </c>
      <c r="B18" s="34">
        <v>3.0</v>
      </c>
      <c r="C18" s="47">
        <v>0.0</v>
      </c>
      <c r="D18" s="37"/>
      <c r="E18" s="37"/>
      <c r="F18" s="51"/>
      <c r="G18" s="40" t="str">
        <f>HYPERLINK("https://twitter.com/DeItaOne/status/1237904234206711808","Fuente")</f>
        <v>Fuente</v>
      </c>
      <c r="H18" s="23"/>
      <c r="I18" s="23"/>
      <c r="J18" s="23"/>
    </row>
    <row r="19" ht="30.0" customHeight="1">
      <c r="A19" s="32" t="s">
        <v>210</v>
      </c>
      <c r="B19" s="34">
        <v>2.0</v>
      </c>
      <c r="C19" s="47">
        <v>0.0</v>
      </c>
      <c r="D19" s="37"/>
      <c r="E19" s="37"/>
      <c r="F19" s="51"/>
      <c r="G19" s="40" t="str">
        <f>HYPERLINK("https://www.minsalud.gob.bo/3967-ministro-de-salud-reporta-dos-casos-confirmados-de-coronavirus-y-pide-calma-a-la-poblacion","Fuente")</f>
        <v>Fuente</v>
      </c>
      <c r="H19" s="23"/>
      <c r="I19" s="23"/>
      <c r="J19" s="23"/>
    </row>
    <row r="20" ht="30.0" customHeight="1">
      <c r="A20" s="32" t="s">
        <v>211</v>
      </c>
      <c r="B20" s="34">
        <v>2.0</v>
      </c>
      <c r="C20" s="47">
        <v>0.0</v>
      </c>
      <c r="D20" s="37"/>
      <c r="E20" s="37"/>
      <c r="F20" s="51"/>
      <c r="G20" s="40" t="str">
        <f>HYPERLINK("https://twitter.com/saludhn/status/1237652409687724034","Fuente")</f>
        <v>Fuente</v>
      </c>
      <c r="H20" s="23"/>
      <c r="I20" s="23"/>
      <c r="J20" s="23"/>
    </row>
    <row r="21" ht="30.0" customHeight="1">
      <c r="A21" s="54" t="s">
        <v>43</v>
      </c>
      <c r="B21" s="55">
        <f t="shared" ref="B21:C21" si="2">SUM(B6:B20)</f>
        <v>5507</v>
      </c>
      <c r="C21" s="55">
        <f t="shared" si="2"/>
        <v>135</v>
      </c>
      <c r="D21" s="55">
        <f t="shared" ref="D21:F21" si="3">SUM(D6:D16)</f>
        <v>2</v>
      </c>
      <c r="E21" s="55">
        <f t="shared" si="3"/>
        <v>0</v>
      </c>
      <c r="F21" s="55">
        <f t="shared" si="3"/>
        <v>4</v>
      </c>
      <c r="G21" s="56"/>
      <c r="H21" s="23"/>
      <c r="I21" s="23"/>
      <c r="J21" s="23"/>
    </row>
    <row r="22">
      <c r="A22" s="63"/>
      <c r="B22" s="62"/>
      <c r="C22" s="62"/>
      <c r="D22" s="62"/>
      <c r="E22" s="62"/>
      <c r="F22" s="62"/>
      <c r="G22" s="4"/>
      <c r="H22" s="4"/>
      <c r="I22" s="4"/>
      <c r="J22" s="4"/>
    </row>
    <row r="23">
      <c r="A23" s="60"/>
      <c r="B23" s="61"/>
      <c r="C23" s="62"/>
      <c r="D23" s="62"/>
      <c r="E23" s="62"/>
      <c r="F23" s="62"/>
      <c r="G23" s="4"/>
      <c r="H23" s="4"/>
      <c r="I23" s="4"/>
      <c r="J23" s="4"/>
    </row>
    <row r="24">
      <c r="A24" s="63"/>
      <c r="B24" s="62"/>
      <c r="C24" s="62"/>
      <c r="D24" s="62"/>
      <c r="E24" s="62"/>
      <c r="F24" s="62"/>
      <c r="G24" s="4"/>
      <c r="H24" s="4"/>
      <c r="I24" s="4"/>
      <c r="J24" s="4"/>
    </row>
    <row r="25">
      <c r="A25" s="63"/>
      <c r="B25" s="62"/>
      <c r="C25" s="62"/>
      <c r="D25" s="62"/>
      <c r="E25" s="62"/>
      <c r="F25" s="62"/>
      <c r="G25" s="4"/>
      <c r="H25" s="4"/>
      <c r="I25" s="4"/>
      <c r="J25" s="4"/>
    </row>
  </sheetData>
  <mergeCells count="5">
    <mergeCell ref="A1:G1"/>
    <mergeCell ref="B2:C2"/>
    <mergeCell ref="D2:E2"/>
    <mergeCell ref="B3:C3"/>
    <mergeCell ref="D3:E3"/>
  </mergeCells>
  <drawing r:id="rId2"/>
  <legacyDrawing r:id="rId3"/>
  <tableParts count="1">
    <tablePart r:id="rId5"/>
  </tableParts>
</worksheet>
</file>