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Previous" sheetId="3" r:id="rId6"/>
    <sheet state="visible" name="China" sheetId="4" r:id="rId7"/>
    <sheet state="visible" name="Canada" sheetId="5" r:id="rId8"/>
    <sheet state="visible" name="Australia" sheetId="6" r:id="rId9"/>
    <sheet state="visible" name="América Latina y España" sheetId="7" r:id="rId10"/>
    <sheet state="visible" name="Cases" sheetId="10" r:id="rId11"/>
    <sheet state="visible" name="Deaths" sheetId="12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2,955</t>
      </text>
    </comment>
    <comment authorId="0" ref="C6">
      <text>
        <t xml:space="preserve">78</t>
      </text>
    </comment>
    <comment authorId="0" ref="B7">
      <text>
        <t xml:space="preserve">29</t>
      </text>
    </comment>
    <comment authorId="0" ref="B8">
      <text>
        <t xml:space="preserve">20</t>
      </text>
    </comment>
    <comment authorId="0" ref="B9">
      <text>
        <t xml:space="preserve">4</t>
      </text>
    </comment>
  </commentList>
</comments>
</file>

<file path=xl/sharedStrings.xml><?xml version="1.0" encoding="utf-8"?>
<sst xmlns="http://schemas.openxmlformats.org/spreadsheetml/2006/main" count="555" uniqueCount="263">
  <si>
    <t>Updated throughout the day</t>
  </si>
  <si>
    <t>Currently being updated</t>
  </si>
  <si>
    <t>CASES</t>
  </si>
  <si>
    <t>DEATHS</t>
  </si>
  <si>
    <t>RECOVERED</t>
  </si>
  <si>
    <t>OTHER PLACES</t>
  </si>
  <si>
    <t>UNRESOLVED</t>
  </si>
  <si>
    <t>Cases</t>
  </si>
  <si>
    <t>Deaths</t>
  </si>
  <si>
    <t>China</t>
  </si>
  <si>
    <t>Italy</t>
  </si>
  <si>
    <t>Iran</t>
  </si>
  <si>
    <t>Spain</t>
  </si>
  <si>
    <t>South Korea</t>
  </si>
  <si>
    <t>Germany</t>
  </si>
  <si>
    <t>France</t>
  </si>
  <si>
    <t>United States</t>
  </si>
  <si>
    <t>Switzerland</t>
  </si>
  <si>
    <t>United Kingdom</t>
  </si>
  <si>
    <t>Netherlands</t>
  </si>
  <si>
    <t>Norway</t>
  </si>
  <si>
    <t>Belgium</t>
  </si>
  <si>
    <t>UNITED STATES</t>
  </si>
  <si>
    <t>Sweden</t>
  </si>
  <si>
    <t>Austria</t>
  </si>
  <si>
    <t>Denmark</t>
  </si>
  <si>
    <t>Japan</t>
  </si>
  <si>
    <t>Diamond Princess</t>
  </si>
  <si>
    <t>Malaysia</t>
  </si>
  <si>
    <t>Qatar</t>
  </si>
  <si>
    <t>Canada</t>
  </si>
  <si>
    <t>Serious</t>
  </si>
  <si>
    <t>Australia</t>
  </si>
  <si>
    <t>Greece</t>
  </si>
  <si>
    <t>Critical</t>
  </si>
  <si>
    <t>Recovered</t>
  </si>
  <si>
    <t>Links</t>
  </si>
  <si>
    <t>Portugal</t>
  </si>
  <si>
    <t>Czech Republic</t>
  </si>
  <si>
    <t>Israel</t>
  </si>
  <si>
    <t>Finland</t>
  </si>
  <si>
    <t>Brazil</t>
  </si>
  <si>
    <t>Singapore</t>
  </si>
  <si>
    <t>Ireland</t>
  </si>
  <si>
    <t>Bahrain</t>
  </si>
  <si>
    <t>Slovenia</t>
  </si>
  <si>
    <t>Iceland</t>
  </si>
  <si>
    <t>Pakistan</t>
  </si>
  <si>
    <t>Poland</t>
  </si>
  <si>
    <t>Estonia</t>
  </si>
  <si>
    <t>Romania</t>
  </si>
  <si>
    <t>Egypt</t>
  </si>
  <si>
    <t>Chile</t>
  </si>
  <si>
    <t>Hong Kong</t>
  </si>
  <si>
    <t>Thailand</t>
  </si>
  <si>
    <t>Philippines</t>
  </si>
  <si>
    <t>Indonesia</t>
  </si>
  <si>
    <t>Saudi Arabia</t>
  </si>
  <si>
    <t>Iraq</t>
  </si>
  <si>
    <t>India</t>
  </si>
  <si>
    <t>Kuwait</t>
  </si>
  <si>
    <t>San Marino</t>
  </si>
  <si>
    <t>Lebanon</t>
  </si>
  <si>
    <t>United Arab Emirates</t>
  </si>
  <si>
    <t>Russia</t>
  </si>
  <si>
    <t>Peru</t>
  </si>
  <si>
    <t>Luxembourg</t>
  </si>
  <si>
    <t>Taiwan</t>
  </si>
  <si>
    <t>New York</t>
  </si>
  <si>
    <t>South Africa</t>
  </si>
  <si>
    <t>Slovakia</t>
  </si>
  <si>
    <t>Algeria</t>
  </si>
  <si>
    <t>Vietnam</t>
  </si>
  <si>
    <t>Argentina</t>
  </si>
  <si>
    <t>Croatia</t>
  </si>
  <si>
    <t>Serbia</t>
  </si>
  <si>
    <t>Panama</t>
  </si>
  <si>
    <t>Mexico</t>
  </si>
  <si>
    <t>Bulgaria</t>
  </si>
  <si>
    <t>Brunei</t>
  </si>
  <si>
    <t>Turkey</t>
  </si>
  <si>
    <t>Colombia</t>
  </si>
  <si>
    <t>Albania</t>
  </si>
  <si>
    <t>Palestine</t>
  </si>
  <si>
    <t>Ecuador</t>
  </si>
  <si>
    <t>Morocco</t>
  </si>
  <si>
    <t>Costa Rica</t>
  </si>
  <si>
    <t>Georgia</t>
  </si>
  <si>
    <t>Hungary</t>
  </si>
  <si>
    <t>Cyprus</t>
  </si>
  <si>
    <t>Latvia</t>
  </si>
  <si>
    <t>Armenia</t>
  </si>
  <si>
    <t>Jordan</t>
  </si>
  <si>
    <t>Belarus</t>
  </si>
  <si>
    <t>Senegal</t>
  </si>
  <si>
    <t>Azerbaijan</t>
  </si>
  <si>
    <t>Oman</t>
  </si>
  <si>
    <t>Bosnia</t>
  </si>
  <si>
    <t>Moldova</t>
  </si>
  <si>
    <t>Afghanistan</t>
  </si>
  <si>
    <t>Malta</t>
  </si>
  <si>
    <t>Tunisia</t>
  </si>
  <si>
    <t>North Macedonia</t>
  </si>
  <si>
    <t>Sri Lanka</t>
  </si>
  <si>
    <t>Venezuela</t>
  </si>
  <si>
    <t>Lithuania</t>
  </si>
  <si>
    <t>Jamaica</t>
  </si>
  <si>
    <t>Andorra</t>
  </si>
  <si>
    <t>Maldives</t>
  </si>
  <si>
    <t>Cambodia</t>
  </si>
  <si>
    <t>Dominican Republic</t>
  </si>
  <si>
    <t>Macau</t>
  </si>
  <si>
    <t>Bolivia</t>
  </si>
  <si>
    <t>New Zealand</t>
  </si>
  <si>
    <t>Kazakhstan</t>
  </si>
  <si>
    <t>Paraguay</t>
  </si>
  <si>
    <t>Bangladesh</t>
  </si>
  <si>
    <t>Liechtenstein</t>
  </si>
  <si>
    <t>-</t>
  </si>
  <si>
    <t>Burkina Faso</t>
  </si>
  <si>
    <t>Rwanda</t>
  </si>
  <si>
    <t>Ghana</t>
  </si>
  <si>
    <t>Uzbekistan</t>
  </si>
  <si>
    <t>Honduras</t>
  </si>
  <si>
    <t>Guatemala</t>
  </si>
  <si>
    <t>Cameroon</t>
  </si>
  <si>
    <t>Ivory Coast</t>
  </si>
  <si>
    <t>Ethiopia</t>
  </si>
  <si>
    <t>Ukraine</t>
  </si>
  <si>
    <t>Seychelles</t>
  </si>
  <si>
    <t>DR Congo</t>
  </si>
  <si>
    <t>Gibraltar</t>
  </si>
  <si>
    <t>Kenya</t>
  </si>
  <si>
    <t>Nigeria</t>
  </si>
  <si>
    <t>Monaco</t>
  </si>
  <si>
    <t>Namibia</t>
  </si>
  <si>
    <t>Bahamas</t>
  </si>
  <si>
    <t>Liberia</t>
  </si>
  <si>
    <t>Eswatini</t>
  </si>
  <si>
    <t>Equatorial Guinea</t>
  </si>
  <si>
    <t>Gabon</t>
  </si>
  <si>
    <t>Congo Republic</t>
  </si>
  <si>
    <t>Sudan</t>
  </si>
  <si>
    <t>Mauritania</t>
  </si>
  <si>
    <t>Central African Republic</t>
  </si>
  <si>
    <t>Guinea</t>
  </si>
  <si>
    <t>Togo</t>
  </si>
  <si>
    <t>Nepal</t>
  </si>
  <si>
    <t>Bhutan</t>
  </si>
  <si>
    <t>Vatican City</t>
  </si>
  <si>
    <t>Queue</t>
  </si>
  <si>
    <t>TOTAL</t>
  </si>
  <si>
    <t>Washington</t>
  </si>
  <si>
    <t>California</t>
  </si>
  <si>
    <t>Massachusetts</t>
  </si>
  <si>
    <t>MAINLAND CHINA</t>
  </si>
  <si>
    <t>Hubei province (includes Wuhan)</t>
  </si>
  <si>
    <t>New Jersey</t>
  </si>
  <si>
    <t>Guangdong province</t>
  </si>
  <si>
    <t>Colorado</t>
  </si>
  <si>
    <t>Henan province</t>
  </si>
  <si>
    <t>Zhejiang province</t>
  </si>
  <si>
    <t>Florida</t>
  </si>
  <si>
    <t>Hunan province</t>
  </si>
  <si>
    <t>Beijing</t>
  </si>
  <si>
    <t>Shanghai</t>
  </si>
  <si>
    <t>Other regions</t>
  </si>
  <si>
    <t>Dozens</t>
  </si>
  <si>
    <t>Louisiana</t>
  </si>
  <si>
    <t>Illinois</t>
  </si>
  <si>
    <t>Pennsylvania</t>
  </si>
  <si>
    <t>Texas</t>
  </si>
  <si>
    <t>Minnesota</t>
  </si>
  <si>
    <t>Michigan</t>
  </si>
  <si>
    <t>Tennessee</t>
  </si>
  <si>
    <t>Virginia</t>
  </si>
  <si>
    <t>Ohio</t>
  </si>
  <si>
    <t>CANADA</t>
  </si>
  <si>
    <t>Ontario</t>
  </si>
  <si>
    <t>Oregon</t>
  </si>
  <si>
    <t>British Columbia</t>
  </si>
  <si>
    <t>Alberta</t>
  </si>
  <si>
    <t>Wisconsin</t>
  </si>
  <si>
    <t>Quebec</t>
  </si>
  <si>
    <t>Manitoba</t>
  </si>
  <si>
    <t>New Brunswick</t>
  </si>
  <si>
    <t>Nevada</t>
  </si>
  <si>
    <t>Saskatchewan</t>
  </si>
  <si>
    <t>Nova Scotia</t>
  </si>
  <si>
    <t>Connecticut</t>
  </si>
  <si>
    <t>Prince Edward Island</t>
  </si>
  <si>
    <t>Newfoundland &amp; Labrador</t>
  </si>
  <si>
    <t>Utah</t>
  </si>
  <si>
    <t>Northwest Territories</t>
  </si>
  <si>
    <t>Nunavut</t>
  </si>
  <si>
    <t>Maryland</t>
  </si>
  <si>
    <t>Yukon</t>
  </si>
  <si>
    <t>South Carolina</t>
  </si>
  <si>
    <t>North Carolina</t>
  </si>
  <si>
    <t>Alabama</t>
  </si>
  <si>
    <t>Indiana</t>
  </si>
  <si>
    <t>Iowa</t>
  </si>
  <si>
    <t>Kentucky</t>
  </si>
  <si>
    <t>AUSTRALIA</t>
  </si>
  <si>
    <t>Arkansas</t>
  </si>
  <si>
    <t>New South Wales</t>
  </si>
  <si>
    <t>Grand Princess</t>
  </si>
  <si>
    <t>Victoria</t>
  </si>
  <si>
    <t>Rhode Island</t>
  </si>
  <si>
    <t>Queensland</t>
  </si>
  <si>
    <t>South Australia</t>
  </si>
  <si>
    <t>New Mexico</t>
  </si>
  <si>
    <t>Western Australia</t>
  </si>
  <si>
    <t>Tasmania</t>
  </si>
  <si>
    <t>Nebraska</t>
  </si>
  <si>
    <t>Northern Territory</t>
  </si>
  <si>
    <t>Canberra (ACT)</t>
  </si>
  <si>
    <t>Arizona</t>
  </si>
  <si>
    <t>External territories</t>
  </si>
  <si>
    <t>Jervis Bay Territory</t>
  </si>
  <si>
    <t>TBD</t>
  </si>
  <si>
    <t>Maine</t>
  </si>
  <si>
    <t>District of Columbia</t>
  </si>
  <si>
    <t>New Hampshire</t>
  </si>
  <si>
    <t>Mississippi</t>
  </si>
  <si>
    <t>Vermont</t>
  </si>
  <si>
    <t>Última actualización: 11 de Marzo de 2020 a las 7:40 p.m. (hora del centro)</t>
  </si>
  <si>
    <t>CASOS</t>
  </si>
  <si>
    <t>MUERTES</t>
  </si>
  <si>
    <t>RECUPERADOS</t>
  </si>
  <si>
    <t>South Dakota</t>
  </si>
  <si>
    <t>Mundo Hispano</t>
  </si>
  <si>
    <t>Casos</t>
  </si>
  <si>
    <t>Muertes</t>
  </si>
  <si>
    <t>Serios</t>
  </si>
  <si>
    <t>Criticos</t>
  </si>
  <si>
    <t>Recuperados</t>
  </si>
  <si>
    <t>Fuente</t>
  </si>
  <si>
    <t>España</t>
  </si>
  <si>
    <t>Oklahoma</t>
  </si>
  <si>
    <t>Brasil</t>
  </si>
  <si>
    <t>Hawaii</t>
  </si>
  <si>
    <t>Kansas</t>
  </si>
  <si>
    <t>Panamá</t>
  </si>
  <si>
    <t>Delaware</t>
  </si>
  <si>
    <t>México</t>
  </si>
  <si>
    <t>Montana</t>
  </si>
  <si>
    <t>Rep. Dominicana</t>
  </si>
  <si>
    <t>Missouri</t>
  </si>
  <si>
    <t>Cuba</t>
  </si>
  <si>
    <t>Puerto Rico</t>
  </si>
  <si>
    <t>Idaho</t>
  </si>
  <si>
    <t>Wuhan</t>
  </si>
  <si>
    <t>Guam</t>
  </si>
  <si>
    <t>Wyoming</t>
  </si>
  <si>
    <t>Alaska</t>
  </si>
  <si>
    <t>U.S. Virgin Islands</t>
  </si>
  <si>
    <t>North Dakota</t>
  </si>
  <si>
    <t>West Virginia</t>
  </si>
  <si>
    <t>American Samoa</t>
  </si>
  <si>
    <t>Northern Mariana Islands</t>
  </si>
  <si>
    <t>Uruguay</t>
  </si>
  <si>
    <t>U.S.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</si>
</sst>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7">
    <font>
      <sz val="10.0"/>
      <color rgb="FF000000"/>
      <name val="Arial"/>
    </font>
    <font>
      <b/>
      <i/>
      <sz val="12.0"/>
      <color rgb="FF000000"/>
      <name val="Roboto"/>
    </font>
    <font>
      <color theme="1"/>
      <name val="Arial"/>
    </font>
    <font>
      <b/>
      <sz val="13.0"/>
      <color rgb="FF000000"/>
      <name val="Roboto"/>
    </font>
    <font>
      <b/>
      <i/>
      <sz val="11.0"/>
      <color rgb="FF000000"/>
      <name val="Arial"/>
    </font>
    <font>
      <sz val="11.0"/>
      <color theme="1"/>
      <name val="Arial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FF0000"/>
      <name val="Roboto"/>
    </font>
    <font>
      <sz val="11.0"/>
      <color rgb="FF000000"/>
      <name val="Roboto"/>
    </font>
    <font>
      <b/>
      <sz val="13.0"/>
      <color rgb="FF6AA84F"/>
      <name val="Roboto"/>
    </font>
    <font>
      <b/>
      <sz val="13.0"/>
      <color rgb="FFE69138"/>
      <name val="Roboto"/>
    </font>
    <font>
      <u/>
      <sz val="11.0"/>
      <color rgb="FF0A0A0A"/>
      <name val="Roboto"/>
    </font>
    <font>
      <sz val="11.0"/>
      <color rgb="FFFFFFFF"/>
      <name val="Roboto"/>
    </font>
    <font>
      <b/>
      <sz val="11.0"/>
      <color rgb="FFFF0000"/>
      <name val="Arial"/>
    </font>
    <font>
      <u/>
      <sz val="11.0"/>
      <color rgb="FF0A0A0A"/>
      <name val="Roboto"/>
    </font>
    <font>
      <b/>
      <sz val="11.0"/>
      <color rgb="FFFF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0A0A0A"/>
      <name val="Roboto"/>
    </font>
    <font>
      <b/>
      <sz val="11.0"/>
      <color theme="1"/>
      <name val="Arial"/>
    </font>
    <font>
      <sz val="11.0"/>
      <color rgb="FF999999"/>
      <name val="Arial"/>
    </font>
    <font>
      <b/>
      <i/>
      <sz val="11.0"/>
      <color rgb="FF000000"/>
      <name val="Roboto"/>
    </font>
    <font>
      <sz val="11.0"/>
      <color rgb="FF000000"/>
      <name val="Arial"/>
    </font>
    <font>
      <sz val="11.0"/>
      <color rgb="FFFFFFFF"/>
      <name val="Arial"/>
    </font>
    <font>
      <b/>
      <sz val="11.0"/>
      <color rgb="FF38761D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</fills>
  <borders count="3">
    <border/>
    <border>
      <right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top"/>
    </xf>
    <xf borderId="0" fillId="0" fontId="5" numFmtId="0" xfId="0" applyFont="1"/>
    <xf borderId="0" fillId="0" fontId="6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9" numFmtId="3" xfId="0" applyAlignment="1" applyFont="1" applyNumberFormat="1">
      <alignment readingOrder="0" vertical="bottom"/>
    </xf>
    <xf borderId="0" fillId="2" fontId="8" numFmtId="0" xfId="0" applyAlignment="1" applyFill="1" applyFont="1">
      <alignment readingOrder="0"/>
    </xf>
    <xf borderId="0" fillId="0" fontId="6" numFmtId="0" xfId="0" applyAlignment="1" applyFont="1">
      <alignment readingOrder="0" vertical="bottom"/>
    </xf>
    <xf borderId="0" fillId="2" fontId="8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3" fontId="10" numFmtId="0" xfId="0" applyAlignment="1" applyFill="1" applyFont="1">
      <alignment readingOrder="0"/>
    </xf>
    <xf borderId="0" fillId="3" fontId="10" numFmtId="3" xfId="0" applyAlignment="1" applyFont="1" applyNumberFormat="1">
      <alignment horizontal="center" readingOrder="0"/>
    </xf>
    <xf borderId="0" fillId="0" fontId="9" numFmtId="3" xfId="0" applyAlignment="1" applyFont="1" applyNumberFormat="1">
      <alignment horizontal="left" vertical="bottom"/>
    </xf>
    <xf borderId="0" fillId="4" fontId="10" numFmtId="0" xfId="0" applyAlignment="1" applyFill="1" applyFont="1">
      <alignment readingOrder="0"/>
    </xf>
    <xf borderId="0" fillId="4" fontId="10" numFmtId="3" xfId="0" applyAlignment="1" applyFont="1" applyNumberFormat="1">
      <alignment horizontal="center" readingOrder="0"/>
    </xf>
    <xf borderId="0" fillId="0" fontId="11" numFmtId="3" xfId="0" applyAlignment="1" applyFont="1" applyNumberFormat="1">
      <alignment horizontal="left" vertical="bottom"/>
    </xf>
    <xf borderId="0" fillId="3" fontId="10" numFmtId="0" xfId="0" applyAlignment="1" applyFont="1">
      <alignment horizontal="center" readingOrder="0"/>
    </xf>
    <xf borderId="0" fillId="4" fontId="10" numFmtId="0" xfId="0" applyAlignment="1" applyFont="1">
      <alignment horizontal="center" readingOrder="0"/>
    </xf>
    <xf borderId="0" fillId="0" fontId="12" numFmtId="3" xfId="0" applyAlignment="1" applyFont="1" applyNumberFormat="1">
      <alignment horizontal="left" vertical="bottom"/>
    </xf>
    <xf borderId="0" fillId="0" fontId="8" numFmtId="0" xfId="0" applyAlignment="1" applyFont="1">
      <alignment horizontal="left" readingOrder="0"/>
    </xf>
    <xf borderId="0" fillId="2" fontId="8" numFmtId="0" xfId="0" applyAlignment="1" applyFont="1">
      <alignment horizontal="left" readingOrder="0" shrinkToFit="0" vertical="center" wrapText="1"/>
    </xf>
    <xf borderId="0" fillId="3" fontId="5" numFmtId="0" xfId="0" applyFont="1"/>
    <xf borderId="0" fillId="2" fontId="8" numFmtId="0" xfId="0" applyAlignment="1" applyFont="1">
      <alignment horizontal="center"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2" fillId="0" fontId="8" numFmtId="0" xfId="0" applyAlignment="1" applyBorder="1" applyFont="1">
      <alignment horizontal="left" readingOrder="0" vertical="center"/>
    </xf>
    <xf borderId="2" fillId="0" fontId="8" numFmtId="0" xfId="0" applyAlignment="1" applyBorder="1" applyFont="1">
      <alignment horizontal="center" readingOrder="0" vertical="center"/>
    </xf>
    <xf borderId="0" fillId="3" fontId="5" numFmtId="0" xfId="0" applyAlignment="1" applyFont="1">
      <alignment vertical="center"/>
    </xf>
    <xf borderId="2" fillId="0" fontId="7" numFmtId="0" xfId="0" applyAlignment="1" applyBorder="1" applyFont="1">
      <alignment horizontal="center" readingOrder="0" vertical="center"/>
    </xf>
    <xf borderId="0" fillId="3" fontId="5" numFmtId="0" xfId="0" applyAlignment="1" applyFont="1">
      <alignment readingOrder="0" vertical="center"/>
    </xf>
    <xf borderId="2" fillId="0" fontId="7" numFmtId="0" xfId="0" applyAlignment="1" applyBorder="1" applyFont="1">
      <alignment horizontal="left" readingOrder="0" vertical="center"/>
    </xf>
    <xf borderId="0" fillId="0" fontId="5" numFmtId="0" xfId="0" applyAlignment="1" applyFont="1">
      <alignment vertical="center"/>
    </xf>
    <xf borderId="2" fillId="0" fontId="10" numFmtId="0" xfId="0" applyAlignment="1" applyBorder="1" applyFont="1">
      <alignment horizontal="left" readingOrder="0" vertical="center"/>
    </xf>
    <xf borderId="2" fillId="0" fontId="10" numFmtId="3" xfId="0" applyAlignment="1" applyBorder="1" applyFont="1" applyNumberFormat="1">
      <alignment horizontal="center" readingOrder="0" vertical="center"/>
    </xf>
    <xf borderId="0" fillId="4" fontId="10" numFmtId="0" xfId="0" applyAlignment="1" applyFont="1">
      <alignment horizontal="left" readingOrder="0" shrinkToFit="0" vertical="center" wrapText="1"/>
    </xf>
    <xf borderId="2" fillId="0" fontId="5" numFmtId="3" xfId="0" applyAlignment="1" applyBorder="1" applyFont="1" applyNumberFormat="1">
      <alignment horizontal="center" readingOrder="0" vertical="center"/>
    </xf>
    <xf borderId="0" fillId="4" fontId="10" numFmtId="0" xfId="0" applyAlignment="1" applyFont="1">
      <alignment horizontal="center"/>
    </xf>
    <xf borderId="2" fillId="0" fontId="5" numFmtId="0" xfId="0" applyAlignment="1" applyBorder="1" applyFont="1">
      <alignment horizontal="center" readingOrder="0" vertical="center"/>
    </xf>
    <xf borderId="0" fillId="4" fontId="10" numFmtId="3" xfId="0" applyAlignment="1" applyFont="1" applyNumberFormat="1">
      <alignment horizontal="center" readingOrder="0" shrinkToFit="0" vertical="center" wrapText="1"/>
    </xf>
    <xf borderId="0" fillId="4" fontId="10" numFmtId="0" xfId="0" applyAlignment="1" applyFont="1">
      <alignment horizontal="center" readingOrder="0" shrinkToFit="0" vertical="center" wrapText="1"/>
    </xf>
    <xf borderId="2" fillId="0" fontId="13" numFmtId="0" xfId="0" applyAlignment="1" applyBorder="1" applyFont="1">
      <alignment horizontal="center" readingOrder="0" vertical="center"/>
    </xf>
    <xf borderId="0" fillId="3" fontId="14" numFmtId="0" xfId="0" applyAlignment="1" applyFont="1">
      <alignment readingOrder="0"/>
    </xf>
    <xf borderId="0" fillId="3" fontId="14" numFmtId="0" xfId="0" applyAlignment="1" applyFont="1">
      <alignment horizontal="center" readingOrder="0"/>
    </xf>
    <xf borderId="0" fillId="4" fontId="5" numFmtId="0" xfId="0" applyAlignment="1" applyFont="1">
      <alignment horizontal="center" readingOrder="0" shrinkToFit="0" vertical="center" wrapText="1"/>
    </xf>
    <xf borderId="0" fillId="3" fontId="14" numFmtId="0" xfId="0" applyAlignment="1" applyFont="1">
      <alignment horizontal="center"/>
    </xf>
    <xf borderId="0" fillId="4" fontId="8" numFmtId="0" xfId="0" applyAlignment="1" applyFont="1">
      <alignment readingOrder="0"/>
    </xf>
    <xf borderId="0" fillId="4" fontId="15" numFmtId="3" xfId="0" applyAlignment="1" applyFont="1" applyNumberFormat="1">
      <alignment horizontal="center" readingOrder="0"/>
    </xf>
    <xf borderId="0" fillId="4" fontId="16" numFmtId="0" xfId="0" applyAlignment="1" applyFont="1">
      <alignment horizontal="center" readingOrder="0" shrinkToFit="0" vertical="center" wrapText="1"/>
    </xf>
    <xf borderId="0" fillId="4" fontId="17" numFmtId="3" xfId="0" applyAlignment="1" applyFont="1" applyNumberFormat="1">
      <alignment horizontal="center" readingOrder="0"/>
    </xf>
    <xf borderId="2" fillId="0" fontId="10" numFmtId="0" xfId="0" applyAlignment="1" applyBorder="1" applyFont="1">
      <alignment horizontal="center" readingOrder="0" vertical="center"/>
    </xf>
    <xf borderId="0" fillId="2" fontId="10" numFmtId="0" xfId="0" applyAlignment="1" applyFont="1">
      <alignment horizontal="left" readingOrder="0" shrinkToFit="0" vertical="center" wrapText="1"/>
    </xf>
    <xf borderId="0" fillId="3" fontId="2" numFmtId="0" xfId="0" applyFont="1"/>
    <xf borderId="0" fillId="2" fontId="10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2" fontId="18" numFmtId="0" xfId="0" applyAlignment="1" applyFont="1">
      <alignment horizontal="center" readingOrder="0" shrinkToFit="0" vertical="center" wrapText="1"/>
    </xf>
    <xf borderId="0" fillId="5" fontId="5" numFmtId="0" xfId="0" applyAlignment="1" applyFill="1" applyFont="1">
      <alignment vertical="center"/>
    </xf>
    <xf borderId="0" fillId="0" fontId="10" numFmtId="0" xfId="0" applyAlignment="1" applyFont="1">
      <alignment horizontal="left" readingOrder="0" shrinkToFit="0" vertical="center" wrapText="1"/>
    </xf>
    <xf borderId="0" fillId="0" fontId="10" numFmtId="3" xfId="0" applyAlignment="1" applyFont="1" applyNumberForma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left" readingOrder="0" vertical="center"/>
    </xf>
    <xf borderId="0" fillId="2" fontId="10" numFmtId="3" xfId="0" applyAlignment="1" applyFont="1" applyNumberFormat="1">
      <alignment horizontal="center" readingOrder="0" shrinkToFit="0" vertical="center" wrapText="1"/>
    </xf>
    <xf borderId="2" fillId="0" fontId="20" numFmtId="0" xfId="0" applyAlignment="1" applyBorder="1" applyFont="1">
      <alignment horizontal="center" readingOrder="0" vertical="center"/>
    </xf>
    <xf borderId="0" fillId="3" fontId="5" numFmtId="0" xfId="0" applyAlignment="1" applyFont="1">
      <alignment vertical="center"/>
    </xf>
    <xf borderId="0" fillId="0" fontId="5" numFmtId="3" xfId="0" applyAlignment="1" applyFont="1" applyNumberFormat="1">
      <alignment horizontal="center" readingOrder="0" shrinkToFit="0" vertical="center" wrapText="1"/>
    </xf>
    <xf borderId="0" fillId="4" fontId="5" numFmtId="3" xfId="0" applyAlignment="1" applyFont="1" applyNumberFormat="1">
      <alignment horizontal="center" readingOrder="0" shrinkToFit="0" vertical="center" wrapText="1"/>
    </xf>
    <xf borderId="0" fillId="0" fontId="21" numFmtId="0" xfId="0" applyAlignment="1" applyFont="1">
      <alignment readingOrder="0" vertical="center"/>
    </xf>
    <xf borderId="0" fillId="0" fontId="5" numFmtId="0" xfId="0" applyAlignment="1" applyFont="1">
      <alignment horizontal="center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3" fontId="22" numFmtId="0" xfId="0" applyAlignment="1" applyFont="1">
      <alignment vertical="center"/>
    </xf>
    <xf borderId="0" fillId="0" fontId="8" numFmtId="0" xfId="0" applyAlignment="1" applyFont="1">
      <alignment horizontal="left" readingOrder="0" shrinkToFit="0" vertical="center" wrapText="1"/>
    </xf>
    <xf borderId="0" fillId="0" fontId="17" numFmtId="3" xfId="0" applyAlignment="1" applyFont="1" applyNumberFormat="1">
      <alignment horizontal="center"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0" fontId="23" numFmtId="0" xfId="0" applyAlignment="1" applyFont="1">
      <alignment vertical="bottom"/>
    </xf>
    <xf borderId="0" fillId="0" fontId="8" numFmtId="164" xfId="0" applyAlignment="1" applyFont="1" applyNumberFormat="1">
      <alignment horizontal="center" vertical="bottom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2" fillId="0" fontId="5" numFmtId="0" xfId="0" applyAlignment="1" applyBorder="1" applyFont="1">
      <alignment horizontal="center" vertical="center"/>
    </xf>
    <xf borderId="0" fillId="5" fontId="22" numFmtId="0" xfId="0" applyAlignment="1" applyFont="1">
      <alignment vertical="center"/>
    </xf>
    <xf borderId="0" fillId="3" fontId="24" numFmtId="0" xfId="0" applyAlignment="1" applyFont="1">
      <alignment vertical="center"/>
    </xf>
    <xf borderId="0" fillId="3" fontId="25" numFmtId="0" xfId="0" applyAlignment="1" applyFont="1">
      <alignment vertical="center"/>
    </xf>
    <xf borderId="0" fillId="5" fontId="25" numFmtId="0" xfId="0" applyAlignment="1" applyFont="1">
      <alignment vertical="center"/>
    </xf>
    <xf borderId="0" fillId="4" fontId="5" numFmtId="0" xfId="0" applyAlignment="1" applyFont="1">
      <alignment horizontal="center" shrinkToFit="0" vertical="center" wrapText="1"/>
    </xf>
    <xf borderId="0" fillId="2" fontId="20" numFmtId="0" xfId="0" applyAlignment="1" applyFont="1">
      <alignment horizontal="center" readingOrder="0" shrinkToFit="0" vertical="center" wrapText="1"/>
    </xf>
    <xf borderId="0" fillId="2" fontId="20" numFmtId="0" xfId="0" applyAlignment="1" applyFont="1">
      <alignment horizontal="center" readingOrder="0" shrinkToFit="0" vertical="center" wrapText="1"/>
    </xf>
    <xf borderId="0" fillId="3" fontId="14" numFmtId="0" xfId="0" applyAlignment="1" applyFont="1">
      <alignment horizontal="left" readingOrder="0" shrinkToFit="0" vertical="center" wrapText="1"/>
    </xf>
    <xf borderId="0" fillId="3" fontId="14" numFmtId="3" xfId="0" applyAlignment="1" applyFont="1" applyNumberFormat="1">
      <alignment horizontal="center" readingOrder="0" shrinkToFit="0" vertical="center" wrapText="1"/>
    </xf>
    <xf borderId="0" fillId="3" fontId="14" numFmtId="0" xfId="0" applyAlignment="1" applyFont="1">
      <alignment horizontal="center" readingOrder="0" shrinkToFit="0" vertical="center" wrapText="1"/>
    </xf>
    <xf borderId="0" fillId="3" fontId="25" numFmtId="0" xfId="0" applyAlignment="1" applyFont="1">
      <alignment horizontal="center" readingOrder="0" shrinkToFit="0" vertical="center" wrapText="1"/>
    </xf>
    <xf borderId="0" fillId="3" fontId="25" numFmtId="0" xfId="0" applyAlignment="1" applyFont="1">
      <alignment horizontal="center" shrinkToFit="0" vertical="center" wrapText="1"/>
    </xf>
    <xf borderId="0" fillId="3" fontId="14" numFmtId="0" xfId="0" applyAlignment="1" applyFont="1">
      <alignment horizontal="center" readingOrder="0" shrinkToFit="0" vertical="center" wrapText="1"/>
    </xf>
    <xf borderId="2" fillId="0" fontId="20" numFmtId="0" xfId="0" applyAlignment="1" applyBorder="1" applyFont="1">
      <alignment horizontal="center" readingOrder="0" vertical="center"/>
    </xf>
    <xf borderId="0" fillId="3" fontId="14" numFmtId="0" xfId="0" applyAlignment="1" applyFont="1">
      <alignment horizontal="left" readingOrder="0" vertical="center"/>
    </xf>
    <xf borderId="0" fillId="3" fontId="14" numFmtId="0" xfId="0" applyAlignment="1" applyFont="1">
      <alignment horizontal="center" readingOrder="0" vertical="center"/>
    </xf>
    <xf borderId="0" fillId="3" fontId="25" numFmtId="0" xfId="0" applyAlignment="1" applyFont="1">
      <alignment horizontal="center" readingOrder="0" vertical="center"/>
    </xf>
    <xf borderId="0" fillId="3" fontId="14" numFmtId="0" xfId="0" applyAlignment="1" applyFont="1">
      <alignment horizontal="center" readingOrder="0" vertical="center"/>
    </xf>
    <xf borderId="0" fillId="0" fontId="8" numFmtId="0" xfId="0" applyAlignment="1" applyFont="1">
      <alignment horizontal="left" readingOrder="0" vertical="center"/>
    </xf>
    <xf borderId="0" fillId="0" fontId="15" numFmtId="3" xfId="0" applyAlignment="1" applyFont="1" applyNumberFormat="1">
      <alignment horizontal="center" vertical="center"/>
    </xf>
    <xf borderId="0" fillId="0" fontId="17" numFmtId="3" xfId="0" applyAlignment="1" applyFont="1" applyNumberFormat="1">
      <alignment horizontal="center" readingOrder="0" vertical="center"/>
    </xf>
    <xf borderId="0" fillId="0" fontId="17" numFmtId="0" xfId="0" applyAlignment="1" applyFont="1">
      <alignment horizontal="center" readingOrder="0" vertical="center"/>
    </xf>
    <xf borderId="0" fillId="0" fontId="26" numFmtId="3" xfId="0" applyAlignment="1" applyFont="1" applyNumberForma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26" numFmtId="0" xfId="0" applyAlignment="1" applyFon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6"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América Latina y España-style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chartsheet" Target="chartsheets/sheet1.xml"/><Relationship Id="rId10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cases per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World!$A$7:$A$142</c:f>
            </c:strRef>
          </c:cat>
          <c:val>
            <c:numRef>
              <c:f>World!$B$7:$B$142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deaths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World!$A$7:$A$142</c:f>
            </c:strRef>
          </c:cat>
          <c:val>
            <c:numRef>
              <c:f>World!$C$7:$C$142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headerRowCount="0" ref="A6:G145" displayName="Table_6" id="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Worl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5:G67" displayName="Table_5" id="5">
  <tableColumns count="7">
    <tableColumn name="UNITED STATES" id="1"/>
    <tableColumn name="Cases" id="2"/>
    <tableColumn name="Deaths" id="3"/>
    <tableColumn name="Serious" id="4"/>
    <tableColumn name="Critical" id="5"/>
    <tableColumn name="Recovered" id="6"/>
    <tableColumn name="Links" id="7"/>
  </tableColumns>
  <tableStyleInfo name="USA-style" showColumnStripes="0" showFirstColumn="1" showLastColumn="1" showRowStripes="1"/>
</table>
</file>

<file path=xl/tables/table3.xml><?xml version="1.0" encoding="utf-8"?>
<table xmlns="http://schemas.openxmlformats.org/spreadsheetml/2006/main" headerRowCount="0" ref="A5:G15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5:G19" display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anad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5:G18" displayName="Table_3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Australi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5:G21" displayName="Table_4" id="4">
  <tableColumns count="7">
    <tableColumn name="Mundo Hispano" id="1"/>
    <tableColumn name="Casos" id="2"/>
    <tableColumn name="Muertes" id="3"/>
    <tableColumn name="Serios" id="4"/>
    <tableColumn name="Criticos" id="5"/>
    <tableColumn name="Recuperados" id="6"/>
    <tableColumn name="Fuente" id="7"/>
  </tableColumns>
  <tableStyleInfo name="América Latina y Españ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0"/>
    <col customWidth="1" min="2" max="2" width="9.43"/>
    <col customWidth="1" min="3" max="3" width="8.43"/>
    <col customWidth="1" min="4" max="4" width="9.71"/>
    <col customWidth="1" min="5" max="5" width="8.71"/>
    <col customWidth="1" min="6" max="6" width="12.0"/>
    <col customWidth="1" min="7" max="7" width="11.29"/>
    <col customWidth="1" min="8" max="8" width="0.71"/>
  </cols>
  <sheetData>
    <row r="1">
      <c r="A1" s="4" t="s">
        <v>1</v>
      </c>
      <c r="B1" s="5"/>
      <c r="C1" s="5"/>
      <c r="D1" s="8"/>
      <c r="E1" s="8"/>
      <c r="F1" s="9"/>
      <c r="G1" s="10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>
      <c r="A2" s="5"/>
      <c r="B2" s="5"/>
      <c r="C2" s="5"/>
      <c r="D2" s="8"/>
      <c r="E2" s="8"/>
      <c r="F2" s="9"/>
      <c r="G2" s="10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>
      <c r="A3" s="5" t="s">
        <v>2</v>
      </c>
      <c r="B3" s="5" t="s">
        <v>3</v>
      </c>
      <c r="D3" s="8" t="s">
        <v>4</v>
      </c>
      <c r="F3" s="13" t="s">
        <v>6</v>
      </c>
      <c r="H3" s="8"/>
      <c r="I3" s="15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>
      <c r="A4" s="18">
        <f t="shared" ref="A4:B4" si="1">SUM(B144, B145)</f>
        <v>182250</v>
      </c>
      <c r="B4" s="18">
        <f t="shared" si="1"/>
        <v>7125</v>
      </c>
      <c r="D4" s="21">
        <f>SUM(F144, F145)</f>
        <v>78204</v>
      </c>
      <c r="F4" s="24">
        <f>MINUS(A4,B4+D4)</f>
        <v>96921</v>
      </c>
      <c r="H4" s="21"/>
      <c r="I4" s="15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25"/>
      <c r="B5" s="10"/>
      <c r="C5" s="10"/>
      <c r="D5" s="9"/>
      <c r="E5" s="9"/>
      <c r="F5" s="9"/>
      <c r="G5" s="10"/>
      <c r="H5" s="27"/>
      <c r="I5" s="2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ht="30.0" customHeight="1">
      <c r="A6" s="30" t="s">
        <v>5</v>
      </c>
      <c r="B6" s="31" t="s">
        <v>7</v>
      </c>
      <c r="C6" s="31" t="s">
        <v>8</v>
      </c>
      <c r="D6" s="33" t="s">
        <v>31</v>
      </c>
      <c r="E6" s="35" t="s">
        <v>34</v>
      </c>
      <c r="F6" s="35" t="s">
        <v>35</v>
      </c>
      <c r="G6" s="31"/>
      <c r="H6" s="32"/>
      <c r="I6" s="32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 ht="30.0" customHeight="1">
      <c r="A7" s="37" t="s">
        <v>9</v>
      </c>
      <c r="B7" s="38">
        <v>80860.0</v>
      </c>
      <c r="C7" s="38">
        <v>3213.0</v>
      </c>
      <c r="D7" s="40">
        <v>3032.0</v>
      </c>
      <c r="E7" s="42" t="s">
        <v>118</v>
      </c>
      <c r="F7" s="40">
        <v>67490.0</v>
      </c>
      <c r="G7" s="45" t="str">
        <f>HYPERLINK("http://www.nhc.gov.cn/yjb/s7860/202003/114113d25c1d47aabe68381e836f06a8.shtml","Source")</f>
        <v>Source</v>
      </c>
      <c r="H7" s="32"/>
      <c r="I7" s="32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8" ht="30.0" customHeight="1">
      <c r="A8" s="37" t="s">
        <v>10</v>
      </c>
      <c r="B8" s="38">
        <v>27980.0</v>
      </c>
      <c r="C8" s="38">
        <v>2158.0</v>
      </c>
      <c r="D8" s="40">
        <v>1851.0</v>
      </c>
      <c r="E8" s="42" t="s">
        <v>118</v>
      </c>
      <c r="F8" s="40">
        <v>2749.0</v>
      </c>
      <c r="G8" s="45" t="str">
        <f>HYPERLINK("https://pbs.twimg.com/media/ETPyUerWsAMA7AL?format=jpg&amp;name=large","Source")</f>
        <v>Source</v>
      </c>
      <c r="H8" s="32"/>
      <c r="I8" s="32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</row>
    <row r="9" ht="30.0" customHeight="1">
      <c r="A9" s="37" t="s">
        <v>11</v>
      </c>
      <c r="B9" s="38">
        <v>14991.0</v>
      </c>
      <c r="C9" s="54">
        <v>853.0</v>
      </c>
      <c r="D9" s="42" t="s">
        <v>118</v>
      </c>
      <c r="E9" s="42" t="s">
        <v>118</v>
      </c>
      <c r="F9" s="40">
        <v>4996.0</v>
      </c>
      <c r="G9" s="45" t="str">
        <f>HYPERLINK("https://twitter.com/AbasAslani/status/1239502588543893504","Source")</f>
        <v>Source</v>
      </c>
      <c r="H9" s="32"/>
      <c r="I9" s="32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</row>
    <row r="10" ht="30.0" customHeight="1">
      <c r="A10" s="37" t="s">
        <v>12</v>
      </c>
      <c r="B10" s="38">
        <v>9942.0</v>
      </c>
      <c r="C10" s="54">
        <v>342.0</v>
      </c>
      <c r="D10" s="42">
        <v>432.0</v>
      </c>
      <c r="E10" s="42" t="s">
        <v>118</v>
      </c>
      <c r="F10" s="42">
        <v>530.0</v>
      </c>
      <c r="G10" s="45" t="str">
        <f>HYPERLINK("https://www.rtve.es/noticias/20200314/mapa-del-coronavirus-espana/2004681.shtml","Source")</f>
        <v>Source</v>
      </c>
      <c r="H10" s="32"/>
      <c r="I10" s="32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</row>
    <row r="11" ht="30.0" customHeight="1">
      <c r="A11" s="37" t="s">
        <v>13</v>
      </c>
      <c r="B11" s="38">
        <v>8320.0</v>
      </c>
      <c r="C11" s="54">
        <v>81.0</v>
      </c>
      <c r="D11" s="42" t="s">
        <v>118</v>
      </c>
      <c r="E11" s="42">
        <v>36.0</v>
      </c>
      <c r="F11" s="40">
        <v>1401.0</v>
      </c>
      <c r="G11" s="45" t="str">
        <f>HYPERLINK("http://ncov.mohw.go.kr/tcmBoardView.do?brdId=&amp;brdGubun=&amp;dataGubun=&amp;ncvContSeq=353584&amp;contSeq=353584&amp;board_id=&amp;gubun=ALL","Source")</f>
        <v>Source</v>
      </c>
      <c r="H11" s="61"/>
      <c r="I11" s="32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</row>
    <row r="12" ht="30.0" customHeight="1">
      <c r="A12" s="37" t="s">
        <v>14</v>
      </c>
      <c r="B12" s="38">
        <v>7272.0</v>
      </c>
      <c r="C12" s="54">
        <v>17.0</v>
      </c>
      <c r="D12" s="42" t="s">
        <v>118</v>
      </c>
      <c r="E12" s="42">
        <v>2.0</v>
      </c>
      <c r="F12" s="42">
        <v>60.0</v>
      </c>
      <c r="G12" s="45" t="str">
        <f>HYPERLINK("https://interaktiv.morgenpost.de/corona-virus-karte-infektionen-deutschland-weltweit/?fbclid=IwAR04HlqzakGaNssQzbz4d8o8R3gz0C910U8tvfYlBT6P0lVJJvHfk9uS2rc","Source")</f>
        <v>Source</v>
      </c>
      <c r="H12" s="32"/>
      <c r="I12" s="32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 ht="30.0" customHeight="1">
      <c r="A13" s="37" t="s">
        <v>15</v>
      </c>
      <c r="B13" s="38">
        <v>6653.0</v>
      </c>
      <c r="C13" s="54">
        <v>148.0</v>
      </c>
      <c r="D13" s="42">
        <v>300.0</v>
      </c>
      <c r="E13" s="42" t="s">
        <v>118</v>
      </c>
      <c r="F13" s="42">
        <v>12.0</v>
      </c>
      <c r="G13" s="45" t="str">
        <f>HYPERLINK("https://www.santepubliquefrance.fr/maladies-et-traumatismes/maladies-et-infections-respiratoires/infection-a-coronavirus/articles/infection-au-nouveau-coronavirus-sars-cov-2-covid-19-france-et-monde","Source")</f>
        <v>Source</v>
      </c>
      <c r="H13" s="32"/>
      <c r="I13" s="32"/>
      <c r="J13" s="67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</row>
    <row r="14" ht="30.0" customHeight="1">
      <c r="A14" s="37" t="s">
        <v>16</v>
      </c>
      <c r="B14" s="38">
        <v>4576.0</v>
      </c>
      <c r="C14" s="54">
        <v>87.0</v>
      </c>
      <c r="D14" s="42">
        <v>60.0</v>
      </c>
      <c r="E14" s="42">
        <v>4.0</v>
      </c>
      <c r="F14" s="42">
        <v>9.0</v>
      </c>
      <c r="G14" s="69"/>
      <c r="H14" s="70"/>
      <c r="I14" s="70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</row>
    <row r="15" ht="30.0" customHeight="1">
      <c r="A15" s="37" t="s">
        <v>17</v>
      </c>
      <c r="B15" s="38">
        <v>2200.0</v>
      </c>
      <c r="C15" s="54">
        <v>14.0</v>
      </c>
      <c r="D15" s="42" t="s">
        <v>118</v>
      </c>
      <c r="E15" s="42" t="s">
        <v>118</v>
      </c>
      <c r="F15" s="42">
        <v>4.0</v>
      </c>
      <c r="G15" s="45" t="str">
        <f>HYPERLINK("https://www.24heures.ch/monde/direct-nouveau-cas-coronavirus-suisse/story/24581768","Source")</f>
        <v>Source</v>
      </c>
      <c r="H15" s="32"/>
      <c r="I15" s="32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</row>
    <row r="16" ht="30.0" customHeight="1">
      <c r="A16" s="37" t="s">
        <v>18</v>
      </c>
      <c r="B16" s="38">
        <v>1543.0</v>
      </c>
      <c r="C16" s="54">
        <v>55.0</v>
      </c>
      <c r="D16" s="42">
        <v>20.0</v>
      </c>
      <c r="E16" s="42" t="s">
        <v>118</v>
      </c>
      <c r="F16" s="42">
        <v>18.0</v>
      </c>
      <c r="G16" s="45" t="str">
        <f>HYPERLINK("https://twitter.com/DHSCgovuk/status/1239618973391638532","Source")</f>
        <v>Source</v>
      </c>
      <c r="H16" s="32"/>
      <c r="I16" s="32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</row>
    <row r="17" ht="30.0" customHeight="1">
      <c r="A17" s="37" t="s">
        <v>19</v>
      </c>
      <c r="B17" s="38">
        <v>1413.0</v>
      </c>
      <c r="C17" s="54">
        <v>24.0</v>
      </c>
      <c r="D17" s="42" t="s">
        <v>118</v>
      </c>
      <c r="E17" s="42">
        <v>45.0</v>
      </c>
      <c r="F17" s="42">
        <v>2.0</v>
      </c>
      <c r="G17" s="45" t="str">
        <f>HYPERLINK("https://www.rivm.nl/nieuws/actuele-informatie-over-coronavirus","Source")</f>
        <v>Source</v>
      </c>
      <c r="H17" s="61"/>
      <c r="I17" s="32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</row>
    <row r="18" ht="30.0" customHeight="1">
      <c r="A18" s="37" t="s">
        <v>20</v>
      </c>
      <c r="B18" s="38">
        <v>1256.0</v>
      </c>
      <c r="C18" s="54">
        <v>3.0</v>
      </c>
      <c r="D18" s="42" t="s">
        <v>118</v>
      </c>
      <c r="E18" s="42" t="s">
        <v>118</v>
      </c>
      <c r="F18" s="42" t="s">
        <v>118</v>
      </c>
      <c r="G18" s="45" t="str">
        <f>HYPERLINK("https://www.vg.no/spesial/2020/corona-viruset/?utm_source=vgfront&amp;utm_content=row-1","Source")</f>
        <v>Source</v>
      </c>
      <c r="H18" s="32"/>
      <c r="I18" s="32"/>
      <c r="J18" s="73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</row>
    <row r="19" ht="30.0" customHeight="1">
      <c r="A19" s="37" t="s">
        <v>21</v>
      </c>
      <c r="B19" s="38">
        <v>1085.0</v>
      </c>
      <c r="C19" s="54">
        <v>5.0</v>
      </c>
      <c r="D19" s="42">
        <v>53.0</v>
      </c>
      <c r="E19" s="42" t="s">
        <v>118</v>
      </c>
      <c r="F19" s="42">
        <v>1.0</v>
      </c>
      <c r="G19" s="45" t="str">
        <f>HYPERLINK("https://www.info-coronavirus.be/nl/2020/03/16/172-nieuwe-besmettingen-met-coronavirus-covid-19/","Source")</f>
        <v>Source</v>
      </c>
      <c r="H19" s="32"/>
      <c r="I19" s="32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</row>
    <row r="20" ht="30.0" customHeight="1">
      <c r="A20" s="37" t="s">
        <v>23</v>
      </c>
      <c r="B20" s="38">
        <v>1032.0</v>
      </c>
      <c r="C20" s="54">
        <v>3.0</v>
      </c>
      <c r="D20" s="42" t="s">
        <v>118</v>
      </c>
      <c r="E20" s="42" t="s">
        <v>118</v>
      </c>
      <c r="F20" s="42" t="s">
        <v>118</v>
      </c>
      <c r="G20" s="45" t="str">
        <f>HYPERLINK("https://www.svt.se/datajournalistik/har-sprider-sig-coronaviruset/","Source")</f>
        <v>Source</v>
      </c>
      <c r="H20" s="32"/>
      <c r="I20" s="32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</row>
    <row r="21" ht="30.0" customHeight="1">
      <c r="A21" s="37" t="s">
        <v>24</v>
      </c>
      <c r="B21" s="54">
        <v>959.0</v>
      </c>
      <c r="C21" s="54">
        <v>1.0</v>
      </c>
      <c r="D21" s="42" t="s">
        <v>118</v>
      </c>
      <c r="E21" s="42" t="s">
        <v>118</v>
      </c>
      <c r="F21" s="42">
        <v>6.0</v>
      </c>
      <c r="G21" s="45" t="str">
        <f>HYPERLINK("https://twitter.com/bmsgpk/status/1239464607317704705","Source")</f>
        <v>Source</v>
      </c>
      <c r="H21" s="32"/>
      <c r="I21" s="32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</row>
    <row r="22" ht="30.0" customHeight="1">
      <c r="A22" s="37" t="s">
        <v>25</v>
      </c>
      <c r="B22" s="54">
        <v>932.0</v>
      </c>
      <c r="C22" s="54">
        <v>1.0</v>
      </c>
      <c r="D22" s="42" t="s">
        <v>118</v>
      </c>
      <c r="E22" s="42" t="s">
        <v>118</v>
      </c>
      <c r="F22" s="42" t="s">
        <v>118</v>
      </c>
      <c r="G22" s="45" t="str">
        <f>HYPERLINK("https://politi.dk/coronavirus-i-danmark/foelg-smittespredningen-globalt-regionalt-og-lokalt","Source")</f>
        <v>Source</v>
      </c>
      <c r="H22" s="61"/>
      <c r="I22" s="32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</row>
    <row r="23" ht="30.0" customHeight="1">
      <c r="A23" s="37" t="s">
        <v>26</v>
      </c>
      <c r="B23" s="54">
        <v>818.0</v>
      </c>
      <c r="C23" s="54">
        <v>24.0</v>
      </c>
      <c r="D23" s="42">
        <v>32.0</v>
      </c>
      <c r="E23" s="42" t="s">
        <v>118</v>
      </c>
      <c r="F23" s="42">
        <v>59.0</v>
      </c>
      <c r="G23" s="45" t="str">
        <f>HYPERLINK("https://www3.nhk.or.jp/news/html/20200315/k10012332011000.html?utm_int=all_side_ranking-access_001","Source")</f>
        <v>Source</v>
      </c>
      <c r="H23" s="76"/>
      <c r="I23" s="32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</row>
    <row r="24" ht="30.0" customHeight="1">
      <c r="A24" s="37" t="s">
        <v>27</v>
      </c>
      <c r="B24" s="54">
        <v>697.0</v>
      </c>
      <c r="C24" s="54">
        <v>7.0</v>
      </c>
      <c r="D24" s="42">
        <v>14.0</v>
      </c>
      <c r="E24" s="42" t="s">
        <v>118</v>
      </c>
      <c r="F24" s="42">
        <v>245.0</v>
      </c>
      <c r="G24" s="45" t="str">
        <f>HYPERLINK("https://www.mhlw.go.jp/stf/newpage_10161.html","Source")</f>
        <v>Source</v>
      </c>
      <c r="H24" s="32"/>
      <c r="I24" s="32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</row>
    <row r="25" ht="30.0" customHeight="1">
      <c r="A25" s="37" t="s">
        <v>28</v>
      </c>
      <c r="B25" s="54">
        <v>553.0</v>
      </c>
      <c r="C25" s="54">
        <v>0.0</v>
      </c>
      <c r="D25" s="42">
        <v>5.0</v>
      </c>
      <c r="E25" s="42" t="s">
        <v>118</v>
      </c>
      <c r="F25" s="42">
        <v>42.0</v>
      </c>
      <c r="G25" s="45" t="str">
        <f>HYPERLINK("https://twitter.com/KKMPutrajaya/status/1239482805148463104","Source")</f>
        <v>Source</v>
      </c>
      <c r="H25" s="32"/>
      <c r="I25" s="32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</row>
    <row r="26" ht="30.0" customHeight="1">
      <c r="A26" s="37" t="s">
        <v>29</v>
      </c>
      <c r="B26" s="54">
        <v>401.0</v>
      </c>
      <c r="C26" s="54">
        <v>0.0</v>
      </c>
      <c r="D26" s="42" t="s">
        <v>118</v>
      </c>
      <c r="E26" s="42" t="s">
        <v>118</v>
      </c>
      <c r="F26" s="42">
        <v>4.0</v>
      </c>
      <c r="G26" s="45" t="str">
        <f>HYPERLINK("https://thepeninsulaqatar.com/article/15/03/2020/Ministry-reports-64-new-coronavirus-cases-in-Qatar-total-now-401?__cf_chl_captcha_tk__=38083201df431f3e814435aa18f7cf9a8a43f7ee-1584339466-0-AeC-BuQUJcWlrEeDE0fWFo6iSe6NRnSRjsE4fTrVt0ZKshHR515ZqkRbev9BiQe4C"&amp;"LqYab5smXoVUQRNJXg3syEcakOFSsrcAjsdEfbt6mW5OVeZ3-Zt6RG80fOKNjrQzpj-Mt_Na0N76D-PigB3tGzh3-GZKe11cINKQO54-Qp3JMn9QoStai-7Wk-TAr7L-vr6xs6jrrTrEmNbMtBBJMx3c3qfvjV_KGR5BUyPCA30G9KqrYmEP_BsPKcyEk7ogwV8AjQj6DzIo5-1WdQ6tAvu6Xz1pIvCSrhVPQ5UoeyahL4VllZa7nHjc7WAcj3z"&amp;"_Wk7H9qruKSXS6tZMo5O_lKtQV1H5UuiqU6LyJtPiBg5k6pROHwQtneFYhfYTDD7qOS23fB_59A_nYofNc_Vs4v6vsx8Kd4BHFp2OGHIMa23M65lobhacsHg_VrXozdDS3X-wkEasRLhRj6RAAuKhdR7rJZSN2rAyytKivIlOrkR2o4pOrSM4MdH_Cj8B_UHrw","Source")</f>
        <v>Source</v>
      </c>
      <c r="H26" s="32"/>
      <c r="I26" s="32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</row>
    <row r="27" ht="30.0" customHeight="1">
      <c r="A27" s="37" t="s">
        <v>30</v>
      </c>
      <c r="B27" s="54">
        <v>373.0</v>
      </c>
      <c r="C27" s="54">
        <v>4.0</v>
      </c>
      <c r="D27" s="42" t="s">
        <v>118</v>
      </c>
      <c r="E27" s="42">
        <v>1.0</v>
      </c>
      <c r="F27" s="42">
        <v>11.0</v>
      </c>
      <c r="G27" s="69"/>
      <c r="H27" s="32"/>
      <c r="I27" s="32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</row>
    <row r="28" ht="30.0" customHeight="1">
      <c r="A28" s="37" t="s">
        <v>32</v>
      </c>
      <c r="B28" s="54">
        <v>383.0</v>
      </c>
      <c r="C28" s="54">
        <v>5.0</v>
      </c>
      <c r="D28" s="42" t="s">
        <v>118</v>
      </c>
      <c r="E28" s="42" t="s">
        <v>118</v>
      </c>
      <c r="F28" s="42">
        <v>27.0</v>
      </c>
      <c r="G28" s="69"/>
      <c r="H28" s="32"/>
      <c r="I28" s="32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 ht="30.0" customHeight="1">
      <c r="A29" s="37" t="s">
        <v>33</v>
      </c>
      <c r="B29" s="54">
        <v>331.0</v>
      </c>
      <c r="C29" s="54">
        <v>4.0</v>
      </c>
      <c r="D29" s="42">
        <v>5.0</v>
      </c>
      <c r="E29" s="42" t="s">
        <v>118</v>
      </c>
      <c r="F29" s="42">
        <v>10.0</v>
      </c>
      <c r="G29" s="45" t="str">
        <f>HYPERLINK("https://www.moh.gov.gr/articles/ministry/grafeio-typoy/press-releases/6871-enhmerwsh-diapisteymenwn-syntaktwn-ygeias-apo-ton-ekproswpo-toy-ypoyrgeioy-ygeias-gia-to-neo-koronoio-kathhghth-swthrh-tsiodra-15-3-2020","Source")</f>
        <v>Source</v>
      </c>
      <c r="H29" s="32"/>
      <c r="I29" s="32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</row>
    <row r="30" ht="30.0" customHeight="1">
      <c r="A30" s="37" t="s">
        <v>37</v>
      </c>
      <c r="B30" s="54">
        <v>331.0</v>
      </c>
      <c r="C30" s="54">
        <v>1.0</v>
      </c>
      <c r="D30" s="42">
        <v>18.0</v>
      </c>
      <c r="E30" s="87"/>
      <c r="F30" s="42">
        <v>2.0</v>
      </c>
      <c r="G30" s="45" t="str">
        <f>HYPERLINK("https://covid19.min-saude.pt/ponto-de-situacao-atual-em-portugal/","Source")</f>
        <v>Source</v>
      </c>
      <c r="H30" s="32"/>
      <c r="I30" s="32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</row>
    <row r="31" ht="30.0" customHeight="1">
      <c r="A31" s="37" t="s">
        <v>38</v>
      </c>
      <c r="B31" s="54">
        <v>298.0</v>
      </c>
      <c r="C31" s="54">
        <v>0.0</v>
      </c>
      <c r="D31" s="42">
        <v>2.0</v>
      </c>
      <c r="E31" s="42">
        <v>0.0</v>
      </c>
      <c r="F31" s="42">
        <v>0.0</v>
      </c>
      <c r="G31" s="45" t="str">
        <f>HYPERLINK("https://onemocneni-aktualne.mzcr.cz/covid-19","Source")</f>
        <v>Source</v>
      </c>
      <c r="H31" s="32"/>
      <c r="I31" s="32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</row>
    <row r="32" ht="30.0" customHeight="1">
      <c r="A32" s="37" t="s">
        <v>39</v>
      </c>
      <c r="B32" s="54">
        <v>277.0</v>
      </c>
      <c r="C32" s="54">
        <v>0.0</v>
      </c>
      <c r="D32" s="42">
        <v>4.0</v>
      </c>
      <c r="E32" s="42" t="s">
        <v>118</v>
      </c>
      <c r="F32" s="42">
        <v>4.0</v>
      </c>
      <c r="G32" s="45" t="str">
        <f>HYPERLINK("https://www.timesofisrael.com/liveblog_entry/number-of-confirmed-coronavirus-cases-in-israel-rises-to-277/","Source")</f>
        <v>Source</v>
      </c>
      <c r="H32" s="32"/>
      <c r="I32" s="32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</row>
    <row r="33" ht="30.0" customHeight="1">
      <c r="A33" s="37" t="s">
        <v>40</v>
      </c>
      <c r="B33" s="54">
        <v>272.0</v>
      </c>
      <c r="C33" s="54">
        <v>0.0</v>
      </c>
      <c r="D33" s="42" t="s">
        <v>118</v>
      </c>
      <c r="E33" s="42" t="s">
        <v>118</v>
      </c>
      <c r="F33" s="42">
        <v>1.0</v>
      </c>
      <c r="G33" s="45" t="str">
        <f>HYPERLINK("https://thl.fi/fi/web/infektiotaudit-ja-rokotukset/ajankohtaista/ajankohtaista-koronaviruksesta-covid-19","Source")</f>
        <v>Source</v>
      </c>
      <c r="H33" s="32"/>
      <c r="I33" s="32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</row>
    <row r="34" ht="30.0" customHeight="1">
      <c r="A34" s="37" t="s">
        <v>41</v>
      </c>
      <c r="B34" s="54">
        <v>234.0</v>
      </c>
      <c r="C34" s="54">
        <v>0.0</v>
      </c>
      <c r="D34" s="42" t="s">
        <v>118</v>
      </c>
      <c r="E34" s="42" t="s">
        <v>118</v>
      </c>
      <c r="F34" s="42">
        <v>1.0</v>
      </c>
      <c r="G34" s="45" t="str">
        <f>HYPERLINK("https://twitter.com/minsaude/status/1239640249455738880","Source")</f>
        <v>Source</v>
      </c>
      <c r="H34" s="32"/>
      <c r="I34" s="32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</row>
    <row r="35" ht="30.0" customHeight="1">
      <c r="A35" s="37" t="s">
        <v>42</v>
      </c>
      <c r="B35" s="54">
        <v>226.0</v>
      </c>
      <c r="C35" s="54">
        <v>0.0</v>
      </c>
      <c r="D35" s="42" t="s">
        <v>118</v>
      </c>
      <c r="E35" s="42">
        <v>13.0</v>
      </c>
      <c r="F35" s="42">
        <v>105.0</v>
      </c>
      <c r="G35" s="45" t="str">
        <f>HYPERLINK("https://www.moh.gov.sg/news-highlights/details/fourteen-new-cases-of-covid-19-infection-confirmed","Source")</f>
        <v>Source</v>
      </c>
      <c r="H35" s="32"/>
      <c r="I35" s="32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</row>
    <row r="36" ht="30.0" customHeight="1">
      <c r="A36" s="37" t="s">
        <v>43</v>
      </c>
      <c r="B36" s="54">
        <v>223.0</v>
      </c>
      <c r="C36" s="54">
        <v>2.0</v>
      </c>
      <c r="D36" s="87"/>
      <c r="E36" s="87"/>
      <c r="F36" s="87"/>
      <c r="G36" s="45" t="str">
        <f>HYPERLINK("https://www.gov.ie/en/press-release/8d6058-government-publishes-national-action-plan-on-covid-19-coronavirus/","Source")</f>
        <v>Source</v>
      </c>
      <c r="H36" s="88"/>
      <c r="I36" s="32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 ht="30.0" customHeight="1">
      <c r="A37" s="37" t="s">
        <v>44</v>
      </c>
      <c r="B37" s="54">
        <v>221.0</v>
      </c>
      <c r="C37" s="54">
        <v>1.0</v>
      </c>
      <c r="D37" s="42" t="s">
        <v>118</v>
      </c>
      <c r="E37" s="42">
        <v>1.0</v>
      </c>
      <c r="F37" s="42">
        <v>77.0</v>
      </c>
      <c r="G37" s="45" t="str">
        <f>HYPERLINK("https://www.moh.gov.bh/COVID19","Source")</f>
        <v>Source</v>
      </c>
      <c r="H37" s="76"/>
      <c r="I37" s="32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</row>
    <row r="38" ht="27.75" customHeight="1">
      <c r="A38" s="37" t="s">
        <v>45</v>
      </c>
      <c r="B38" s="54">
        <v>219.0</v>
      </c>
      <c r="C38" s="54">
        <v>1.0</v>
      </c>
      <c r="D38" s="42">
        <v>0.0</v>
      </c>
      <c r="E38" s="42">
        <v>0.0</v>
      </c>
      <c r="F38" s="42">
        <v>0.0</v>
      </c>
      <c r="G38" s="45" t="str">
        <f>HYPERLINK("https://www.gov.si/en/topics/coronavirus-disease-covid-19/","Source")</f>
        <v>Source</v>
      </c>
      <c r="H38" s="32"/>
      <c r="I38" s="32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</row>
    <row r="39" ht="30.0" customHeight="1">
      <c r="A39" s="37" t="s">
        <v>46</v>
      </c>
      <c r="B39" s="54">
        <v>180.0</v>
      </c>
      <c r="C39" s="54">
        <v>0.0</v>
      </c>
      <c r="D39" s="42">
        <v>1.0</v>
      </c>
      <c r="E39" s="42" t="s">
        <v>118</v>
      </c>
      <c r="F39" s="42" t="s">
        <v>118</v>
      </c>
      <c r="G39" s="45" t="str">
        <f>HYPERLINK("https://www.ruv.is/frett/fyrsta-covid-19-tilfellid-i-vestmannaeyjum","Source")</f>
        <v>Source</v>
      </c>
      <c r="H39" s="89"/>
      <c r="I39" s="32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</row>
    <row r="40" ht="30.0" customHeight="1">
      <c r="A40" s="37" t="s">
        <v>47</v>
      </c>
      <c r="B40" s="54">
        <v>179.0</v>
      </c>
      <c r="C40" s="54">
        <v>0.0</v>
      </c>
      <c r="D40" s="42" t="s">
        <v>118</v>
      </c>
      <c r="E40" s="42" t="s">
        <v>118</v>
      </c>
      <c r="F40" s="42">
        <v>3.0</v>
      </c>
      <c r="G40" s="45" t="str">
        <f>HYPERLINK("https://www.thenews.com.pk/latest/629528-number-of-confirmed-coronavirus-cases-rises-to-76-in-sindh","Source")</f>
        <v>Source</v>
      </c>
      <c r="H40" s="32"/>
      <c r="I40" s="32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</row>
    <row r="41" ht="27.75" customHeight="1">
      <c r="A41" s="37" t="s">
        <v>48</v>
      </c>
      <c r="B41" s="54">
        <v>177.0</v>
      </c>
      <c r="C41" s="54">
        <v>4.0</v>
      </c>
      <c r="D41" s="42">
        <v>2.0</v>
      </c>
      <c r="E41" s="42">
        <v>0.0</v>
      </c>
      <c r="F41" s="42">
        <v>0.0</v>
      </c>
      <c r="G41" s="45" t="str">
        <f>HYPERLINK("https://twitter.com/MZ_GOV_PL/status/1239642766814085120","Source")</f>
        <v>Source</v>
      </c>
      <c r="H41" s="32"/>
      <c r="I41" s="32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</row>
    <row r="42" ht="30.0" customHeight="1">
      <c r="A42" s="37" t="s">
        <v>49</v>
      </c>
      <c r="B42" s="54">
        <v>171.0</v>
      </c>
      <c r="C42" s="54">
        <v>0.0</v>
      </c>
      <c r="D42" s="42" t="s">
        <v>118</v>
      </c>
      <c r="E42" s="42" t="s">
        <v>118</v>
      </c>
      <c r="F42" s="42">
        <v>1.0</v>
      </c>
      <c r="G42" s="45" t="str">
        <f>HYPERLINK("https://www.terviseamet.ee/et/uudised/kokku-eestis-koroonaviirus-diagnoositud-171-inimesel","Source")</f>
        <v>Source</v>
      </c>
      <c r="H42" s="32"/>
      <c r="I42" s="32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</row>
    <row r="43" ht="30.0" customHeight="1">
      <c r="A43" s="37" t="s">
        <v>50</v>
      </c>
      <c r="B43" s="54">
        <v>168.0</v>
      </c>
      <c r="C43" s="54">
        <v>0.0</v>
      </c>
      <c r="D43" s="42" t="s">
        <v>118</v>
      </c>
      <c r="E43" s="42" t="s">
        <v>118</v>
      </c>
      <c r="F43" s="42">
        <v>9.0</v>
      </c>
      <c r="G43" s="45" t="str">
        <f>HYPERLINK("http://www.ms.ro/2020/03/16/buletin-informativ-16-03-2020-ora-1800/","Source")</f>
        <v>Source</v>
      </c>
      <c r="H43" s="32"/>
      <c r="I43" s="32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</row>
    <row r="44" ht="30.0" customHeight="1">
      <c r="A44" s="37" t="s">
        <v>51</v>
      </c>
      <c r="B44" s="54">
        <v>166.0</v>
      </c>
      <c r="C44" s="54">
        <v>4.0</v>
      </c>
      <c r="D44" s="42" t="s">
        <v>118</v>
      </c>
      <c r="E44" s="42" t="s">
        <v>118</v>
      </c>
      <c r="F44" s="42">
        <v>27.0</v>
      </c>
      <c r="G44" s="45" t="str">
        <f>HYPERLINK("https://www.facebook.com/EgyMohpSpokes/photos/a.526422597694914/1123769871293514/?type=3&amp;__xts__%5B0%5D=68.ARAnzbVyN0OpkRrHfcE6zJzO9sX3reNeo6la9goFnPOZ6hHuTrR49icOoyMiqFzsd3RM75vSBchfM67GOhbVgp1d6cMHEP6Xxv_w9F6LrPk4ttfH5vfw45u3tI2jDqIBSve_IeOFL-QaolwOxYCZ"&amp;"MkB8acNQZub4o3HDjpGw_RNzRtSxXB8sfvfHAmXSTlcGyuToiT-bfooAoKEIyWcvRqPN5FT_WtmL7jMnYKvOxApeATQekFFvZtlXQ7O9NvWX25QzKabrEMXmuVk5vvOn1gnqijp42ZmU0J1iRzR9G9m-GUy2XBncEv7LTp013WghYIRKmZHW8nrKjJHBTg1o4Ijhtg&amp;__tn__=-R","Source")</f>
        <v>Source</v>
      </c>
      <c r="H44" s="61"/>
      <c r="I44" s="32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</row>
    <row r="45" ht="30.0" customHeight="1">
      <c r="A45" s="37" t="s">
        <v>52</v>
      </c>
      <c r="B45" s="54">
        <v>156.0</v>
      </c>
      <c r="C45" s="54">
        <v>0.0</v>
      </c>
      <c r="D45" s="87"/>
      <c r="E45" s="87"/>
      <c r="F45" s="87"/>
      <c r="G45" s="45" t="str">
        <f>HYPERLINK("https://www.minsal.cl/wp-content/uploads/2020/03/2020-03-16-Casos-Confirmados.pdf","Source")</f>
        <v>Source</v>
      </c>
      <c r="H45" s="32"/>
      <c r="I45" s="32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</row>
    <row r="46" ht="30.0" customHeight="1">
      <c r="A46" s="37" t="s">
        <v>53</v>
      </c>
      <c r="B46" s="54">
        <v>149.0</v>
      </c>
      <c r="C46" s="54">
        <v>4.0</v>
      </c>
      <c r="D46" s="42">
        <v>2.0</v>
      </c>
      <c r="E46" s="42">
        <v>2.0</v>
      </c>
      <c r="F46" s="42">
        <v>81.0</v>
      </c>
      <c r="G46" s="45" t="str">
        <f>HYPERLINK("https://www.info.gov.hk/gia/general/202003/15/P2020031500735.htm","Source")</f>
        <v>Source</v>
      </c>
      <c r="H46" s="32"/>
      <c r="I46" s="32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</row>
    <row r="47" ht="30.0" customHeight="1">
      <c r="A47" s="37" t="s">
        <v>54</v>
      </c>
      <c r="B47" s="54">
        <v>147.0</v>
      </c>
      <c r="C47" s="54">
        <v>1.0</v>
      </c>
      <c r="D47" s="42">
        <v>1.0</v>
      </c>
      <c r="E47" s="42" t="s">
        <v>118</v>
      </c>
      <c r="F47" s="42">
        <v>38.0</v>
      </c>
      <c r="G47" s="45" t="str">
        <f>HYPERLINK("https://twitter.com/pr_moph/status/1239501741810282496","Source")</f>
        <v>Source</v>
      </c>
      <c r="H47" s="32"/>
      <c r="I47" s="32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</row>
    <row r="48" ht="30.0" customHeight="1">
      <c r="A48" s="37" t="s">
        <v>55</v>
      </c>
      <c r="B48" s="54">
        <v>142.0</v>
      </c>
      <c r="C48" s="54">
        <v>12.0</v>
      </c>
      <c r="D48" s="42">
        <v>1.0</v>
      </c>
      <c r="E48" s="42" t="s">
        <v>118</v>
      </c>
      <c r="F48" s="42">
        <v>3.0</v>
      </c>
      <c r="G48" s="45" t="str">
        <f>HYPERLINK("https://pbs.twimg.com/media/ETOoconUMAAWHkq?format=jpg&amp;name=large","Source")</f>
        <v>Source</v>
      </c>
      <c r="H48" s="32"/>
      <c r="I48" s="32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</row>
    <row r="49" ht="30.0" customHeight="1">
      <c r="A49" s="37" t="s">
        <v>56</v>
      </c>
      <c r="B49" s="54">
        <v>134.0</v>
      </c>
      <c r="C49" s="54">
        <v>5.0</v>
      </c>
      <c r="D49" s="87"/>
      <c r="E49" s="87"/>
      <c r="F49" s="42">
        <v>8.0</v>
      </c>
      <c r="G49" s="45" t="str">
        <f>HYPERLINK("https://news.detik.com/berita/d-4941316/pasien-positif-corona-di-ri-bertambah-17-total-jadi-134-kasus","Source")</f>
        <v>Source</v>
      </c>
      <c r="H49" s="32"/>
      <c r="I49" s="32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</row>
    <row r="50" ht="30.0" customHeight="1">
      <c r="A50" s="37" t="s">
        <v>57</v>
      </c>
      <c r="B50" s="54">
        <v>133.0</v>
      </c>
      <c r="C50" s="54">
        <v>0.0</v>
      </c>
      <c r="D50" s="87"/>
      <c r="E50" s="87"/>
      <c r="F50" s="42">
        <v>6.0</v>
      </c>
      <c r="G50" s="45" t="str">
        <f>HYPERLINK("https://twitter.com/SaudiMOH/status/1239623674707292160","Source")</f>
        <v>Source</v>
      </c>
      <c r="H50" s="32"/>
      <c r="I50" s="32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</row>
    <row r="51" ht="30.0" customHeight="1">
      <c r="A51" s="37" t="s">
        <v>58</v>
      </c>
      <c r="B51" s="54">
        <v>133.0</v>
      </c>
      <c r="C51" s="54">
        <v>10.0</v>
      </c>
      <c r="D51" s="42" t="s">
        <v>118</v>
      </c>
      <c r="E51" s="42" t="s">
        <v>118</v>
      </c>
      <c r="F51" s="42">
        <v>26.0</v>
      </c>
      <c r="G51" s="45" t="str">
        <f>HYPERLINK("https://www.facebook.com/MOH.GOV.IQ/photos/a.860171854037214/2804926636228383/?type=3&amp;__xts__%5B0%5D=68.ARCN_eBq_GtSnSAtT_UhFEkndnSa99rVLzY1z5FFeZvknaCCmagd2ewQnKhwjlpJrkNK3UVenAm1zheuAu0zPbDlxNzJcoFmoS0yvdbUg9YkBKZi6YqPOOmD3CHFiGxA20glgltbi1_j9c7HrgBkA_h"&amp;"RwXSBIQEO3-H0qos5kckotGykEMkKfcAIHzmKy633TUgMcvt3UDuMvwVqsGpYgVzYyicbWbDJptJmuAszIgSRix6-m7oRNorfz-r8ZhUPbJdKtY1q6CKjMG8U9FFYY4irjfQENUeQCTBt9SM8fJPZqZRiS0CrzxXmNMg4BtomW_jR5CP41fgj2Q_OulSxVGM0DQ&amp;__tn__=-R","Source")</f>
        <v>Source</v>
      </c>
      <c r="H51" s="32"/>
      <c r="I51" s="32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</row>
    <row r="52" ht="30.0" customHeight="1">
      <c r="A52" s="37" t="s">
        <v>59</v>
      </c>
      <c r="B52" s="54">
        <v>130.0</v>
      </c>
      <c r="C52" s="54">
        <v>2.0</v>
      </c>
      <c r="D52" s="42" t="s">
        <v>118</v>
      </c>
      <c r="E52" s="42" t="s">
        <v>118</v>
      </c>
      <c r="F52" s="42">
        <v>13.0</v>
      </c>
      <c r="G52" s="45" t="str">
        <f>HYPERLINK("https://pib.gov.in/PressReleseDetail.aspx?PRID=1606470","Source")</f>
        <v>Source</v>
      </c>
      <c r="H52" s="32"/>
      <c r="I52" s="32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</row>
    <row r="53" ht="30.0" customHeight="1">
      <c r="A53" s="37" t="s">
        <v>60</v>
      </c>
      <c r="B53" s="54">
        <v>112.0</v>
      </c>
      <c r="C53" s="54">
        <v>0.0</v>
      </c>
      <c r="D53" s="42">
        <v>4.0</v>
      </c>
      <c r="E53" s="42" t="s">
        <v>118</v>
      </c>
      <c r="F53" s="42">
        <v>9.0</v>
      </c>
      <c r="G53" s="45" t="str">
        <f>HYPERLINK("https://twitter.com/KUWAIT_MOH/status/1239093764108488706","Source")</f>
        <v>Source</v>
      </c>
      <c r="H53" s="32"/>
      <c r="I53" s="32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</row>
    <row r="54" ht="30.0" customHeight="1">
      <c r="A54" s="37" t="s">
        <v>61</v>
      </c>
      <c r="B54" s="54">
        <v>109.0</v>
      </c>
      <c r="C54" s="54">
        <v>7.0</v>
      </c>
      <c r="D54" s="42">
        <v>11.0</v>
      </c>
      <c r="E54" s="42" t="s">
        <v>118</v>
      </c>
      <c r="F54" s="42">
        <v>4.0</v>
      </c>
      <c r="G54" s="45" t="str">
        <f>HYPERLINK("http://www.iss.sm/on-line/home/articolo49014116.html","Source")</f>
        <v>Source</v>
      </c>
      <c r="H54" s="89"/>
      <c r="I54" s="32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</row>
    <row r="55" ht="30.0" customHeight="1">
      <c r="A55" s="37" t="s">
        <v>62</v>
      </c>
      <c r="B55" s="54">
        <v>109.0</v>
      </c>
      <c r="C55" s="54">
        <v>3.0</v>
      </c>
      <c r="D55" s="42" t="s">
        <v>118</v>
      </c>
      <c r="E55" s="42">
        <v>2.0</v>
      </c>
      <c r="F55" s="42" t="s">
        <v>118</v>
      </c>
      <c r="G55" s="45" t="str">
        <f>HYPERLINK("https://www.facebook.com/mophleb/posts/2270518079924517?__xts__%5B0%5D=68.ARD4KkhZYd8W5iS0FKmi5kTqqdSrtag974bPQqyhKo36jdDeGjz4gGA2PKHmWdM3sxaRJ44eRS-6KIXBWJchiLbeevuPQaNl20C3KX82tnrW2ihXTsYIMuvjnnl5ykS4M98yrNT6JI_YXpXz0DgheaW1ECB7ZT5P0B8gbllza_N6aW6YHnHCv"&amp;"4p7sbAnyJ58tM9cXxjUXRJgSOQr8dMYpYiX6lH8Gk4kFD_h6z6JN72mdFdhuObWKp7xzQ0l1saKUw08h4omBQNJ7Tcnbb7vvcdO6fKR_eVALWKxe6D_zdahfFYcHfquwVQeImpmWII-5Im0v7U0MoRmxxyZdPqjdopDwdan&amp;__tn__=-R","Source")</f>
        <v>Source</v>
      </c>
      <c r="H55" s="32"/>
      <c r="I55" s="32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</row>
    <row r="56" ht="30.0" customHeight="1">
      <c r="A56" s="37" t="s">
        <v>63</v>
      </c>
      <c r="B56" s="54">
        <v>98.0</v>
      </c>
      <c r="C56" s="54">
        <v>0.0</v>
      </c>
      <c r="D56" s="42" t="s">
        <v>118</v>
      </c>
      <c r="E56" s="42" t="s">
        <v>118</v>
      </c>
      <c r="F56" s="42">
        <v>26.0</v>
      </c>
      <c r="G56" s="45" t="str">
        <f>HYPERLINK("https://twitter.com/mohapuae/status/1239225533893947395","Source")</f>
        <v>Source</v>
      </c>
      <c r="H56" s="32"/>
      <c r="I56" s="32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</row>
    <row r="57" ht="30.0" customHeight="1">
      <c r="A57" s="37" t="s">
        <v>64</v>
      </c>
      <c r="B57" s="54">
        <v>93.0</v>
      </c>
      <c r="C57" s="54">
        <v>0.0</v>
      </c>
      <c r="D57" s="42" t="s">
        <v>118</v>
      </c>
      <c r="E57" s="42" t="s">
        <v>118</v>
      </c>
      <c r="F57" s="42">
        <v>4.0</v>
      </c>
      <c r="G57" s="45" t="str">
        <f>HYPERLINK("https://www.interfax.ru/russia/699360","Source")</f>
        <v>Source</v>
      </c>
      <c r="H57" s="61"/>
      <c r="I57" s="32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</row>
    <row r="58" ht="30.0" customHeight="1">
      <c r="A58" s="37" t="s">
        <v>65</v>
      </c>
      <c r="B58" s="54">
        <v>86.0</v>
      </c>
      <c r="C58" s="54">
        <v>0.0</v>
      </c>
      <c r="D58" s="42"/>
      <c r="E58" s="42"/>
      <c r="F58" s="42"/>
      <c r="G58" s="45" t="str">
        <f>HYPERLINK("https://twitter.com/Minsa_Peru/status/1239569760704253952","Source")</f>
        <v>Source</v>
      </c>
      <c r="H58" s="61"/>
      <c r="I58" s="32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</row>
    <row r="59" ht="30.0" customHeight="1">
      <c r="A59" s="37" t="s">
        <v>77</v>
      </c>
      <c r="B59" s="54">
        <v>82.0</v>
      </c>
      <c r="C59" s="54">
        <v>0.0</v>
      </c>
      <c r="D59" s="42" t="s">
        <v>118</v>
      </c>
      <c r="E59" s="42">
        <v>1.0</v>
      </c>
      <c r="F59" s="42">
        <v>3.0</v>
      </c>
      <c r="G59" s="45" t="str">
        <f>HYPERLINK("https://twitter.com/SSalud_mx/status/1239718303204966401","Source")</f>
        <v>Source</v>
      </c>
      <c r="H59" s="32"/>
      <c r="I59" s="32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</row>
    <row r="60" ht="30.0" customHeight="1">
      <c r="A60" s="37" t="s">
        <v>66</v>
      </c>
      <c r="B60" s="54">
        <v>77.0</v>
      </c>
      <c r="C60" s="54">
        <v>1.0</v>
      </c>
      <c r="D60" s="87"/>
      <c r="E60" s="87"/>
      <c r="F60" s="87"/>
      <c r="G60" s="45" t="str">
        <f>HYPERLINK("https://gouvernement.lu/fr/dossiers.gouv_msan+fr+dossiers+2020+corona-virus.html","Source")</f>
        <v>Source</v>
      </c>
      <c r="H60" s="32"/>
      <c r="I60" s="32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</row>
    <row r="61" ht="30.0" customHeight="1">
      <c r="A61" s="37" t="s">
        <v>67</v>
      </c>
      <c r="B61" s="54">
        <v>67.0</v>
      </c>
      <c r="C61" s="54">
        <v>1.0</v>
      </c>
      <c r="D61" s="42">
        <v>0.0</v>
      </c>
      <c r="E61" s="42">
        <v>0.0</v>
      </c>
      <c r="F61" s="42">
        <v>20.0</v>
      </c>
      <c r="G61" s="45" t="str">
        <f>HYPERLINK("https://www.cdc.gov.tw/Bulletin/Detail/80vbTeVUgDPovzBrdbMLhg?typeid=9","Source")</f>
        <v>Source</v>
      </c>
      <c r="H61" s="32"/>
      <c r="I61" s="32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</row>
    <row r="62" ht="27.75" customHeight="1">
      <c r="A62" s="37" t="s">
        <v>69</v>
      </c>
      <c r="B62" s="54">
        <v>62.0</v>
      </c>
      <c r="C62" s="54">
        <v>0.0</v>
      </c>
      <c r="D62" s="42"/>
      <c r="E62" s="42"/>
      <c r="F62" s="42"/>
      <c r="G62" s="45" t="str">
        <f>HYPERLINK("http://www.nicd.ac.za/covid-19-update-18/","Source")</f>
        <v>Source</v>
      </c>
      <c r="H62" s="32"/>
      <c r="I62" s="32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</row>
    <row r="63" ht="30.0" customHeight="1">
      <c r="A63" s="37" t="s">
        <v>70</v>
      </c>
      <c r="B63" s="54">
        <v>61.0</v>
      </c>
      <c r="C63" s="54">
        <v>0.0</v>
      </c>
      <c r="D63" s="87"/>
      <c r="E63" s="87"/>
      <c r="F63" s="87"/>
      <c r="G63" s="45" t="str">
        <f>HYPERLINK("https://spectator.sme.sk/c/22359210/61-cases-as-of-sunday-evening-overview.html","Source")</f>
        <v>Source</v>
      </c>
      <c r="H63" s="32"/>
      <c r="I63" s="32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</row>
    <row r="64" ht="30.0" customHeight="1">
      <c r="A64" s="37" t="s">
        <v>71</v>
      </c>
      <c r="B64" s="54">
        <v>60.0</v>
      </c>
      <c r="C64" s="54">
        <v>4.0</v>
      </c>
      <c r="D64" s="42" t="s">
        <v>118</v>
      </c>
      <c r="E64" s="42" t="s">
        <v>118</v>
      </c>
      <c r="F64" s="42">
        <v>10.0</v>
      </c>
      <c r="G64" s="45" t="str">
        <f>HYPERLINK("http://www.aps.dz/en/health-science-technology/33631-covid-19-six-new-confirmed-cases-total-hits-60","Source")</f>
        <v>Source</v>
      </c>
      <c r="H64" s="32"/>
      <c r="I64" s="32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</row>
    <row r="65" ht="30.0" customHeight="1">
      <c r="A65" s="37" t="s">
        <v>72</v>
      </c>
      <c r="B65" s="54">
        <v>57.0</v>
      </c>
      <c r="C65" s="54">
        <v>0.0</v>
      </c>
      <c r="D65" s="42" t="s">
        <v>118</v>
      </c>
      <c r="E65" s="42" t="s">
        <v>118</v>
      </c>
      <c r="F65" s="42">
        <v>16.0</v>
      </c>
      <c r="G65" s="45" t="str">
        <f>HYPERLINK("http://news.chinhphu.vn/Home/Three-more-European-tourists-confirmed-having-coronavirus-total-rises-to-57/20203/39203.vgp","Source")</f>
        <v>Source</v>
      </c>
      <c r="H65" s="32"/>
      <c r="I65" s="32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</row>
    <row r="66" ht="27.75" customHeight="1">
      <c r="A66" s="37" t="s">
        <v>73</v>
      </c>
      <c r="B66" s="54">
        <v>56.0</v>
      </c>
      <c r="C66" s="54">
        <v>2.0</v>
      </c>
      <c r="D66" s="87"/>
      <c r="E66" s="87"/>
      <c r="F66" s="87"/>
      <c r="G66" s="45" t="str">
        <f>HYPERLINK("https://www.argentina.gob.ar/sites/default/files/15032020-nuevo-coronavirus-covid-19.pdf","Source")</f>
        <v>Source</v>
      </c>
      <c r="H66" s="32"/>
      <c r="I66" s="32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</row>
    <row r="67" ht="30.0" customHeight="1">
      <c r="A67" s="37" t="s">
        <v>74</v>
      </c>
      <c r="B67" s="54">
        <v>56.0</v>
      </c>
      <c r="C67" s="54">
        <v>0.0</v>
      </c>
      <c r="D67" s="42" t="s">
        <v>118</v>
      </c>
      <c r="E67" s="42" t="s">
        <v>118</v>
      </c>
      <c r="F67" s="42">
        <v>1.0</v>
      </c>
      <c r="G67" s="45" t="str">
        <f>HYPERLINK("https://vijesti.hrt.hr/591632/koronavirus-najnovije-informacije-3","Source")</f>
        <v>Source</v>
      </c>
      <c r="H67" s="76"/>
      <c r="I67" s="32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</row>
    <row r="68" ht="27.75" customHeight="1">
      <c r="A68" s="37" t="s">
        <v>75</v>
      </c>
      <c r="B68" s="54">
        <v>55.0</v>
      </c>
      <c r="C68" s="54">
        <v>0.0</v>
      </c>
      <c r="D68" s="42">
        <v>1.0</v>
      </c>
      <c r="E68" s="42"/>
      <c r="F68" s="42"/>
      <c r="G68" s="45" t="str">
        <f>HYPERLINK("https://covid19.rs/homepage-english/","Source")</f>
        <v>Source</v>
      </c>
      <c r="H68" s="32"/>
      <c r="I68" s="32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</row>
    <row r="69" ht="27.75" customHeight="1">
      <c r="A69" s="37" t="s">
        <v>76</v>
      </c>
      <c r="B69" s="54">
        <v>55.0</v>
      </c>
      <c r="C69" s="54">
        <v>1.0</v>
      </c>
      <c r="D69" s="42"/>
      <c r="E69" s="42"/>
      <c r="F69" s="42"/>
      <c r="G69" s="45" t="str">
        <f>HYPERLINK("https://twitter.com/TReporta/status/1239409002376769541","Source")</f>
        <v>Source</v>
      </c>
      <c r="H69" s="32"/>
      <c r="I69" s="32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</row>
    <row r="70" ht="30.0" customHeight="1">
      <c r="A70" s="37" t="s">
        <v>78</v>
      </c>
      <c r="B70" s="54">
        <v>51.0</v>
      </c>
      <c r="C70" s="54">
        <v>2.0</v>
      </c>
      <c r="D70" s="42"/>
      <c r="E70" s="42"/>
      <c r="F70" s="42"/>
      <c r="G70" s="45" t="str">
        <f>HYPERLINK("http://www.mh.government.bg/bg/novini/aktualno/osem-novi-sluchaya-na-covid-19-byaha-dokazani-u-na/","Source")</f>
        <v>Source</v>
      </c>
      <c r="H70" s="32"/>
      <c r="I70" s="32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</row>
    <row r="71" ht="30.0" customHeight="1">
      <c r="A71" s="37" t="s">
        <v>79</v>
      </c>
      <c r="B71" s="54">
        <v>50.0</v>
      </c>
      <c r="C71" s="54">
        <v>0.0</v>
      </c>
      <c r="D71" s="42"/>
      <c r="E71" s="42"/>
      <c r="F71" s="42"/>
      <c r="G71" s="45" t="str">
        <f>HYPERLINK("http://moh.gov.bn/SitePages/COVID-19.aspx","Source")</f>
        <v>Source</v>
      </c>
      <c r="H71" s="32"/>
      <c r="I71" s="32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</row>
    <row r="72" ht="27.75" customHeight="1">
      <c r="A72" s="37" t="s">
        <v>80</v>
      </c>
      <c r="B72" s="54">
        <v>47.0</v>
      </c>
      <c r="C72" s="54">
        <v>0.0</v>
      </c>
      <c r="D72" s="42"/>
      <c r="E72" s="42"/>
      <c r="F72" s="42"/>
      <c r="G72" s="45" t="str">
        <f>HYPERLINK("https://twitter.com/drfahrettinkoca/status/1239654954475884550","Source")</f>
        <v>Source</v>
      </c>
      <c r="H72" s="32"/>
      <c r="I72" s="32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</row>
    <row r="73" ht="27.75" customHeight="1">
      <c r="A73" s="37" t="s">
        <v>81</v>
      </c>
      <c r="B73" s="54">
        <v>45.0</v>
      </c>
      <c r="C73" s="54">
        <v>0.0</v>
      </c>
      <c r="D73" s="42"/>
      <c r="E73" s="42"/>
      <c r="F73" s="42"/>
      <c r="G73" s="45" t="str">
        <f>HYPERLINK("https://twitter.com/MinSaludCol/status/1239360029918183425","Source")</f>
        <v>Source</v>
      </c>
      <c r="H73" s="32"/>
      <c r="I73" s="32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</row>
    <row r="74" ht="30.0" customHeight="1">
      <c r="A74" s="37" t="s">
        <v>82</v>
      </c>
      <c r="B74" s="54">
        <v>42.0</v>
      </c>
      <c r="C74" s="54">
        <v>1.0</v>
      </c>
      <c r="D74" s="42">
        <v>2.0</v>
      </c>
      <c r="E74" s="87"/>
      <c r="F74" s="87"/>
      <c r="G74" s="45" t="str">
        <f>HYPERLINK("https://shendetesia.gov.al/15-mars-2020-informacion-i-perditesuar-per-koronavirusin-covid-19/","Source")</f>
        <v>Source</v>
      </c>
      <c r="H74" s="32"/>
      <c r="I74" s="32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</row>
    <row r="75" ht="30.0" customHeight="1">
      <c r="A75" s="37" t="s">
        <v>83</v>
      </c>
      <c r="B75" s="54">
        <v>38.0</v>
      </c>
      <c r="C75" s="54">
        <v>0.0</v>
      </c>
      <c r="D75" s="42">
        <v>0.0</v>
      </c>
      <c r="E75" s="42">
        <v>0.0</v>
      </c>
      <c r="F75" s="42">
        <v>0.0</v>
      </c>
      <c r="G75" s="45" t="str">
        <f>HYPERLINK("https://www.facebook.com/mohps/posts/2681550485304146","Source")</f>
        <v>Source</v>
      </c>
      <c r="H75" s="32"/>
      <c r="I75" s="32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</row>
    <row r="76" ht="30.0" customHeight="1">
      <c r="A76" s="37" t="s">
        <v>84</v>
      </c>
      <c r="B76" s="54">
        <v>37.0</v>
      </c>
      <c r="C76" s="54">
        <v>2.0</v>
      </c>
      <c r="D76" s="42" t="s">
        <v>118</v>
      </c>
      <c r="E76" s="42">
        <v>1.0</v>
      </c>
      <c r="F76" s="42" t="s">
        <v>118</v>
      </c>
      <c r="G76" s="45" t="str">
        <f>HYPERLINK("https://www.salud.gob.ec/actualizacion-de-casos-de-coronavirus-en-ecuador/","Source")</f>
        <v>Source</v>
      </c>
      <c r="H76" s="32"/>
      <c r="I76" s="32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</row>
    <row r="77" ht="30.0" customHeight="1">
      <c r="A77" s="37" t="s">
        <v>85</v>
      </c>
      <c r="B77" s="54">
        <v>37.0</v>
      </c>
      <c r="C77" s="54">
        <v>1.0</v>
      </c>
      <c r="D77" s="87"/>
      <c r="E77" s="87"/>
      <c r="F77" s="87"/>
      <c r="G77" s="45" t="str">
        <f>HYPERLINK("https://twitter.com/MAP_Information/status/1239665985692602369","Source")</f>
        <v>Source</v>
      </c>
      <c r="H77" s="32"/>
      <c r="I77" s="32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</row>
    <row r="78" ht="30.0" customHeight="1">
      <c r="A78" s="37" t="s">
        <v>86</v>
      </c>
      <c r="B78" s="54">
        <v>35.0</v>
      </c>
      <c r="C78" s="54">
        <v>0.0</v>
      </c>
      <c r="D78" s="42">
        <v>1.0</v>
      </c>
      <c r="E78" s="87"/>
      <c r="F78" s="87"/>
      <c r="G78" s="45" t="str">
        <f>HYPERLINK("https://twitter.com/msaludcr/status/1239308024587718672","Source")</f>
        <v>Source</v>
      </c>
      <c r="H78" s="32"/>
      <c r="I78" s="32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</row>
    <row r="79" ht="30.0" customHeight="1">
      <c r="A79" s="37" t="s">
        <v>87</v>
      </c>
      <c r="B79" s="54">
        <v>33.0</v>
      </c>
      <c r="C79" s="54">
        <v>0.0</v>
      </c>
      <c r="D79" s="42">
        <v>1.0</v>
      </c>
      <c r="E79" s="42" t="s">
        <v>118</v>
      </c>
      <c r="F79" s="42">
        <v>1.0</v>
      </c>
      <c r="G79" s="45" t="str">
        <f>HYPERLINK("https://stopcov.ge/en","Source")</f>
        <v>Source</v>
      </c>
      <c r="H79" s="32"/>
      <c r="I79" s="32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</row>
    <row r="80" ht="30.0" customHeight="1">
      <c r="A80" s="37" t="s">
        <v>88</v>
      </c>
      <c r="B80" s="54">
        <v>32.0</v>
      </c>
      <c r="C80" s="54">
        <v>1.0</v>
      </c>
      <c r="D80" s="42" t="s">
        <v>118</v>
      </c>
      <c r="E80" s="42" t="s">
        <v>118</v>
      </c>
      <c r="F80" s="42">
        <v>0.0</v>
      </c>
      <c r="G80" s="45" t="str">
        <f>HYPERLINK("https://koronavirus.gov.hu/cikkek/meghalt-az-elso-magyar-beteg","Source")</f>
        <v>Source</v>
      </c>
      <c r="H80" s="32"/>
      <c r="I80" s="32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</row>
    <row r="81" ht="30.0" customHeight="1">
      <c r="A81" s="37" t="s">
        <v>89</v>
      </c>
      <c r="B81" s="54">
        <v>33.0</v>
      </c>
      <c r="C81" s="54">
        <v>0.0</v>
      </c>
      <c r="D81" s="42"/>
      <c r="E81" s="42"/>
      <c r="F81" s="42"/>
      <c r="G81" s="45" t="str">
        <f>HYPERLINK("http://www.cna.org.cy/WebNews.aspx?a=83e14371518c4c2aa60aa4a23eb1111d","Source")</f>
        <v>Source</v>
      </c>
      <c r="H81" s="32"/>
      <c r="I81" s="32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</row>
    <row r="82" ht="30.0" customHeight="1">
      <c r="A82" s="37" t="s">
        <v>104</v>
      </c>
      <c r="B82" s="54">
        <v>33.0</v>
      </c>
      <c r="C82" s="54">
        <v>0.0</v>
      </c>
      <c r="D82" s="87"/>
      <c r="E82" s="87"/>
      <c r="F82" s="87"/>
      <c r="G82" s="45" t="str">
        <f>HYPERLINK("https://www.elnacional.com/sociedad/maduro-anuncia-que-hay-16-nuevos-casos-positivos-en-venezuela/","Source")</f>
        <v>Source</v>
      </c>
      <c r="H82" s="32"/>
      <c r="I82" s="32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</row>
    <row r="83" ht="30.0" customHeight="1">
      <c r="A83" s="37" t="s">
        <v>90</v>
      </c>
      <c r="B83" s="54">
        <v>30.0</v>
      </c>
      <c r="C83" s="54">
        <v>0.0</v>
      </c>
      <c r="D83" s="87"/>
      <c r="E83" s="87"/>
      <c r="F83" s="87"/>
      <c r="G83" s="45" t="str">
        <f>HYPERLINK("https://twitter.com/SPKCentrs/status/1239101954355322880","Source")</f>
        <v>Source</v>
      </c>
      <c r="H83" s="32"/>
      <c r="I83" s="32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</row>
    <row r="84" ht="30.0" customHeight="1">
      <c r="A84" s="37" t="s">
        <v>91</v>
      </c>
      <c r="B84" s="54">
        <v>30.0</v>
      </c>
      <c r="C84" s="54">
        <v>0.0</v>
      </c>
      <c r="D84" s="87"/>
      <c r="E84" s="87"/>
      <c r="F84" s="42">
        <v>1.0</v>
      </c>
      <c r="G84" s="45" t="str">
        <f>HYPERLINK("https://en.armradio.am/2020/03/16/armenia-confirms-30-cases-of-coronavirus/","Source")</f>
        <v>Source</v>
      </c>
      <c r="H84" s="32"/>
      <c r="I84" s="32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</row>
    <row r="85" ht="30.0" customHeight="1">
      <c r="A85" s="37" t="s">
        <v>92</v>
      </c>
      <c r="B85" s="54">
        <v>29.0</v>
      </c>
      <c r="C85" s="54">
        <v>0.0</v>
      </c>
      <c r="D85" s="87"/>
      <c r="E85" s="87"/>
      <c r="F85" s="42">
        <v>1.0</v>
      </c>
      <c r="G85" s="45" t="str">
        <f>HYPERLINK("https://www.almamlakatv.com/news/29-%D8%A5%D8%B5%D8%A7%D8%A8%D8%A9-%D8%AD%D8%A7%D9%84%D9%8A%D8%A9-%D8%A8%D8%A7%D9%84%D9%81%D9%8A%D8%B1%D9%88%D8%B3-%D9%81%D9%8A-%D8%A7%D9%84%D8%A3%D8%B1%D8%AF%D9%86-35747","Source")</f>
        <v>Source</v>
      </c>
      <c r="H85" s="32"/>
      <c r="I85" s="32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</row>
    <row r="86" ht="30.0" customHeight="1">
      <c r="A86" s="37" t="s">
        <v>261</v>
      </c>
      <c r="B86" s="54">
        <v>29.0</v>
      </c>
      <c r="C86" s="54">
        <v>0.0</v>
      </c>
      <c r="D86" s="87"/>
      <c r="E86" s="87"/>
      <c r="F86" s="42"/>
      <c r="G86" s="45" t="str">
        <f>HYPERLINK("https://twitter.com/EFEnoticias/status/1239694928684474368","Source")</f>
        <v>Source</v>
      </c>
      <c r="H86" s="32"/>
      <c r="I86" s="32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</row>
    <row r="87" ht="30.0" customHeight="1">
      <c r="A87" s="37" t="s">
        <v>93</v>
      </c>
      <c r="B87" s="54">
        <v>27.0</v>
      </c>
      <c r="C87" s="54">
        <v>0.0</v>
      </c>
      <c r="D87" s="42" t="s">
        <v>118</v>
      </c>
      <c r="E87" s="42" t="s">
        <v>118</v>
      </c>
      <c r="F87" s="42">
        <v>3.0</v>
      </c>
      <c r="G87" s="45" t="str">
        <f>HYPERLINK("http://minzdrav.gov.by/ru/sobytiya/sostoyanie-patsientov-s-covid-19-udovletvoritelnoe/","Source")</f>
        <v>Source</v>
      </c>
      <c r="H87" s="32"/>
      <c r="I87" s="32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</row>
    <row r="88" ht="30.0" customHeight="1">
      <c r="A88" s="37" t="s">
        <v>94</v>
      </c>
      <c r="B88" s="54">
        <v>27.0</v>
      </c>
      <c r="C88" s="54">
        <v>0.0</v>
      </c>
      <c r="D88" s="42" t="s">
        <v>118</v>
      </c>
      <c r="E88" s="42" t="s">
        <v>118</v>
      </c>
      <c r="F88" s="42">
        <v>0.0</v>
      </c>
      <c r="G88" s="45" t="str">
        <f>HYPERLINK("https://twitter.com/MinisteredelaS1/status/1239614264991776768","Source")</f>
        <v>Source</v>
      </c>
      <c r="H88" s="32"/>
      <c r="I88" s="32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</row>
    <row r="89" ht="30.0" customHeight="1">
      <c r="A89" s="37" t="s">
        <v>95</v>
      </c>
      <c r="B89" s="54">
        <v>25.0</v>
      </c>
      <c r="C89" s="54">
        <v>1.0</v>
      </c>
      <c r="D89" s="42" t="s">
        <v>118</v>
      </c>
      <c r="E89" s="42" t="s">
        <v>118</v>
      </c>
      <c r="F89" s="42">
        <v>3.0</v>
      </c>
      <c r="G89" s="45" t="str">
        <f>HYPERLINK("http://www.azerbaijan-news.az/view-185209/azerbaycanda-koronavirusa-daha-2-yoluxma-fakti-qeyde-alinib","Source")</f>
        <v>Source</v>
      </c>
      <c r="H89" s="76"/>
      <c r="I89" s="32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</row>
    <row r="90" ht="30.0" customHeight="1">
      <c r="A90" s="37" t="s">
        <v>96</v>
      </c>
      <c r="B90" s="54">
        <v>24.0</v>
      </c>
      <c r="C90" s="54">
        <v>0.0</v>
      </c>
      <c r="D90" s="42">
        <v>0.0</v>
      </c>
      <c r="E90" s="42">
        <v>0.0</v>
      </c>
      <c r="F90" s="42">
        <v>9.0</v>
      </c>
      <c r="G90" s="45" t="str">
        <f>HYPERLINK("https://twitter.com/OmaniMOH/status/1239627621710868480","Source")</f>
        <v>Source</v>
      </c>
      <c r="H90" s="76"/>
      <c r="I90" s="32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</row>
    <row r="91" ht="27.75" customHeight="1">
      <c r="A91" s="37" t="s">
        <v>97</v>
      </c>
      <c r="B91" s="54">
        <v>24.0</v>
      </c>
      <c r="C91" s="54">
        <v>0.0</v>
      </c>
      <c r="D91" s="42"/>
      <c r="E91" s="42"/>
      <c r="F91" s="42"/>
      <c r="G91" s="45" t="str">
        <f>HYPERLINK("https://bhrt.ba/posljednje-informacije-o-koronavirusu-u-bih-na-portalu-bhrt-a-2/1114112/","Source")</f>
        <v>Source</v>
      </c>
      <c r="H91" s="32"/>
      <c r="I91" s="32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</row>
    <row r="92" ht="27.75" customHeight="1">
      <c r="A92" s="37" t="s">
        <v>98</v>
      </c>
      <c r="B92" s="54">
        <v>23.0</v>
      </c>
      <c r="C92" s="54">
        <v>0.0</v>
      </c>
      <c r="D92" s="42"/>
      <c r="E92" s="42"/>
      <c r="F92" s="42"/>
      <c r="G92" s="45" t="str">
        <f>HYPERLINK("https://msmps.gov.md/ro/content/ultimele-date-cu-privire-la-raspandirea-noului-coronavirus-covid-19-republica-moldova-si","Source")</f>
        <v>Source</v>
      </c>
      <c r="H92" s="32"/>
      <c r="I92" s="32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</row>
    <row r="93" ht="30.0" customHeight="1">
      <c r="A93" s="37" t="s">
        <v>99</v>
      </c>
      <c r="B93" s="54">
        <v>21.0</v>
      </c>
      <c r="C93" s="54">
        <v>0.0</v>
      </c>
      <c r="D93" s="42" t="s">
        <v>118</v>
      </c>
      <c r="E93" s="42" t="s">
        <v>118</v>
      </c>
      <c r="F93" s="42" t="s">
        <v>118</v>
      </c>
      <c r="G93" s="45" t="str">
        <f>HYPERLINK("https://tolonews.com/afghanistan/21-cases-covid-19-afghanistan-health-ministry","Source")</f>
        <v>Source</v>
      </c>
      <c r="H93" s="32"/>
      <c r="I93" s="32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</row>
    <row r="94" ht="27.75" customHeight="1">
      <c r="A94" s="37" t="s">
        <v>100</v>
      </c>
      <c r="B94" s="54">
        <v>21.0</v>
      </c>
      <c r="C94" s="54">
        <v>0.0</v>
      </c>
      <c r="D94" s="42"/>
      <c r="E94" s="42"/>
      <c r="F94" s="42">
        <v>2.0</v>
      </c>
      <c r="G94" s="45" t="str">
        <f>HYPERLINK("https://timesofmalta.com/articles/view/quiet-streets-in-malta-as-people-stay-at-home.778529","Source")</f>
        <v>Source</v>
      </c>
      <c r="H94" s="32"/>
      <c r="I94" s="32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</row>
    <row r="95" ht="30.0" customHeight="1">
      <c r="A95" s="37" t="s">
        <v>101</v>
      </c>
      <c r="B95" s="54">
        <v>20.0</v>
      </c>
      <c r="C95" s="54">
        <v>0.0</v>
      </c>
      <c r="D95" s="87"/>
      <c r="E95" s="87"/>
      <c r="F95" s="87"/>
      <c r="G95" s="45" t="str">
        <f>HYPERLINK("https://www.facebook.com/santetunisie.rns.tn/photos/a.186499378055841/2955683897804028/?type=3&amp;__xts__%5B0%5D=68.ARDQz7lwrBPkgsv6Rvw_BmluaWqbWH0Yj7_ThD3d1SGXtcyQJS2cG1FIrDaXATY0TaaPb-GRQKd1P2SBQ24pKnVzOtsKhBW2V7q34FulHMSl9gVkPOkeRaaN0TkvPaUmArrYBGoz7K4vMq"&amp;"dXWNxIJBWWWhP_GsXEjNpE0EhuybxkE1_vli0sBiFcOaZxjOx8H1mVjPTkt8FKR0uWqQ5P7SJk2yknB3ux5Jpt-yIgmOBTkI1XEhNrl4VIlK3Uj4Ptq9g4_Pfp7AVjKLVM6AAMH1WVPOFVp6RB2WFYVnCgnLxo7hbHX3-NCA_m_hjs4mPRX9xED_4CA6kL1YLKJtG0V8nu8A&amp;__tn__=-R","Source")</f>
        <v>Source</v>
      </c>
      <c r="H95" s="32"/>
      <c r="I95" s="32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</row>
    <row r="96" ht="30.0" customHeight="1">
      <c r="A96" s="37" t="s">
        <v>102</v>
      </c>
      <c r="B96" s="54">
        <v>19.0</v>
      </c>
      <c r="C96" s="54">
        <v>0.0</v>
      </c>
      <c r="D96" s="42">
        <v>0.0</v>
      </c>
      <c r="E96" s="42">
        <v>0.0</v>
      </c>
      <c r="F96" s="42">
        <v>0.0</v>
      </c>
      <c r="G96" s="45" t="str">
        <f>HYPERLINK("http://zdravstvo.gov.mk/zdravstvenata-sostojba-na-site-7-pacienti-koi-se-pozitivni-na-korona-virusot-i-se-hospitalizirani-na-klinikata-za-infektivni-bolesti-i-febrilni-sostojbi-e-stabilna/","Source")</f>
        <v>Source</v>
      </c>
      <c r="H96" s="32"/>
      <c r="I96" s="32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</row>
    <row r="97" ht="30.0" customHeight="1">
      <c r="A97" s="37" t="s">
        <v>103</v>
      </c>
      <c r="B97" s="54">
        <v>18.0</v>
      </c>
      <c r="C97" s="54">
        <v>0.0</v>
      </c>
      <c r="D97" s="42" t="s">
        <v>118</v>
      </c>
      <c r="E97" s="42" t="s">
        <v>118</v>
      </c>
      <c r="F97" s="42">
        <v>1.0</v>
      </c>
      <c r="G97" s="45" t="str">
        <f>HYPERLINK("http://www.xinhuanet.com/english/2020-03/16/c_138880867.htm","Source")</f>
        <v>Source</v>
      </c>
      <c r="H97" s="32"/>
      <c r="I97" s="32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</row>
    <row r="98" ht="30.0" customHeight="1">
      <c r="A98" s="37" t="s">
        <v>105</v>
      </c>
      <c r="B98" s="54">
        <v>17.0</v>
      </c>
      <c r="C98" s="54">
        <v>0.0</v>
      </c>
      <c r="D98" s="42" t="s">
        <v>118</v>
      </c>
      <c r="E98" s="42" t="s">
        <v>118</v>
      </c>
      <c r="F98" s="42" t="s">
        <v>118</v>
      </c>
      <c r="G98" s="45" t="str">
        <f>HYPERLINK("https://urm.lt/default/en/important-covid19","Source")</f>
        <v>Source</v>
      </c>
      <c r="H98" s="32"/>
      <c r="I98" s="32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</row>
    <row r="99" ht="30.0" customHeight="1">
      <c r="A99" s="37" t="s">
        <v>106</v>
      </c>
      <c r="B99" s="54">
        <v>15.0</v>
      </c>
      <c r="C99" s="54">
        <v>0.0</v>
      </c>
      <c r="D99" s="42"/>
      <c r="E99" s="42"/>
      <c r="F99" s="42"/>
      <c r="G99" s="45" t="str">
        <f>HYPERLINK("https://twitter.com/themohwgovjm/status/1239426468742135808","Source")</f>
        <v>Source</v>
      </c>
      <c r="H99" s="32"/>
      <c r="I99" s="32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</row>
    <row r="100" ht="30.0" customHeight="1">
      <c r="A100" s="37" t="s">
        <v>107</v>
      </c>
      <c r="B100" s="54">
        <v>14.0</v>
      </c>
      <c r="C100" s="54">
        <v>0.0</v>
      </c>
      <c r="D100" s="87"/>
      <c r="E100" s="87"/>
      <c r="F100" s="87"/>
      <c r="G100" s="45" t="str">
        <f>HYPERLINK("https://twitter.com/GovernAndorra/status/1239514311959199747","Source")</f>
        <v>Source</v>
      </c>
      <c r="H100" s="32"/>
      <c r="I100" s="32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</row>
    <row r="101" ht="27.75" customHeight="1">
      <c r="A101" s="37" t="s">
        <v>108</v>
      </c>
      <c r="B101" s="54">
        <v>13.0</v>
      </c>
      <c r="C101" s="54">
        <v>0.0</v>
      </c>
      <c r="D101" s="42"/>
      <c r="E101" s="42"/>
      <c r="F101" s="42"/>
      <c r="G101" s="45" t="str">
        <f>HYPERLINK("https://covid19.health.gov.mv/en/","Source")</f>
        <v>Source</v>
      </c>
      <c r="H101" s="32"/>
      <c r="I101" s="32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</row>
    <row r="102" ht="30.0" customHeight="1">
      <c r="A102" s="37" t="s">
        <v>113</v>
      </c>
      <c r="B102" s="54">
        <v>13.0</v>
      </c>
      <c r="C102" s="54">
        <v>0.0</v>
      </c>
      <c r="D102" s="42" t="s">
        <v>118</v>
      </c>
      <c r="E102" s="42" t="s">
        <v>118</v>
      </c>
      <c r="F102" s="42" t="s">
        <v>118</v>
      </c>
      <c r="G102" s="45" t="str">
        <f>HYPERLINK("https://www.health.govt.nz/news-media/media-releases/covid-19-three-new-cases-linked-overseas","Source")</f>
        <v>Source</v>
      </c>
      <c r="H102" s="32"/>
      <c r="I102" s="32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</row>
    <row r="103" ht="30.0" customHeight="1">
      <c r="A103" s="37" t="s">
        <v>109</v>
      </c>
      <c r="B103" s="54">
        <v>12.0</v>
      </c>
      <c r="C103" s="54">
        <v>0.0</v>
      </c>
      <c r="D103" s="42" t="s">
        <v>118</v>
      </c>
      <c r="E103" s="42" t="s">
        <v>118</v>
      </c>
      <c r="F103" s="42">
        <v>1.0</v>
      </c>
      <c r="G103" s="45" t="str">
        <f>HYPERLINK("http://en.freshnewsasia.com/index.php/en/localnews/17301-2020-03-15-16-36-22.html","Source")</f>
        <v>Source</v>
      </c>
      <c r="H103" s="32"/>
      <c r="I103" s="32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</row>
    <row r="104" ht="30.0" customHeight="1">
      <c r="A104" s="37" t="s">
        <v>110</v>
      </c>
      <c r="B104" s="54">
        <v>11.0</v>
      </c>
      <c r="C104" s="54">
        <v>0.0</v>
      </c>
      <c r="D104" s="87"/>
      <c r="E104" s="87"/>
      <c r="F104" s="87"/>
      <c r="G104" s="45" t="str">
        <f>HYPERLINK("https://listindiario.com/la-republica/2020/03/09/607425/ya-suman-cinco-los-casos-de-coronavirus-en-el-pais","Source")</f>
        <v>Source</v>
      </c>
      <c r="H104" s="32"/>
      <c r="I104" s="32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</row>
    <row r="105" ht="30.0" customHeight="1">
      <c r="A105" s="37" t="s">
        <v>111</v>
      </c>
      <c r="B105" s="54">
        <v>11.0</v>
      </c>
      <c r="C105" s="54">
        <v>0.0</v>
      </c>
      <c r="D105" s="42" t="s">
        <v>118</v>
      </c>
      <c r="E105" s="42" t="s">
        <v>118</v>
      </c>
      <c r="F105" s="42">
        <v>6.0</v>
      </c>
      <c r="G105" s="45" t="str">
        <f>HYPERLINK("https://news.gov.mo/detail/en/N20CPI5JCw?1","Source")</f>
        <v>Source</v>
      </c>
      <c r="H105" s="32"/>
      <c r="I105" s="32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</row>
    <row r="106" ht="30.0" customHeight="1">
      <c r="A106" s="37" t="s">
        <v>112</v>
      </c>
      <c r="B106" s="54">
        <v>10.0</v>
      </c>
      <c r="C106" s="54"/>
      <c r="D106" s="42"/>
      <c r="E106" s="42"/>
      <c r="F106" s="42"/>
      <c r="G106" s="69"/>
      <c r="H106" s="32"/>
      <c r="I106" s="32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</row>
    <row r="107" ht="30.0" customHeight="1">
      <c r="A107" s="37" t="s">
        <v>134</v>
      </c>
      <c r="B107" s="54">
        <v>9.0</v>
      </c>
      <c r="C107" s="54">
        <v>0.0</v>
      </c>
      <c r="D107" s="42" t="s">
        <v>118</v>
      </c>
      <c r="E107" s="42" t="s">
        <v>118</v>
      </c>
      <c r="F107" s="42" t="s">
        <v>118</v>
      </c>
      <c r="G107" s="45" t="str">
        <f>HYPERLINK("https://en.gouv.mc/Policy-Practice/Social-Affairs-and-Health/News/CORONAVIRUS-un-neuvieme-cas-positif-revele-a-Monaco","Source")</f>
        <v>Source</v>
      </c>
      <c r="H107" s="32"/>
      <c r="I107" s="32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</row>
    <row r="108" ht="30.0" customHeight="1">
      <c r="A108" s="37" t="s">
        <v>114</v>
      </c>
      <c r="B108" s="54">
        <v>9.0</v>
      </c>
      <c r="C108" s="54">
        <v>0.0</v>
      </c>
      <c r="D108" s="42"/>
      <c r="E108" s="42"/>
      <c r="F108" s="42"/>
      <c r="G108" s="45" t="str">
        <f>HYPERLINK("https://www.interfax.kz/?lang=eng&amp;int_id=21&amp;news_id=43355","Source")</f>
        <v>Source</v>
      </c>
      <c r="H108" s="32"/>
      <c r="I108" s="32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</row>
    <row r="109" ht="27.75" customHeight="1">
      <c r="A109" s="37" t="s">
        <v>115</v>
      </c>
      <c r="B109" s="54">
        <v>8.0</v>
      </c>
      <c r="C109" s="54">
        <v>0.0</v>
      </c>
      <c r="D109" s="42">
        <v>1.0</v>
      </c>
      <c r="E109" s="42"/>
      <c r="F109" s="42"/>
      <c r="G109" s="45" t="str">
        <f>HYPERLINK("https://twitter.com/msaludpy/status/1239317916627197954","Source")</f>
        <v>Source</v>
      </c>
      <c r="H109" s="32"/>
      <c r="I109" s="32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</row>
    <row r="110" ht="27.75" customHeight="1">
      <c r="A110" s="37" t="s">
        <v>116</v>
      </c>
      <c r="B110" s="54">
        <v>8.0</v>
      </c>
      <c r="C110" s="54">
        <v>0.0</v>
      </c>
      <c r="D110" s="42"/>
      <c r="E110" s="42"/>
      <c r="F110" s="42"/>
      <c r="G110" s="45" t="str">
        <f>HYPERLINK("https://www.aa.com.tr/en/asia-pacific/covid-19-bangladesh-shuts-all-educational-institutions/1767425","Source")</f>
        <v>Source</v>
      </c>
      <c r="H110" s="32"/>
      <c r="I110" s="32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</row>
    <row r="111" ht="27.75" customHeight="1">
      <c r="A111" s="37" t="s">
        <v>123</v>
      </c>
      <c r="B111" s="54">
        <v>8.0</v>
      </c>
      <c r="C111" s="54">
        <v>0.0</v>
      </c>
      <c r="D111" s="42"/>
      <c r="E111" s="42"/>
      <c r="F111" s="42"/>
      <c r="G111" s="45" t="str">
        <f>HYPERLINK("https://covid19honduras.org/","Source")</f>
        <v>Source</v>
      </c>
      <c r="H111" s="32"/>
      <c r="I111" s="32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</row>
    <row r="112" ht="27.75" customHeight="1">
      <c r="A112" s="37" t="s">
        <v>117</v>
      </c>
      <c r="B112" s="54">
        <v>7.0</v>
      </c>
      <c r="C112" s="54">
        <v>0.0</v>
      </c>
      <c r="D112" s="87"/>
      <c r="E112" s="87"/>
      <c r="F112" s="87"/>
      <c r="G112" s="45" t="str">
        <f>HYPERLINK("https://www.volksblatt.li/nachrichten/Liechtenstein/Politik/vb/247958/jetzt-wirds-ernst-corona-massnahmen-werden-am-montag-verscharft","Source")</f>
        <v>Source</v>
      </c>
      <c r="H112" s="32"/>
      <c r="I112" s="32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</row>
    <row r="113" ht="27.75" customHeight="1">
      <c r="A113" s="37" t="s">
        <v>119</v>
      </c>
      <c r="B113" s="54">
        <v>7.0</v>
      </c>
      <c r="C113" s="54">
        <v>0.0</v>
      </c>
      <c r="D113" s="87"/>
      <c r="E113" s="87"/>
      <c r="F113" s="87"/>
      <c r="G113" s="45" t="str">
        <f>HYPERLINK("https://twitter.com/WHOAFRO/status/1239482557101674496","Source")</f>
        <v>Source</v>
      </c>
      <c r="H113" s="32"/>
      <c r="I113" s="32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</row>
    <row r="114" ht="30.0" customHeight="1">
      <c r="A114" s="37" t="s">
        <v>120</v>
      </c>
      <c r="B114" s="54">
        <v>7.0</v>
      </c>
      <c r="C114" s="54">
        <v>0.0</v>
      </c>
      <c r="D114" s="42"/>
      <c r="E114" s="42"/>
      <c r="F114" s="42"/>
      <c r="G114" s="45" t="str">
        <f>HYPERLINK("https://twitter.com/RwandaHealth/status/1239642984704081920","Source")</f>
        <v>Source</v>
      </c>
      <c r="H114" s="32"/>
      <c r="I114" s="32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</row>
    <row r="115" ht="30.0" customHeight="1">
      <c r="A115" s="37" t="s">
        <v>121</v>
      </c>
      <c r="B115" s="54">
        <v>6.0</v>
      </c>
      <c r="C115" s="54">
        <v>0.0</v>
      </c>
      <c r="D115" s="42"/>
      <c r="E115" s="42"/>
      <c r="F115" s="42"/>
      <c r="G115" s="45" t="str">
        <f>HYPERLINK("https://www.bbc.com/pidgin/tori-51898661","Source")</f>
        <v>Source</v>
      </c>
      <c r="H115" s="32"/>
      <c r="I115" s="32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</row>
    <row r="116" ht="30.0" customHeight="1">
      <c r="A116" s="37" t="s">
        <v>122</v>
      </c>
      <c r="B116" s="54">
        <v>6.0</v>
      </c>
      <c r="C116" s="54">
        <v>0.0</v>
      </c>
      <c r="D116" s="42"/>
      <c r="E116" s="42"/>
      <c r="F116" s="42"/>
      <c r="G116" s="45" t="str">
        <f>HYPERLINK("https://upl.uz/obshestvo/14778-news.html","Source")</f>
        <v>Source</v>
      </c>
      <c r="H116" s="32"/>
      <c r="I116" s="32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</row>
    <row r="117" ht="27.75" customHeight="1">
      <c r="A117" s="37" t="s">
        <v>124</v>
      </c>
      <c r="B117" s="54">
        <v>6.0</v>
      </c>
      <c r="C117" s="54">
        <v>1.0</v>
      </c>
      <c r="D117" s="42"/>
      <c r="E117" s="42"/>
      <c r="F117" s="42"/>
      <c r="G117" s="45" t="str">
        <f>HYPERLINK("https://twitter.com/DrGiammattei/status/1239609858967642113","Source")</f>
        <v>Source</v>
      </c>
      <c r="H117" s="61"/>
      <c r="I117" s="32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</row>
    <row r="118" ht="27.75" customHeight="1">
      <c r="A118" s="37" t="s">
        <v>249</v>
      </c>
      <c r="B118" s="54">
        <v>5.0</v>
      </c>
      <c r="C118" s="54">
        <v>0.0</v>
      </c>
      <c r="D118" s="42"/>
      <c r="E118" s="42"/>
      <c r="F118" s="42"/>
      <c r="G118" s="45" t="str">
        <f>HYPERLINK("https://twitter.com/CNN_Oppmann/status/1239705187536814080","Source")</f>
        <v>Source</v>
      </c>
      <c r="H118" s="61"/>
      <c r="I118" s="32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</row>
    <row r="119" ht="27.75" customHeight="1">
      <c r="A119" s="37" t="s">
        <v>125</v>
      </c>
      <c r="B119" s="54">
        <v>5.0</v>
      </c>
      <c r="C119" s="54">
        <v>0.0</v>
      </c>
      <c r="D119" s="42"/>
      <c r="E119" s="42"/>
      <c r="F119" s="42"/>
      <c r="G119" s="45" t="str">
        <f>HYPERLINK("https://www.facebook.com/MINSANTE.PageOfficielle/photos/a.1480278031987670/3383764394972348/?type=3","Source")</f>
        <v>Source</v>
      </c>
      <c r="H119" s="32"/>
      <c r="I119" s="32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</row>
    <row r="120" ht="27.75" customHeight="1">
      <c r="A120" s="37" t="s">
        <v>126</v>
      </c>
      <c r="B120" s="54">
        <v>5.0</v>
      </c>
      <c r="C120" s="54">
        <v>0.0</v>
      </c>
      <c r="D120" s="42"/>
      <c r="E120" s="42"/>
      <c r="F120" s="42"/>
      <c r="G120" s="45" t="str">
        <f>HYPERLINK("https://twitter.com/WHOAFRO/status/1239482557101674496","Source")</f>
        <v>Source</v>
      </c>
      <c r="H120" s="32"/>
      <c r="I120" s="32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</row>
    <row r="121" ht="30.0" customHeight="1">
      <c r="A121" s="37" t="s">
        <v>127</v>
      </c>
      <c r="B121" s="54">
        <v>4.0</v>
      </c>
      <c r="C121" s="54">
        <v>0.0</v>
      </c>
      <c r="D121" s="42"/>
      <c r="E121" s="42"/>
      <c r="F121" s="42"/>
      <c r="G121" s="45" t="str">
        <f>HYPERLINK("https://www.nation.co.ke/news/africa/Ethiopia-reports-3-more-coronavirus-cases/1066-5492450-14bnivf/index.html","Source")</f>
        <v>Source</v>
      </c>
      <c r="H121" s="32"/>
      <c r="I121" s="32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</row>
    <row r="122" ht="30.0" customHeight="1">
      <c r="A122" s="37" t="s">
        <v>128</v>
      </c>
      <c r="B122" s="54">
        <v>3.0</v>
      </c>
      <c r="C122" s="54">
        <v>1.0</v>
      </c>
      <c r="D122" s="87"/>
      <c r="E122" s="87"/>
      <c r="F122" s="87"/>
      <c r="G122" s="45" t="str">
        <f>HYPERLINK("https://moz.gov.ua/article/news/moz-povidomljae-pro-dva-novih-pidtverdzhenih-vipadki-koronavirusu-v-ukraini","Source")</f>
        <v>Source</v>
      </c>
      <c r="H122" s="32"/>
      <c r="I122" s="32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</row>
    <row r="123" ht="30.0" customHeight="1">
      <c r="A123" s="37" t="s">
        <v>129</v>
      </c>
      <c r="B123" s="54">
        <v>3.0</v>
      </c>
      <c r="C123" s="54">
        <v>0.0</v>
      </c>
      <c r="D123" s="42"/>
      <c r="E123" s="42"/>
      <c r="F123" s="42"/>
      <c r="G123" s="45" t="str">
        <f>HYPERLINK("https://newsaf.cgtn.com/news/2020-03-15/Seychelles-confirms-two-coronavirus-cases-health-commissioner-ORGr6wjvLW/index.html","Source")</f>
        <v>Source</v>
      </c>
      <c r="H123" s="32"/>
      <c r="I123" s="32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</row>
    <row r="124" ht="30.0" customHeight="1">
      <c r="A124" s="37" t="s">
        <v>130</v>
      </c>
      <c r="B124" s="54">
        <v>3.0</v>
      </c>
      <c r="C124" s="54">
        <v>0.0</v>
      </c>
      <c r="D124" s="42"/>
      <c r="E124" s="42"/>
      <c r="F124" s="42"/>
      <c r="G124" s="45" t="str">
        <f>HYPERLINK("https://twitter.com/WHOAFRO/status/1239482557101674496","Source")</f>
        <v>Source</v>
      </c>
      <c r="H124" s="32"/>
      <c r="I124" s="32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</row>
    <row r="125" ht="27.75" customHeight="1">
      <c r="A125" s="37" t="s">
        <v>131</v>
      </c>
      <c r="B125" s="54">
        <v>3.0</v>
      </c>
      <c r="C125" s="54">
        <v>0.0</v>
      </c>
      <c r="D125" s="42">
        <v>1.0</v>
      </c>
      <c r="E125" s="42"/>
      <c r="F125" s="42">
        <v>1.0</v>
      </c>
      <c r="G125" s="45" t="str">
        <f>HYPERLINK("https://twitter.com/GibraltarGov/status/1239614840240570368","Source")</f>
        <v>Source</v>
      </c>
      <c r="H125" s="32"/>
      <c r="I125" s="32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</row>
    <row r="126" ht="30.0" customHeight="1">
      <c r="A126" s="37" t="s">
        <v>132</v>
      </c>
      <c r="B126" s="54">
        <v>3.0</v>
      </c>
      <c r="C126" s="54">
        <v>0.0</v>
      </c>
      <c r="D126" s="42"/>
      <c r="E126" s="42"/>
      <c r="F126" s="42"/>
      <c r="G126" s="45" t="str">
        <f>HYPERLINK("https://twitter.com/WHOAFRO/status/1239482557101674496","Source")</f>
        <v>Source</v>
      </c>
      <c r="H126" s="32"/>
      <c r="I126" s="32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</row>
    <row r="127" ht="30.0" customHeight="1">
      <c r="A127" s="37" t="s">
        <v>133</v>
      </c>
      <c r="B127" s="54">
        <v>2.0</v>
      </c>
      <c r="C127" s="54">
        <v>0.0</v>
      </c>
      <c r="D127" s="42">
        <v>0.0</v>
      </c>
      <c r="E127" s="42">
        <v>0.0</v>
      </c>
      <c r="F127" s="42">
        <v>0.0</v>
      </c>
      <c r="G127" s="45" t="str">
        <f>HYPERLINK("https://twitter.com/NCDCgov/status/1236947198971125761","Source")</f>
        <v>Source</v>
      </c>
      <c r="H127" s="32"/>
      <c r="I127" s="32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</row>
    <row r="128" ht="30.0" customHeight="1">
      <c r="A128" s="37" t="s">
        <v>135</v>
      </c>
      <c r="B128" s="54">
        <v>2.0</v>
      </c>
      <c r="C128" s="54">
        <v>0.0</v>
      </c>
      <c r="D128" s="42"/>
      <c r="E128" s="42"/>
      <c r="F128" s="42"/>
      <c r="G128" s="45" t="str">
        <f>HYPERLINK("https://news.trust.org/item/20200314105045-1u9ll","Source")</f>
        <v>Source</v>
      </c>
      <c r="H128" s="32"/>
      <c r="I128" s="32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</row>
    <row r="129" ht="30.0" customHeight="1">
      <c r="A129" s="37" t="s">
        <v>136</v>
      </c>
      <c r="B129" s="54">
        <v>1.0</v>
      </c>
      <c r="C129" s="54">
        <v>0.0</v>
      </c>
      <c r="D129" s="42"/>
      <c r="E129" s="42"/>
      <c r="F129" s="42"/>
      <c r="G129" s="45" t="str">
        <f>HYPERLINK("https://opmbahamas.com/national-address-update-covid-19/","Source")</f>
        <v>Source</v>
      </c>
      <c r="H129" s="32"/>
      <c r="I129" s="32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</row>
    <row r="130" ht="30.0" customHeight="1">
      <c r="A130" s="37" t="s">
        <v>137</v>
      </c>
      <c r="B130" s="54">
        <v>1.0</v>
      </c>
      <c r="C130" s="54">
        <v>0.0</v>
      </c>
      <c r="D130" s="42"/>
      <c r="E130" s="42"/>
      <c r="F130" s="42"/>
      <c r="G130" s="45" t="str">
        <f t="shared" ref="G130:G133" si="2">HYPERLINK("https://twitter.com/WHOAFRO/status/1239482557101674496","Source")</f>
        <v>Source</v>
      </c>
      <c r="H130" s="32"/>
      <c r="I130" s="32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</row>
    <row r="131" ht="30.0" customHeight="1">
      <c r="A131" s="37" t="s">
        <v>138</v>
      </c>
      <c r="B131" s="54">
        <v>1.0</v>
      </c>
      <c r="C131" s="54">
        <v>0.0</v>
      </c>
      <c r="D131" s="42"/>
      <c r="E131" s="42"/>
      <c r="F131" s="42"/>
      <c r="G131" s="45" t="str">
        <f t="shared" si="2"/>
        <v>Source</v>
      </c>
      <c r="H131" s="32"/>
      <c r="I131" s="32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</row>
    <row r="132" ht="30.0" customHeight="1">
      <c r="A132" s="37" t="s">
        <v>139</v>
      </c>
      <c r="B132" s="54">
        <v>1.0</v>
      </c>
      <c r="C132" s="54">
        <v>0.0</v>
      </c>
      <c r="D132" s="42"/>
      <c r="E132" s="42"/>
      <c r="F132" s="42"/>
      <c r="G132" s="45" t="str">
        <f t="shared" si="2"/>
        <v>Source</v>
      </c>
      <c r="H132" s="32"/>
      <c r="I132" s="32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</row>
    <row r="133" ht="30.0" customHeight="1">
      <c r="A133" s="37" t="s">
        <v>140</v>
      </c>
      <c r="B133" s="54">
        <v>1.0</v>
      </c>
      <c r="C133" s="54">
        <v>0.0</v>
      </c>
      <c r="D133" s="42"/>
      <c r="E133" s="42"/>
      <c r="F133" s="42"/>
      <c r="G133" s="45" t="str">
        <f t="shared" si="2"/>
        <v>Source</v>
      </c>
      <c r="H133" s="32"/>
      <c r="I133" s="32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</row>
    <row r="134" ht="30.0" customHeight="1">
      <c r="A134" s="37" t="s">
        <v>141</v>
      </c>
      <c r="B134" s="54">
        <v>1.0</v>
      </c>
      <c r="C134" s="54">
        <v>0.0</v>
      </c>
      <c r="D134" s="42"/>
      <c r="E134" s="42"/>
      <c r="F134" s="42"/>
      <c r="G134" s="45" t="str">
        <f>HYPERLINK("https://news.trust.org/item/20200314231524-ebs0t","Source")</f>
        <v>Source</v>
      </c>
      <c r="H134" s="32"/>
      <c r="I134" s="32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</row>
    <row r="135" ht="30.0" customHeight="1">
      <c r="A135" s="37" t="s">
        <v>142</v>
      </c>
      <c r="B135" s="54">
        <v>1.0</v>
      </c>
      <c r="C135" s="54">
        <v>0.0</v>
      </c>
      <c r="D135" s="42"/>
      <c r="E135" s="42"/>
      <c r="F135" s="42"/>
      <c r="G135" s="45" t="str">
        <f>HYPERLINK("https://twitter.com/WHOAFRO/status/1239482557101674496","Source")</f>
        <v>Source</v>
      </c>
      <c r="H135" s="32"/>
      <c r="I135" s="32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</row>
    <row r="136" ht="30.0" customHeight="1">
      <c r="A136" s="37" t="s">
        <v>143</v>
      </c>
      <c r="B136" s="54">
        <v>1.0</v>
      </c>
      <c r="C136" s="54">
        <v>0.0</v>
      </c>
      <c r="D136" s="42"/>
      <c r="E136" s="42"/>
      <c r="F136" s="42"/>
      <c r="G136" s="45" t="str">
        <f>HYPERLINK("https://news.trust.org/item/20200313230939-l5lk1","Source")</f>
        <v>Source</v>
      </c>
      <c r="H136" s="32"/>
      <c r="I136" s="32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</row>
    <row r="137" ht="30.0" customHeight="1">
      <c r="A137" s="37" t="s">
        <v>144</v>
      </c>
      <c r="B137" s="54">
        <v>1.0</v>
      </c>
      <c r="C137" s="54">
        <v>0.0</v>
      </c>
      <c r="D137" s="42"/>
      <c r="E137" s="42"/>
      <c r="F137" s="42"/>
      <c r="G137" s="45" t="str">
        <f>HYPERLINK("https://news.trust.org/item/20200314193058-yce0v","Source")</f>
        <v>Source</v>
      </c>
      <c r="H137" s="32"/>
      <c r="I137" s="32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</row>
    <row r="138" ht="30.0" customHeight="1">
      <c r="A138" s="37" t="s">
        <v>145</v>
      </c>
      <c r="B138" s="54">
        <v>1.0</v>
      </c>
      <c r="C138" s="54">
        <v>0.0</v>
      </c>
      <c r="D138" s="42"/>
      <c r="E138" s="42"/>
      <c r="F138" s="42"/>
      <c r="G138" s="45" t="str">
        <f>HYPERLINK("https://twitter.com/WHOAFRO/status/1239482557101674496","Source")</f>
        <v>Source</v>
      </c>
      <c r="H138" s="32"/>
      <c r="I138" s="32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</row>
    <row r="139" ht="27.75" customHeight="1">
      <c r="A139" s="37" t="s">
        <v>146</v>
      </c>
      <c r="B139" s="54">
        <v>1.0</v>
      </c>
      <c r="C139" s="54">
        <v>0.0</v>
      </c>
      <c r="D139" s="42"/>
      <c r="E139" s="42"/>
      <c r="F139" s="42"/>
      <c r="G139" s="45" t="str">
        <f>HYPERLINK("https://news.trust.org/item/20200306140422-lxn7v","Source")</f>
        <v>Source</v>
      </c>
      <c r="H139" s="32"/>
      <c r="I139" s="32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</row>
    <row r="140" ht="30.0" customHeight="1">
      <c r="A140" s="37" t="s">
        <v>147</v>
      </c>
      <c r="B140" s="54">
        <v>1.0</v>
      </c>
      <c r="C140" s="54">
        <v>0.0</v>
      </c>
      <c r="D140" s="42" t="s">
        <v>118</v>
      </c>
      <c r="E140" s="42" t="s">
        <v>118</v>
      </c>
      <c r="F140" s="42">
        <v>1.0</v>
      </c>
      <c r="G140" s="101"/>
      <c r="H140" s="32"/>
      <c r="I140" s="32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</row>
    <row r="141" ht="27.75" customHeight="1">
      <c r="A141" s="37" t="s">
        <v>148</v>
      </c>
      <c r="B141" s="54">
        <v>1.0</v>
      </c>
      <c r="C141" s="54">
        <v>0.0</v>
      </c>
      <c r="D141" s="42"/>
      <c r="E141" s="42"/>
      <c r="F141" s="42"/>
      <c r="G141" s="45" t="str">
        <f>HYPERLINK("https://www.facebook.com/MoHBhutan/posts/2974352729292990","Source")</f>
        <v>Source</v>
      </c>
      <c r="H141" s="32"/>
      <c r="I141" s="32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</row>
    <row r="142" ht="27.75" customHeight="1">
      <c r="A142" s="37" t="s">
        <v>149</v>
      </c>
      <c r="B142" s="54">
        <v>1.0</v>
      </c>
      <c r="C142" s="54">
        <v>0.0</v>
      </c>
      <c r="D142" s="42"/>
      <c r="E142" s="42"/>
      <c r="F142" s="42"/>
      <c r="G142" s="45" t="str">
        <f>HYPERLINK("https://news.trust.org/item/20200306084828-6r4o6","Source")</f>
        <v>Source</v>
      </c>
      <c r="H142" s="32"/>
      <c r="I142" s="32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</row>
    <row r="143" ht="27.75" customHeight="1">
      <c r="A143" s="102" t="s">
        <v>150</v>
      </c>
      <c r="B143" s="103">
        <v>790.0</v>
      </c>
      <c r="C143" s="103"/>
      <c r="D143" s="104"/>
      <c r="E143" s="104"/>
      <c r="F143" s="104"/>
      <c r="G143" s="105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</row>
    <row r="144" ht="30.0" customHeight="1">
      <c r="A144" s="106" t="s">
        <v>151</v>
      </c>
      <c r="B144" s="107">
        <f t="shared" ref="B144:C144" si="3">sum(B7:B143)</f>
        <v>182250</v>
      </c>
      <c r="C144" s="108">
        <f t="shared" si="3"/>
        <v>7125</v>
      </c>
      <c r="D144" s="108">
        <f t="shared" ref="D144:F144" si="4">sum(D7:D142)</f>
        <v>5857</v>
      </c>
      <c r="E144" s="109">
        <f t="shared" si="4"/>
        <v>108</v>
      </c>
      <c r="F144" s="110">
        <f t="shared" si="4"/>
        <v>78204</v>
      </c>
      <c r="G144" s="111"/>
      <c r="H144" s="32"/>
      <c r="I144" s="32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</row>
    <row r="145" ht="30.0" customHeight="1">
      <c r="A145" s="106"/>
      <c r="B145" s="112"/>
      <c r="C145" s="109"/>
      <c r="D145" s="109"/>
      <c r="E145" s="109"/>
      <c r="F145" s="113"/>
      <c r="G145" s="111"/>
      <c r="H145" s="32"/>
      <c r="I145" s="32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</row>
  </sheetData>
  <mergeCells count="6">
    <mergeCell ref="B3:C3"/>
    <mergeCell ref="D3:E3"/>
    <mergeCell ref="F3:G3"/>
    <mergeCell ref="B4:C4"/>
    <mergeCell ref="D4:E4"/>
    <mergeCell ref="F4:G4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4.0"/>
    <col customWidth="1" min="8" max="8" width="0.86"/>
  </cols>
  <sheetData>
    <row r="1" ht="27.75" customHeight="1">
      <c r="A1" s="6" t="s">
        <v>0</v>
      </c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>
      <c r="A2" s="5" t="s">
        <v>2</v>
      </c>
      <c r="B2" s="5" t="s">
        <v>3</v>
      </c>
      <c r="D2" s="8" t="s">
        <v>4</v>
      </c>
      <c r="F2" s="9"/>
      <c r="G2" s="10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>
      <c r="A3" s="18">
        <f t="shared" ref="A3:B3" si="1">SUM(B66, B67)</f>
        <v>4641</v>
      </c>
      <c r="B3" s="18">
        <f t="shared" si="1"/>
        <v>87</v>
      </c>
      <c r="D3" s="21">
        <f>SUM(F66, F67)</f>
        <v>8</v>
      </c>
      <c r="F3" s="9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>
      <c r="A4" s="25"/>
      <c r="B4" s="10"/>
      <c r="C4" s="10"/>
      <c r="D4" s="9"/>
      <c r="E4" s="9"/>
      <c r="F4" s="9"/>
      <c r="G4" s="10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ht="30.0" customHeight="1">
      <c r="A5" s="26" t="s">
        <v>22</v>
      </c>
      <c r="B5" s="28" t="s">
        <v>7</v>
      </c>
      <c r="C5" s="28" t="s">
        <v>8</v>
      </c>
      <c r="D5" s="29" t="s">
        <v>31</v>
      </c>
      <c r="E5" s="29" t="s">
        <v>34</v>
      </c>
      <c r="F5" s="29" t="s">
        <v>35</v>
      </c>
      <c r="G5" s="28" t="s">
        <v>36</v>
      </c>
      <c r="H5" s="32"/>
      <c r="I5" s="32"/>
      <c r="J5" s="34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</row>
    <row r="6" ht="30.0" customHeight="1">
      <c r="A6" s="39" t="s">
        <v>68</v>
      </c>
      <c r="B6" s="43">
        <v>950.0</v>
      </c>
      <c r="C6" s="44">
        <v>7.0</v>
      </c>
      <c r="D6" s="48">
        <v>60.0</v>
      </c>
      <c r="E6" s="48"/>
      <c r="F6" s="48"/>
      <c r="G6" s="52" t="str">
        <f>HYPERLINK("https://twitter.com/NYGovCuomo/status/1239566478011027456","Source")</f>
        <v>Source</v>
      </c>
      <c r="H6" s="32"/>
      <c r="I6" s="32"/>
      <c r="J6" s="32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 ht="30.0" customHeight="1">
      <c r="A7" s="55" t="s">
        <v>152</v>
      </c>
      <c r="B7" s="57">
        <v>904.0</v>
      </c>
      <c r="C7" s="57">
        <v>48.0</v>
      </c>
      <c r="D7" s="58"/>
      <c r="E7" s="58"/>
      <c r="F7" s="59">
        <v>1.0</v>
      </c>
      <c r="G7" s="60" t="str">
        <f>HYPERLINK("https://www.doh.wa.gov/Emergencies/Coronavirus","Source")</f>
        <v>Source</v>
      </c>
      <c r="H7" s="32"/>
      <c r="I7" s="32"/>
      <c r="J7" s="32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8" ht="30.0" customHeight="1">
      <c r="A8" s="62" t="s">
        <v>153</v>
      </c>
      <c r="B8" s="63">
        <v>392.0</v>
      </c>
      <c r="C8" s="64">
        <v>11.0</v>
      </c>
      <c r="D8" s="65"/>
      <c r="E8" s="65">
        <v>1.0</v>
      </c>
      <c r="F8" s="65">
        <v>1.0</v>
      </c>
      <c r="G8" s="66" t="str">
        <f>HYPERLINK("https://www.latimes.com/projects/california-coronavirus-cases-tracking-outbreak/","Source")</f>
        <v>Source</v>
      </c>
      <c r="H8" s="32"/>
      <c r="I8" s="32"/>
      <c r="J8" s="32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</row>
    <row r="9" ht="27.75" customHeight="1">
      <c r="A9" s="55" t="s">
        <v>154</v>
      </c>
      <c r="B9" s="68">
        <v>197.0</v>
      </c>
      <c r="C9" s="57">
        <v>0.0</v>
      </c>
      <c r="D9" s="59"/>
      <c r="E9" s="58"/>
      <c r="F9" s="58"/>
      <c r="G9" s="60" t="str">
        <f>HYPERLINK("https://www.mass.gov/info-details/covid-19-cases-quarantine-and-monitoring#covid-19-cases-in-massachusetts-","Source")</f>
        <v>Source</v>
      </c>
      <c r="H9" s="32"/>
      <c r="I9" s="32"/>
      <c r="J9" s="32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</row>
    <row r="10" ht="27.75" customHeight="1">
      <c r="A10" s="55" t="s">
        <v>157</v>
      </c>
      <c r="B10" s="68">
        <v>178.0</v>
      </c>
      <c r="C10" s="57">
        <v>3.0</v>
      </c>
      <c r="D10" s="59"/>
      <c r="E10" s="58"/>
      <c r="F10" s="58"/>
      <c r="G10" s="60" t="str">
        <f>HYPERLINK("https://twitter.com/GovMurphy/status/1239707859597828097","Source")</f>
        <v>Source</v>
      </c>
      <c r="H10" s="61"/>
      <c r="I10" s="32"/>
      <c r="J10" s="32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</row>
    <row r="11" ht="27.75" customHeight="1">
      <c r="A11" s="55" t="s">
        <v>159</v>
      </c>
      <c r="B11" s="68">
        <v>160.0</v>
      </c>
      <c r="C11" s="57">
        <v>1.0</v>
      </c>
      <c r="D11" s="59"/>
      <c r="E11" s="58"/>
      <c r="F11" s="58"/>
      <c r="G11" s="60" t="str">
        <f>HYPERLINK("https://docs.google.com/document/d/e/2PACX-1vRSxDeeJEaDxir0cCd9Sfji8ZPKzNaCPZnvRCbG63Oa1ztz4B4r7xG_wsoC9ucd_ei3--Pz7UD50yQD/pub","Source")</f>
        <v>Source</v>
      </c>
      <c r="H11" s="32"/>
      <c r="I11" s="32"/>
      <c r="J11" s="32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</row>
    <row r="12" ht="30.0" customHeight="1">
      <c r="A12" s="62" t="s">
        <v>162</v>
      </c>
      <c r="B12" s="64">
        <v>155.0</v>
      </c>
      <c r="C12" s="64">
        <v>4.0</v>
      </c>
      <c r="D12" s="65"/>
      <c r="E12" s="74"/>
      <c r="F12" s="74"/>
      <c r="G12" s="66" t="str">
        <f>HYPERLINK("http://www.floridahealth.gov/diseases-and-conditions/COVID-19/","Source")</f>
        <v>Source</v>
      </c>
      <c r="H12" s="32"/>
      <c r="I12" s="32"/>
      <c r="J12" s="32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 ht="30.0" customHeight="1">
      <c r="A13" s="55" t="s">
        <v>87</v>
      </c>
      <c r="B13" s="68">
        <v>121.0</v>
      </c>
      <c r="C13" s="57">
        <v>1.0</v>
      </c>
      <c r="D13" s="59"/>
      <c r="E13" s="59"/>
      <c r="F13" s="58"/>
      <c r="G13" s="60" t="str">
        <f>HYPERLINK("https://dph.georgia.gov/covid-19-daily-status-report","Source")</f>
        <v>Source</v>
      </c>
      <c r="H13" s="32"/>
      <c r="I13" s="32"/>
      <c r="J13" s="32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</row>
    <row r="14" ht="27.75" customHeight="1">
      <c r="A14" s="55" t="s">
        <v>168</v>
      </c>
      <c r="B14" s="68">
        <v>114.0</v>
      </c>
      <c r="C14" s="57">
        <v>3.0</v>
      </c>
      <c r="D14" s="59"/>
      <c r="E14" s="58"/>
      <c r="F14" s="58"/>
      <c r="G14" s="60" t="str">
        <f>HYPERLINK("https://twitter.com/CWatkinsWDSU/status/1239659130949906432","Source")</f>
        <v>Source</v>
      </c>
      <c r="H14" s="61"/>
      <c r="I14" s="32"/>
      <c r="J14" s="32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</row>
    <row r="15" ht="27.75" customHeight="1">
      <c r="A15" s="55" t="s">
        <v>169</v>
      </c>
      <c r="B15" s="68">
        <v>105.0</v>
      </c>
      <c r="C15" s="57">
        <v>0.0</v>
      </c>
      <c r="D15" s="59"/>
      <c r="E15" s="59"/>
      <c r="F15" s="59">
        <v>2.0</v>
      </c>
      <c r="G15" s="60" t="str">
        <f>HYPERLINK("http://www.dph.illinois.gov/news/public-health-officials-announce-12-new-cases-coronavirus-disease-illinois","Source")</f>
        <v>Source</v>
      </c>
      <c r="H15" s="32"/>
      <c r="I15" s="32"/>
      <c r="J15" s="32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</row>
    <row r="16" ht="27.75" customHeight="1">
      <c r="A16" s="55" t="s">
        <v>170</v>
      </c>
      <c r="B16" s="68">
        <v>63.0</v>
      </c>
      <c r="C16" s="57">
        <v>0.0</v>
      </c>
      <c r="D16" s="59"/>
      <c r="E16" s="59">
        <v>1.0</v>
      </c>
      <c r="F16" s="58"/>
      <c r="G16" s="60" t="str">
        <f>HYPERLINK("https://www.media.pa.gov/Pages/Health-Details.aspx?newsid=739","Source")</f>
        <v>Source</v>
      </c>
      <c r="H16" s="32"/>
      <c r="I16" s="32"/>
      <c r="J16" s="32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</row>
    <row r="17" ht="30.0" customHeight="1">
      <c r="A17" s="62" t="s">
        <v>171</v>
      </c>
      <c r="B17" s="64">
        <v>57.0</v>
      </c>
      <c r="C17" s="64">
        <v>0.0</v>
      </c>
      <c r="D17" s="65"/>
      <c r="E17" s="65">
        <v>1.0</v>
      </c>
      <c r="F17" s="74"/>
      <c r="G17" s="66" t="str">
        <f>HYPERLINK("https://www.dshs.texas.gov/news/updates.shtm#coronavirus","Source")</f>
        <v>Source</v>
      </c>
      <c r="H17" s="32"/>
      <c r="I17" s="32"/>
      <c r="J17" s="32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</row>
    <row r="18" ht="30.0" customHeight="1">
      <c r="A18" s="62" t="s">
        <v>172</v>
      </c>
      <c r="B18" s="63">
        <v>54.0</v>
      </c>
      <c r="C18" s="63">
        <v>0.0</v>
      </c>
      <c r="D18" s="71"/>
      <c r="E18" s="65">
        <v>1.0</v>
      </c>
      <c r="F18" s="65"/>
      <c r="G18" s="66" t="str">
        <f>HYPERLINK("https://www.health.state.mn.us/diseases/coronavirus/situation.html","Source")</f>
        <v>Source</v>
      </c>
      <c r="H18" s="32"/>
      <c r="I18" s="32"/>
      <c r="J18" s="32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</row>
    <row r="19" ht="27.75" customHeight="1">
      <c r="A19" s="55" t="s">
        <v>173</v>
      </c>
      <c r="B19" s="68">
        <v>54.0</v>
      </c>
      <c r="C19" s="57">
        <v>0.0</v>
      </c>
      <c r="D19" s="59"/>
      <c r="E19" s="58"/>
      <c r="F19" s="58"/>
      <c r="G19" s="60" t="str">
        <f>HYPERLINK("https://content.govdelivery.com/attachments/MIMSP/2020/03/16/file_attachments/1402557/JIC%20News%20Release%20025_Michigan%20announces%20new%20case%20reporting%20format%20for%20COVID-19.pdf","Source")</f>
        <v>Source</v>
      </c>
      <c r="H19" s="32"/>
      <c r="I19" s="32"/>
      <c r="J19" s="32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</row>
    <row r="20" ht="27.75" customHeight="1">
      <c r="A20" s="55" t="s">
        <v>174</v>
      </c>
      <c r="B20" s="68">
        <v>52.0</v>
      </c>
      <c r="C20" s="57">
        <v>0.0</v>
      </c>
      <c r="D20" s="59"/>
      <c r="E20" s="58"/>
      <c r="F20" s="58"/>
      <c r="G20" s="60" t="str">
        <f>HYPERLINK("https://twitter.com/TNDeptofHealth/status/1239627594032693251","Source")</f>
        <v>Source</v>
      </c>
      <c r="H20" s="32"/>
      <c r="I20" s="32"/>
      <c r="J20" s="32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</row>
    <row r="21" ht="30.0" customHeight="1">
      <c r="A21" s="62" t="s">
        <v>175</v>
      </c>
      <c r="B21" s="63">
        <v>51.0</v>
      </c>
      <c r="C21" s="63">
        <v>2.0</v>
      </c>
      <c r="D21" s="71"/>
      <c r="E21" s="74"/>
      <c r="F21" s="74"/>
      <c r="G21" s="66" t="str">
        <f>HYPERLINK("https://twitter.com/GovernorVA/status/1239628486303723525","Source")</f>
        <v>Source</v>
      </c>
      <c r="H21" s="32"/>
      <c r="I21" s="32"/>
      <c r="J21" s="32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</row>
    <row r="22" ht="27.75" customHeight="1">
      <c r="A22" s="55" t="s">
        <v>176</v>
      </c>
      <c r="B22" s="68">
        <v>50.0</v>
      </c>
      <c r="C22" s="57">
        <v>0.0</v>
      </c>
      <c r="D22" s="59"/>
      <c r="E22" s="58"/>
      <c r="F22" s="58"/>
      <c r="G22" s="60" t="str">
        <f>HYPERLINK("https://twitter.com/GovMikeDeWine/status/1239612658212573184","Source")</f>
        <v>Source</v>
      </c>
      <c r="H22" s="32"/>
      <c r="I22" s="32"/>
      <c r="J22" s="32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</row>
    <row r="23" ht="27.75" customHeight="1">
      <c r="A23" s="55" t="s">
        <v>179</v>
      </c>
      <c r="B23" s="68">
        <v>47.0</v>
      </c>
      <c r="C23" s="57">
        <v>1.0</v>
      </c>
      <c r="D23" s="59"/>
      <c r="E23" s="58"/>
      <c r="F23" s="58"/>
      <c r="G23" s="60" t="str">
        <f>HYPERLINK("https://www.oregon.gov/oha/PH/DISEASESCONDITIONS/DISEASESAZ/Pages/emerging-respiratory-infections.aspx","Source")</f>
        <v>Source</v>
      </c>
      <c r="H23" s="61"/>
      <c r="I23" s="32"/>
      <c r="J23" s="32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</row>
    <row r="24" ht="27.75" customHeight="1">
      <c r="A24" s="55" t="s">
        <v>182</v>
      </c>
      <c r="B24" s="68">
        <v>47.0</v>
      </c>
      <c r="C24" s="57">
        <v>0.0</v>
      </c>
      <c r="D24" s="59"/>
      <c r="E24" s="58"/>
      <c r="F24" s="59">
        <v>1.0</v>
      </c>
      <c r="G24" s="60" t="str">
        <f>HYPERLINK("https://www.dhs.wisconsin.gov/outbreaks/index.htm","Source")</f>
        <v>Source</v>
      </c>
      <c r="H24" s="61"/>
      <c r="I24" s="32"/>
      <c r="J24" s="32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</row>
    <row r="25" ht="24.0" customHeight="1">
      <c r="A25" s="55" t="s">
        <v>27</v>
      </c>
      <c r="B25" s="68">
        <v>46.0</v>
      </c>
      <c r="C25" s="57">
        <v>0.0</v>
      </c>
      <c r="D25" s="59"/>
      <c r="E25" s="58"/>
      <c r="F25" s="59">
        <v>2.0</v>
      </c>
      <c r="G25" s="60" t="str">
        <f>HYPERLINK("https://www.cdc.gov/coronavirus/2019-ncov/cases-in-us.html","Source")</f>
        <v>Source</v>
      </c>
      <c r="H25" s="32"/>
      <c r="I25" s="32"/>
      <c r="J25" s="32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</row>
    <row r="26" ht="27.75" customHeight="1">
      <c r="A26" s="55" t="s">
        <v>186</v>
      </c>
      <c r="B26" s="68">
        <v>45.0</v>
      </c>
      <c r="C26" s="57">
        <v>1.0</v>
      </c>
      <c r="D26" s="59"/>
      <c r="E26" s="58"/>
      <c r="F26" s="58"/>
      <c r="G26" s="60" t="str">
        <f>HYPERLINK("https://www.southernnevadahealthdistrict.org/news-release/southern-nevada-health-district-is-reporting-a-total-of-35-cases-in-clark-county-including-one-death/","Source")</f>
        <v>Source</v>
      </c>
      <c r="H26" s="32"/>
      <c r="I26" s="32"/>
      <c r="J26" s="32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</row>
    <row r="27" ht="27.75" customHeight="1">
      <c r="A27" s="55" t="s">
        <v>189</v>
      </c>
      <c r="B27" s="68">
        <v>41.0</v>
      </c>
      <c r="C27" s="57">
        <v>0.0</v>
      </c>
      <c r="D27" s="59"/>
      <c r="E27" s="58"/>
      <c r="F27" s="58"/>
      <c r="G27" s="60" t="str">
        <f>HYPERLINK("https://portal.ct.gov/Coronavirus","Source")</f>
        <v>Source</v>
      </c>
      <c r="H27" s="61"/>
      <c r="I27" s="32"/>
      <c r="J27" s="32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</row>
    <row r="28" ht="30.0" customHeight="1">
      <c r="A28" s="62" t="s">
        <v>192</v>
      </c>
      <c r="B28" s="63">
        <v>39.0</v>
      </c>
      <c r="C28" s="63">
        <v>0.0</v>
      </c>
      <c r="D28" s="71"/>
      <c r="E28" s="74"/>
      <c r="F28" s="74"/>
      <c r="G28" s="66" t="str">
        <f>HYPERLINK("https://coronavirus.utah.gov/latest/","Source")</f>
        <v>Source</v>
      </c>
      <c r="H28" s="61"/>
      <c r="I28" s="32"/>
      <c r="J28" s="32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 ht="27.75" customHeight="1">
      <c r="A29" s="55" t="s">
        <v>195</v>
      </c>
      <c r="B29" s="68">
        <v>37.0</v>
      </c>
      <c r="C29" s="57">
        <v>0.0</v>
      </c>
      <c r="D29" s="59"/>
      <c r="E29" s="59"/>
      <c r="F29" s="59">
        <v>0.0</v>
      </c>
      <c r="G29" s="60" t="str">
        <f>HYPERLINK("https://coronavirus.maryland.gov/","Source")</f>
        <v>Source</v>
      </c>
      <c r="H29" s="32"/>
      <c r="I29" s="32"/>
      <c r="J29" s="32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</row>
    <row r="30" ht="30.0" customHeight="1">
      <c r="A30" s="62" t="s">
        <v>197</v>
      </c>
      <c r="B30" s="63">
        <v>33.0</v>
      </c>
      <c r="C30" s="63">
        <v>1.0</v>
      </c>
      <c r="D30" s="71"/>
      <c r="E30" s="74"/>
      <c r="F30" s="74"/>
      <c r="G30" s="66" t="str">
        <f>HYPERLINK("https://www.scdhec.gov/infectious-diseases/viruses/coronavirus-disease-2019-covid-19/monitoring-testing-covid-19","Source")</f>
        <v>Source</v>
      </c>
      <c r="H30" s="61"/>
      <c r="I30" s="32"/>
      <c r="J30" s="32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</row>
    <row r="31" ht="30.0" customHeight="1">
      <c r="A31" s="62" t="s">
        <v>198</v>
      </c>
      <c r="B31" s="63">
        <v>33.0</v>
      </c>
      <c r="C31" s="63">
        <v>0.0</v>
      </c>
      <c r="D31" s="71"/>
      <c r="E31" s="74"/>
      <c r="F31" s="74"/>
      <c r="G31" s="66" t="str">
        <f>HYPERLINK("https://www.ncdhhs.gov/covid-19-case-count-nc","Source")</f>
        <v>Source</v>
      </c>
      <c r="H31" s="32"/>
      <c r="I31" s="32"/>
      <c r="J31" s="32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</row>
    <row r="32" ht="27.75" customHeight="1">
      <c r="A32" s="55" t="s">
        <v>199</v>
      </c>
      <c r="B32" s="68">
        <v>29.0</v>
      </c>
      <c r="C32" s="57">
        <v>0.0</v>
      </c>
      <c r="D32" s="59"/>
      <c r="E32" s="58"/>
      <c r="F32" s="58"/>
      <c r="G32" s="60" t="str">
        <f>HYPERLINK("http://alabamapublichealth.gov/infectiousdiseases/2019-coronavirus.html","Source")</f>
        <v>Source</v>
      </c>
      <c r="H32" s="32"/>
      <c r="I32" s="32"/>
      <c r="J32" s="32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</row>
    <row r="33" ht="30.0" customHeight="1">
      <c r="A33" s="62" t="s">
        <v>200</v>
      </c>
      <c r="B33" s="63">
        <v>24.0</v>
      </c>
      <c r="C33" s="63">
        <v>1.0</v>
      </c>
      <c r="D33" s="71"/>
      <c r="E33" s="74"/>
      <c r="F33" s="74"/>
      <c r="G33" s="66" t="str">
        <f>HYPERLINK("https://calendar.in.gov/site/isdh/event/isdh-news-release-health-department-announces-1st-covid-19-death-in-indiana/","Source")</f>
        <v>Source</v>
      </c>
      <c r="H33" s="32"/>
      <c r="I33" s="32"/>
      <c r="J33" s="32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</row>
    <row r="34" ht="27.75" customHeight="1">
      <c r="A34" s="55" t="s">
        <v>201</v>
      </c>
      <c r="B34" s="68">
        <v>22.0</v>
      </c>
      <c r="C34" s="57">
        <v>0.0</v>
      </c>
      <c r="D34" s="59"/>
      <c r="E34" s="58"/>
      <c r="F34" s="58"/>
      <c r="G34" s="60" t="str">
        <f>HYPERLINK("https://governor.iowa.gov/press-release/gov-reynolds-recommends-iowa-schools-close-for-four-weeks-will-hold-a-press-0","Source")</f>
        <v>Source</v>
      </c>
      <c r="H34" s="32"/>
      <c r="I34" s="32"/>
      <c r="J34" s="32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</row>
    <row r="35" ht="27.75" customHeight="1">
      <c r="A35" s="55" t="s">
        <v>202</v>
      </c>
      <c r="B35" s="68">
        <v>22.0</v>
      </c>
      <c r="C35" s="57">
        <v>1.0</v>
      </c>
      <c r="D35" s="59"/>
      <c r="E35" s="58"/>
      <c r="F35" s="58"/>
      <c r="G35" s="60" t="str">
        <f>HYPERLINK("https://www.kentucky.com/news/health-and-medicine/article241223216.html","Source")</f>
        <v>Source</v>
      </c>
      <c r="H35" s="32"/>
      <c r="I35" s="32"/>
      <c r="J35" s="32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</row>
    <row r="36" ht="27.75" customHeight="1">
      <c r="A36" s="55" t="s">
        <v>204</v>
      </c>
      <c r="B36" s="68">
        <v>22.0</v>
      </c>
      <c r="C36" s="57">
        <v>0.0</v>
      </c>
      <c r="D36" s="59"/>
      <c r="E36" s="58"/>
      <c r="F36" s="58"/>
      <c r="G36" s="60" t="str">
        <f>HYPERLINK("https://www.healthy.arkansas.gov/programs-services/topics/novel-coronaviru","Source")</f>
        <v>Source</v>
      </c>
      <c r="H36" s="32"/>
      <c r="I36" s="32"/>
      <c r="J36" s="32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 ht="27.75" customHeight="1">
      <c r="A37" s="55" t="s">
        <v>206</v>
      </c>
      <c r="B37" s="68">
        <v>21.0</v>
      </c>
      <c r="C37" s="57">
        <v>0.0</v>
      </c>
      <c r="D37" s="59"/>
      <c r="E37" s="58"/>
      <c r="F37" s="58"/>
      <c r="G37" s="60" t="str">
        <f>HYPERLINK("https://www.youtube.com/watch?v=pAsq7-_3XTI","Source")</f>
        <v>Source</v>
      </c>
      <c r="H37" s="32"/>
      <c r="I37" s="32"/>
      <c r="J37" s="32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</row>
    <row r="38" ht="27.75" customHeight="1">
      <c r="A38" s="55" t="s">
        <v>208</v>
      </c>
      <c r="B38" s="68">
        <v>21.0</v>
      </c>
      <c r="C38" s="57">
        <v>0.0</v>
      </c>
      <c r="D38" s="59"/>
      <c r="E38" s="58"/>
      <c r="F38" s="58"/>
      <c r="G38" s="60" t="str">
        <f>HYPERLINK("https://twitter.com/plittletvguy/status/1239564563869323264","Source")</f>
        <v>Source</v>
      </c>
      <c r="H38" s="32"/>
      <c r="I38" s="32"/>
      <c r="J38" s="32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</row>
    <row r="39" ht="27.75" customHeight="1">
      <c r="A39" s="55" t="s">
        <v>211</v>
      </c>
      <c r="B39" s="68">
        <v>21.0</v>
      </c>
      <c r="C39" s="57">
        <v>0.0</v>
      </c>
      <c r="D39" s="59"/>
      <c r="E39" s="58"/>
      <c r="F39" s="58"/>
      <c r="G39" s="60" t="str">
        <f>HYPERLINK("https://cv.nmhealth.org/","Source")</f>
        <v>Source</v>
      </c>
      <c r="H39" s="61"/>
      <c r="I39" s="32"/>
      <c r="J39" s="32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</row>
    <row r="40" ht="27.75" customHeight="1">
      <c r="A40" s="55" t="s">
        <v>214</v>
      </c>
      <c r="B40" s="68">
        <v>18.0</v>
      </c>
      <c r="C40" s="57">
        <v>0.0</v>
      </c>
      <c r="D40" s="59"/>
      <c r="E40" s="58"/>
      <c r="F40" s="58"/>
      <c r="G40" s="60" t="str">
        <f>HYPERLINK("https://twitter.com/NEDHHS/status/1239357790478622721","Source")</f>
        <v>Source</v>
      </c>
      <c r="H40" s="32"/>
      <c r="I40" s="32"/>
      <c r="J40" s="32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</row>
    <row r="41" ht="27.75" customHeight="1">
      <c r="A41" s="55" t="s">
        <v>217</v>
      </c>
      <c r="B41" s="68">
        <v>18.0</v>
      </c>
      <c r="C41" s="57">
        <v>0.0</v>
      </c>
      <c r="D41" s="59"/>
      <c r="E41" s="58"/>
      <c r="F41" s="59">
        <v>1.0</v>
      </c>
      <c r="G41" s="60" t="str">
        <f>HYPERLINK("https://www.azdhs.gov/preparedness/epidemiology-disease-control/infectious-disease-epidemiology/index.php#novel-coronavirus-home","Source")</f>
        <v>Source</v>
      </c>
      <c r="H41" s="32"/>
      <c r="I41" s="32"/>
      <c r="J41" s="32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</row>
    <row r="42" ht="27.75" customHeight="1">
      <c r="A42" s="55" t="s">
        <v>221</v>
      </c>
      <c r="B42" s="68">
        <v>17.0</v>
      </c>
      <c r="C42" s="57">
        <v>0.0</v>
      </c>
      <c r="D42" s="59"/>
      <c r="E42" s="58"/>
      <c r="F42" s="58"/>
      <c r="G42" s="60" t="str">
        <f>HYPERLINK("https://www.maine.gov/dhhs/mecdc/infectious-disease/epi/airborne/coronavirus.shtml","Source")</f>
        <v>Source</v>
      </c>
      <c r="H42" s="32"/>
      <c r="I42" s="32"/>
      <c r="J42" s="32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</row>
    <row r="43" ht="27.75" customHeight="1">
      <c r="A43" s="55" t="s">
        <v>222</v>
      </c>
      <c r="B43" s="68">
        <v>16.0</v>
      </c>
      <c r="C43" s="57">
        <v>0.0</v>
      </c>
      <c r="D43" s="59"/>
      <c r="E43" s="58"/>
      <c r="F43" s="58"/>
      <c r="G43" s="60" t="str">
        <f>HYPERLINK("https://coronavirus.dc.gov/release/coronavirus-data-update-march-14","Source")</f>
        <v>Source</v>
      </c>
      <c r="H43" s="32"/>
      <c r="I43" s="32"/>
      <c r="J43" s="32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</row>
    <row r="44" ht="30.0" customHeight="1">
      <c r="A44" s="62" t="s">
        <v>223</v>
      </c>
      <c r="B44" s="63">
        <v>13.0</v>
      </c>
      <c r="C44" s="64">
        <v>0.0</v>
      </c>
      <c r="D44" s="65"/>
      <c r="E44" s="74"/>
      <c r="F44" s="74"/>
      <c r="G44" s="66" t="str">
        <f>HYPERLINK("https://www.nh.gov/covid19/","Source")</f>
        <v>Source</v>
      </c>
      <c r="H44" s="32"/>
      <c r="I44" s="32"/>
      <c r="J44" s="32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</row>
    <row r="45" ht="27.75" customHeight="1">
      <c r="A45" s="55" t="s">
        <v>224</v>
      </c>
      <c r="B45" s="68">
        <v>12.0</v>
      </c>
      <c r="C45" s="57">
        <v>0.0</v>
      </c>
      <c r="D45" s="59"/>
      <c r="E45" s="58"/>
      <c r="F45" s="58"/>
      <c r="G45" s="60" t="str">
        <f>HYPERLINK("https://msdh.ms.gov/msdhsite/_static/14,0,420.html","Source")</f>
        <v>Source</v>
      </c>
      <c r="H45" s="32"/>
      <c r="I45" s="32"/>
      <c r="J45" s="32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</row>
    <row r="46" ht="30.0" customHeight="1">
      <c r="A46" s="62" t="s">
        <v>225</v>
      </c>
      <c r="B46" s="63">
        <v>12.0</v>
      </c>
      <c r="C46" s="63">
        <v>0.0</v>
      </c>
      <c r="D46" s="71"/>
      <c r="E46" s="74"/>
      <c r="F46" s="74"/>
      <c r="G46" s="66" t="str">
        <f>HYPERLINK("https://www.healthvermont.gov/media/newsroom/vermont-reports-additional-four-cases-new-coronavirus-covid-19","Source")</f>
        <v>Source</v>
      </c>
      <c r="H46" s="32"/>
      <c r="I46" s="32"/>
      <c r="J46" s="32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</row>
    <row r="47" ht="27.75" customHeight="1">
      <c r="A47" s="55" t="s">
        <v>230</v>
      </c>
      <c r="B47" s="68">
        <v>10.0</v>
      </c>
      <c r="C47" s="57">
        <v>1.0</v>
      </c>
      <c r="D47" s="59"/>
      <c r="E47" s="58"/>
      <c r="F47" s="58"/>
      <c r="G47" s="60" t="str">
        <f>HYPERLINK("https://doh.sd.gov/news/coronavirus.aspx","Source")</f>
        <v>Source</v>
      </c>
      <c r="H47" s="32"/>
      <c r="I47" s="32"/>
      <c r="J47" s="32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</row>
    <row r="48" ht="30.0" customHeight="1">
      <c r="A48" s="62" t="s">
        <v>239</v>
      </c>
      <c r="B48" s="63">
        <v>10.0</v>
      </c>
      <c r="C48" s="63">
        <v>0.0</v>
      </c>
      <c r="D48" s="71"/>
      <c r="E48" s="74"/>
      <c r="F48" s="74"/>
      <c r="G48" s="66" t="str">
        <f>HYPERLINK("https://coronavirus.health.ok.gov/","Source")</f>
        <v>Source</v>
      </c>
      <c r="H48" s="32"/>
      <c r="I48" s="32"/>
      <c r="J48" s="32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</row>
    <row r="49" ht="27.75" customHeight="1">
      <c r="A49" s="55" t="s">
        <v>241</v>
      </c>
      <c r="B49" s="68">
        <v>10.0</v>
      </c>
      <c r="C49" s="57">
        <v>0.0</v>
      </c>
      <c r="D49" s="59"/>
      <c r="E49" s="58"/>
      <c r="F49" s="58"/>
      <c r="G49" s="60" t="str">
        <f>HYPERLINK("https://www.staradvertiser.com/2020/03/16/breaking-news/hawaiis-first-community-spread-case-of-coronavirus-appears-in-kualoa-ranch/","Source")</f>
        <v>Source</v>
      </c>
      <c r="H49" s="32"/>
      <c r="I49" s="32"/>
      <c r="J49" s="32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</row>
    <row r="50" ht="30.0" customHeight="1">
      <c r="A50" s="62" t="s">
        <v>242</v>
      </c>
      <c r="B50" s="63">
        <v>7.0</v>
      </c>
      <c r="C50" s="63">
        <v>1.0</v>
      </c>
      <c r="D50" s="71"/>
      <c r="E50" s="74"/>
      <c r="F50" s="74"/>
      <c r="G50" s="66" t="str">
        <f>HYPERLINK("https://www.kansascity.com/news/coronavirus/article241195991.html","Source")</f>
        <v>Source</v>
      </c>
      <c r="H50" s="32"/>
      <c r="I50" s="32"/>
      <c r="J50" s="32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</row>
    <row r="51" ht="27.75" customHeight="1">
      <c r="A51" s="55" t="s">
        <v>244</v>
      </c>
      <c r="B51" s="68">
        <v>7.0</v>
      </c>
      <c r="C51" s="57">
        <v>0.0</v>
      </c>
      <c r="D51" s="59"/>
      <c r="E51" s="58"/>
      <c r="F51" s="58"/>
      <c r="G51" s="60" t="str">
        <f>HYPERLINK("https://dhss.delaware.gov/dhss/dph/epi/2019novelcoronavirus.html","Source")</f>
        <v>Source</v>
      </c>
      <c r="H51" s="32"/>
      <c r="I51" s="32"/>
      <c r="J51" s="32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</row>
    <row r="52" ht="27.75" customHeight="1">
      <c r="A52" s="55" t="s">
        <v>246</v>
      </c>
      <c r="B52" s="68">
        <v>6.0</v>
      </c>
      <c r="C52" s="57">
        <v>0.0</v>
      </c>
      <c r="D52" s="59"/>
      <c r="E52" s="58"/>
      <c r="F52" s="58"/>
      <c r="G52" s="60" t="str">
        <f>HYPERLINK("https://nbcmontana.com/news/local/two-people-in-missoula-co-presumptive-positive-for-covid-19","Source")</f>
        <v>Source</v>
      </c>
      <c r="H52" s="32"/>
      <c r="I52" s="32"/>
      <c r="J52" s="32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</row>
    <row r="53" ht="30.0" customHeight="1">
      <c r="A53" s="62" t="s">
        <v>248</v>
      </c>
      <c r="B53" s="63">
        <v>6.0</v>
      </c>
      <c r="C53" s="63">
        <v>0.0</v>
      </c>
      <c r="D53" s="71"/>
      <c r="E53" s="74"/>
      <c r="F53" s="74"/>
      <c r="G53" s="66" t="str">
        <f>HYPERLINK("https://health.mo.gov/living/healthcondiseases/communicable/novel-coronavirus/","Source")</f>
        <v>Source</v>
      </c>
      <c r="H53" s="32"/>
      <c r="I53" s="32"/>
      <c r="J53" s="32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</row>
    <row r="54" ht="27.75" customHeight="1">
      <c r="A54" s="55" t="s">
        <v>250</v>
      </c>
      <c r="B54" s="68">
        <v>5.0</v>
      </c>
      <c r="C54" s="57">
        <v>0.0</v>
      </c>
      <c r="D54" s="59"/>
      <c r="E54" s="58"/>
      <c r="F54" s="58"/>
      <c r="G54" s="60" t="str">
        <f>HYPERLINK("https://twitter.com/DeptSaludPR/status/1239581678860939267","Source")</f>
        <v>Source</v>
      </c>
      <c r="H54" s="32"/>
      <c r="I54" s="32"/>
      <c r="J54" s="32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</row>
    <row r="55" ht="27.75" customHeight="1">
      <c r="A55" s="55" t="s">
        <v>251</v>
      </c>
      <c r="B55" s="68">
        <v>5.0</v>
      </c>
      <c r="C55" s="57">
        <v>0.0</v>
      </c>
      <c r="D55" s="59"/>
      <c r="E55" s="58"/>
      <c r="F55" s="58"/>
      <c r="G55" s="60" t="str">
        <f>HYPERLINK("https://coronavirus.idaho.gov/","Source")</f>
        <v>Source</v>
      </c>
      <c r="H55" s="32"/>
      <c r="I55" s="32"/>
      <c r="J55" s="32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</row>
    <row r="56" ht="27.75" customHeight="1">
      <c r="A56" s="55" t="s">
        <v>252</v>
      </c>
      <c r="B56" s="68">
        <v>3.0</v>
      </c>
      <c r="C56" s="57">
        <v>0.0</v>
      </c>
      <c r="D56" s="59"/>
      <c r="E56" s="58"/>
      <c r="F56" s="58"/>
      <c r="G56" s="93"/>
      <c r="H56" s="32"/>
      <c r="I56" s="32"/>
      <c r="J56" s="32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</row>
    <row r="57" ht="27.75" customHeight="1">
      <c r="A57" s="55" t="s">
        <v>253</v>
      </c>
      <c r="B57" s="68">
        <v>3.0</v>
      </c>
      <c r="C57" s="57">
        <v>0.0</v>
      </c>
      <c r="D57" s="59"/>
      <c r="E57" s="58"/>
      <c r="F57" s="58"/>
      <c r="G57" s="94"/>
      <c r="H57" s="32"/>
      <c r="I57" s="32"/>
      <c r="J57" s="32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</row>
    <row r="58" ht="27.75" customHeight="1">
      <c r="A58" s="55" t="s">
        <v>254</v>
      </c>
      <c r="B58" s="68">
        <v>3.0</v>
      </c>
      <c r="C58" s="57">
        <v>0.0</v>
      </c>
      <c r="D58" s="59"/>
      <c r="E58" s="58"/>
      <c r="F58" s="58"/>
      <c r="G58" s="60" t="str">
        <f>HYPERLINK("https://health.wyo.gov/wyomings-coronavirus-total-up-to-three/","Source")</f>
        <v>Source</v>
      </c>
      <c r="H58" s="32"/>
      <c r="I58" s="32"/>
      <c r="J58" s="32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</row>
    <row r="59" ht="27.75" customHeight="1">
      <c r="A59" s="55" t="s">
        <v>255</v>
      </c>
      <c r="B59" s="68">
        <v>1.0</v>
      </c>
      <c r="C59" s="57">
        <v>0.0</v>
      </c>
      <c r="D59" s="59"/>
      <c r="E59" s="58"/>
      <c r="F59" s="58"/>
      <c r="G59" s="60" t="str">
        <f>HYPERLINK("https://gov.alaska.gov/newsroom/2020/03/12/first-case-of-covid-19-confirmed-by-alaska-state-public-health-laboratory-is-an-international-resident/","Source")</f>
        <v>Source</v>
      </c>
      <c r="H59" s="32"/>
      <c r="I59" s="32"/>
      <c r="J59" s="32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</row>
    <row r="60" ht="27.75" customHeight="1">
      <c r="A60" s="55" t="s">
        <v>256</v>
      </c>
      <c r="B60" s="68">
        <v>1.0</v>
      </c>
      <c r="C60" s="57">
        <v>0.0</v>
      </c>
      <c r="D60" s="59"/>
      <c r="E60" s="58"/>
      <c r="F60" s="58"/>
      <c r="G60" s="60" t="str">
        <f>HYPERLINK("https://doh.vi.gov/news/health-officials-announce-first-confirmed-case-covid-19-usvi","Source")</f>
        <v>Source</v>
      </c>
      <c r="H60" s="32"/>
      <c r="I60" s="32"/>
      <c r="J60" s="32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</row>
    <row r="61" ht="27.75" customHeight="1">
      <c r="A61" s="55" t="s">
        <v>257</v>
      </c>
      <c r="B61" s="68">
        <v>1.0</v>
      </c>
      <c r="C61" s="57">
        <v>0.0</v>
      </c>
      <c r="D61" s="59"/>
      <c r="E61" s="58"/>
      <c r="F61" s="58"/>
      <c r="G61" s="60" t="str">
        <f>HYPERLINK("https://www.health.nd.gov/news/first-case-novel-coronavirus-confirmed-north-dakota-work-continues-prevent-spread","Source")</f>
        <v>Source</v>
      </c>
      <c r="H61" s="61"/>
      <c r="I61" s="32"/>
      <c r="J61" s="32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</row>
    <row r="62" ht="27.75" customHeight="1">
      <c r="A62" s="55" t="s">
        <v>258</v>
      </c>
      <c r="B62" s="68">
        <v>0.0</v>
      </c>
      <c r="C62" s="57">
        <v>0.0</v>
      </c>
      <c r="D62" s="59"/>
      <c r="E62" s="58"/>
      <c r="F62" s="58"/>
      <c r="G62" s="94"/>
      <c r="H62" s="32"/>
      <c r="I62" s="32"/>
      <c r="J62" s="32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</row>
    <row r="63" ht="27.75" customHeight="1">
      <c r="A63" s="55" t="s">
        <v>259</v>
      </c>
      <c r="B63" s="68">
        <v>0.0</v>
      </c>
      <c r="C63" s="57">
        <v>0.0</v>
      </c>
      <c r="D63" s="59"/>
      <c r="E63" s="58"/>
      <c r="F63" s="58"/>
      <c r="G63" s="94"/>
      <c r="H63" s="32"/>
      <c r="I63" s="32"/>
      <c r="J63" s="32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</row>
    <row r="64" ht="27.75" customHeight="1">
      <c r="A64" s="55" t="s">
        <v>260</v>
      </c>
      <c r="B64" s="68">
        <v>0.0</v>
      </c>
      <c r="C64" s="57">
        <v>0.0</v>
      </c>
      <c r="D64" s="59"/>
      <c r="E64" s="58"/>
      <c r="F64" s="58"/>
      <c r="G64" s="94"/>
      <c r="H64" s="32"/>
      <c r="I64" s="32"/>
      <c r="J64" s="32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</row>
    <row r="65" ht="27.75" customHeight="1">
      <c r="A65" s="95"/>
      <c r="B65" s="96">
        <v>250.0</v>
      </c>
      <c r="C65" s="97">
        <v>0.0</v>
      </c>
      <c r="D65" s="98"/>
      <c r="E65" s="99"/>
      <c r="F65" s="99"/>
      <c r="G65" s="10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</row>
    <row r="66" ht="30.0" customHeight="1">
      <c r="A66" s="77" t="s">
        <v>262</v>
      </c>
      <c r="B66" s="78">
        <f t="shared" ref="B66:C66" si="2">SUM(B6:B65)</f>
        <v>4641</v>
      </c>
      <c r="C66" s="78">
        <f t="shared" si="2"/>
        <v>87</v>
      </c>
      <c r="D66" s="78">
        <f t="shared" ref="D66:F66" si="3">SUM(D6:D64)</f>
        <v>60</v>
      </c>
      <c r="E66" s="78">
        <f t="shared" si="3"/>
        <v>4</v>
      </c>
      <c r="F66" s="78">
        <f t="shared" si="3"/>
        <v>8</v>
      </c>
      <c r="G66" s="79"/>
      <c r="H66" s="32"/>
      <c r="I66" s="32"/>
      <c r="J66" s="32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</row>
    <row r="67">
      <c r="A67" s="77"/>
      <c r="B67" s="80"/>
      <c r="C67" s="80"/>
      <c r="D67" s="80"/>
      <c r="E67" s="80"/>
      <c r="F67" s="80"/>
      <c r="G67" s="79"/>
      <c r="H67" s="27"/>
      <c r="I67" s="27"/>
      <c r="J67" s="2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>
      <c r="A68" s="83"/>
      <c r="B68" s="84"/>
      <c r="C68" s="85"/>
      <c r="D68" s="85"/>
      <c r="E68" s="85"/>
      <c r="F68" s="85"/>
      <c r="G68" s="7"/>
      <c r="H68" s="27"/>
      <c r="I68" s="27"/>
      <c r="J68" s="2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>
      <c r="A69" s="86"/>
      <c r="B69" s="85"/>
      <c r="C69" s="85"/>
      <c r="D69" s="85"/>
      <c r="E69" s="85"/>
      <c r="F69" s="85"/>
      <c r="G69" s="7"/>
      <c r="H69" s="27"/>
      <c r="I69" s="27"/>
      <c r="J69" s="2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>
      <c r="A70" s="86"/>
      <c r="B70" s="85"/>
      <c r="C70" s="85"/>
      <c r="D70" s="85"/>
      <c r="E70" s="85"/>
      <c r="F70" s="85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</sheetData>
  <mergeCells count="5">
    <mergeCell ref="A1:F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</cols>
  <sheetData>
    <row r="1">
      <c r="A1" s="1"/>
      <c r="B1" s="2"/>
      <c r="C1" s="2"/>
    </row>
    <row r="2">
      <c r="A2" s="2"/>
      <c r="B2" s="2"/>
      <c r="C2" s="2"/>
    </row>
    <row r="3">
      <c r="A3" s="3"/>
      <c r="B3" s="2"/>
      <c r="C3" s="2"/>
    </row>
    <row r="4">
      <c r="A4" s="11"/>
      <c r="B4" s="2"/>
      <c r="C4" s="2"/>
    </row>
    <row r="5">
      <c r="A5" s="2"/>
      <c r="B5" s="2"/>
      <c r="C5" s="2"/>
    </row>
    <row r="6">
      <c r="A6" s="12" t="s">
        <v>5</v>
      </c>
      <c r="B6" s="14" t="s">
        <v>7</v>
      </c>
      <c r="C6" s="14" t="s">
        <v>8</v>
      </c>
    </row>
    <row r="7">
      <c r="A7" s="16" t="s">
        <v>9</v>
      </c>
      <c r="B7" s="17">
        <v>81860.0</v>
      </c>
      <c r="C7" s="17">
        <v>3213.0</v>
      </c>
    </row>
    <row r="8">
      <c r="A8" s="19" t="s">
        <v>10</v>
      </c>
      <c r="B8" s="20">
        <v>29980.0</v>
      </c>
      <c r="C8" s="20">
        <v>2158.0</v>
      </c>
    </row>
    <row r="9">
      <c r="A9" s="16" t="s">
        <v>11</v>
      </c>
      <c r="B9" s="17">
        <v>14991.0</v>
      </c>
      <c r="C9" s="22">
        <v>853.0</v>
      </c>
    </row>
    <row r="10">
      <c r="A10" s="19" t="s">
        <v>12</v>
      </c>
      <c r="B10" s="20">
        <v>9942.0</v>
      </c>
      <c r="C10" s="23">
        <v>342.0</v>
      </c>
    </row>
    <row r="11">
      <c r="A11" s="16" t="s">
        <v>13</v>
      </c>
      <c r="B11" s="17">
        <v>8236.0</v>
      </c>
      <c r="C11" s="22">
        <v>75.0</v>
      </c>
    </row>
    <row r="12">
      <c r="A12" s="19" t="s">
        <v>14</v>
      </c>
      <c r="B12" s="20">
        <v>7272.0</v>
      </c>
      <c r="C12" s="23">
        <v>17.0</v>
      </c>
    </row>
    <row r="13">
      <c r="A13" s="16" t="s">
        <v>15</v>
      </c>
      <c r="B13" s="17">
        <v>6653.0</v>
      </c>
      <c r="C13" s="22">
        <v>148.0</v>
      </c>
    </row>
    <row r="14">
      <c r="A14" s="19" t="s">
        <v>16</v>
      </c>
      <c r="B14" s="20">
        <v>4525.0</v>
      </c>
      <c r="C14" s="23">
        <v>81.0</v>
      </c>
    </row>
    <row r="15">
      <c r="A15" s="16" t="s">
        <v>17</v>
      </c>
      <c r="B15" s="17">
        <v>2200.0</v>
      </c>
      <c r="C15" s="22">
        <v>14.0</v>
      </c>
    </row>
    <row r="16">
      <c r="A16" s="19" t="s">
        <v>18</v>
      </c>
      <c r="B16" s="20">
        <v>1543.0</v>
      </c>
      <c r="C16" s="23">
        <v>55.0</v>
      </c>
    </row>
    <row r="17">
      <c r="A17" s="16" t="s">
        <v>19</v>
      </c>
      <c r="B17" s="17">
        <v>1413.0</v>
      </c>
      <c r="C17" s="22">
        <v>24.0</v>
      </c>
    </row>
    <row r="18">
      <c r="A18" s="19" t="s">
        <v>20</v>
      </c>
      <c r="B18" s="20">
        <v>1256.0</v>
      </c>
      <c r="C18" s="23">
        <v>3.0</v>
      </c>
    </row>
    <row r="19">
      <c r="A19" s="16" t="s">
        <v>21</v>
      </c>
      <c r="B19" s="17">
        <v>1085.0</v>
      </c>
      <c r="C19" s="22">
        <v>5.0</v>
      </c>
    </row>
    <row r="20">
      <c r="A20" s="19" t="s">
        <v>23</v>
      </c>
      <c r="B20" s="20">
        <v>1032.0</v>
      </c>
      <c r="C20" s="23">
        <v>3.0</v>
      </c>
    </row>
    <row r="21">
      <c r="A21" s="16" t="s">
        <v>24</v>
      </c>
      <c r="B21" s="22">
        <v>959.0</v>
      </c>
      <c r="C21" s="22">
        <v>1.0</v>
      </c>
    </row>
    <row r="22">
      <c r="A22" s="19" t="s">
        <v>25</v>
      </c>
      <c r="B22" s="23">
        <v>932.0</v>
      </c>
      <c r="C22" s="23">
        <v>1.0</v>
      </c>
    </row>
    <row r="23">
      <c r="A23" s="16" t="s">
        <v>26</v>
      </c>
      <c r="B23" s="22">
        <v>818.0</v>
      </c>
      <c r="C23" s="22">
        <v>24.0</v>
      </c>
    </row>
    <row r="24">
      <c r="A24" s="19" t="s">
        <v>27</v>
      </c>
      <c r="B24" s="23">
        <v>697.0</v>
      </c>
      <c r="C24" s="23">
        <v>7.0</v>
      </c>
    </row>
    <row r="25">
      <c r="A25" s="16" t="s">
        <v>28</v>
      </c>
      <c r="B25" s="22">
        <v>553.0</v>
      </c>
      <c r="C25" s="22">
        <v>0.0</v>
      </c>
    </row>
    <row r="26">
      <c r="A26" s="19" t="s">
        <v>29</v>
      </c>
      <c r="B26" s="23">
        <v>401.0</v>
      </c>
      <c r="C26" s="23">
        <v>0.0</v>
      </c>
    </row>
    <row r="27">
      <c r="A27" s="16" t="s">
        <v>30</v>
      </c>
      <c r="B27" s="22">
        <v>373.0</v>
      </c>
      <c r="C27" s="22">
        <v>4.0</v>
      </c>
    </row>
    <row r="28">
      <c r="A28" s="19" t="s">
        <v>32</v>
      </c>
      <c r="B28" s="23">
        <v>383.0</v>
      </c>
      <c r="C28" s="23">
        <v>5.0</v>
      </c>
    </row>
    <row r="29">
      <c r="A29" s="16" t="s">
        <v>33</v>
      </c>
      <c r="B29" s="22">
        <v>331.0</v>
      </c>
      <c r="C29" s="22">
        <v>4.0</v>
      </c>
    </row>
    <row r="30">
      <c r="A30" s="19" t="s">
        <v>37</v>
      </c>
      <c r="B30" s="23">
        <v>331.0</v>
      </c>
      <c r="C30" s="23">
        <v>1.0</v>
      </c>
    </row>
    <row r="31">
      <c r="A31" s="16" t="s">
        <v>38</v>
      </c>
      <c r="B31" s="22">
        <v>298.0</v>
      </c>
      <c r="C31" s="22">
        <v>0.0</v>
      </c>
    </row>
    <row r="32">
      <c r="A32" s="19" t="s">
        <v>39</v>
      </c>
      <c r="B32" s="23">
        <v>277.0</v>
      </c>
      <c r="C32" s="23">
        <v>0.0</v>
      </c>
    </row>
    <row r="33">
      <c r="A33" s="16" t="s">
        <v>40</v>
      </c>
      <c r="B33" s="22">
        <v>272.0</v>
      </c>
      <c r="C33" s="22">
        <v>0.0</v>
      </c>
    </row>
    <row r="34">
      <c r="A34" s="19" t="s">
        <v>41</v>
      </c>
      <c r="B34" s="23">
        <v>234.0</v>
      </c>
      <c r="C34" s="23">
        <v>0.0</v>
      </c>
    </row>
    <row r="35">
      <c r="A35" s="16" t="s">
        <v>42</v>
      </c>
      <c r="B35" s="22">
        <v>226.0</v>
      </c>
      <c r="C35" s="22">
        <v>0.0</v>
      </c>
    </row>
    <row r="36">
      <c r="A36" s="19" t="s">
        <v>43</v>
      </c>
      <c r="B36" s="23">
        <v>223.0</v>
      </c>
      <c r="C36" s="23">
        <v>2.0</v>
      </c>
    </row>
    <row r="37">
      <c r="A37" s="16" t="s">
        <v>44</v>
      </c>
      <c r="B37" s="22">
        <v>221.0</v>
      </c>
      <c r="C37" s="22">
        <v>1.0</v>
      </c>
    </row>
    <row r="38">
      <c r="A38" s="19" t="s">
        <v>45</v>
      </c>
      <c r="B38" s="23">
        <v>219.0</v>
      </c>
      <c r="C38" s="23">
        <v>1.0</v>
      </c>
    </row>
    <row r="39">
      <c r="A39" s="16" t="s">
        <v>46</v>
      </c>
      <c r="B39" s="22">
        <v>180.0</v>
      </c>
      <c r="C39" s="22">
        <v>0.0</v>
      </c>
    </row>
    <row r="40">
      <c r="A40" s="19" t="s">
        <v>47</v>
      </c>
      <c r="B40" s="23">
        <v>179.0</v>
      </c>
      <c r="C40" s="23">
        <v>0.0</v>
      </c>
    </row>
    <row r="41">
      <c r="A41" s="16" t="s">
        <v>48</v>
      </c>
      <c r="B41" s="22">
        <v>177.0</v>
      </c>
      <c r="C41" s="22">
        <v>4.0</v>
      </c>
    </row>
    <row r="42">
      <c r="A42" s="19" t="s">
        <v>49</v>
      </c>
      <c r="B42" s="23">
        <v>171.0</v>
      </c>
      <c r="C42" s="23">
        <v>0.0</v>
      </c>
    </row>
    <row r="43">
      <c r="A43" s="16" t="s">
        <v>50</v>
      </c>
      <c r="B43" s="22">
        <v>168.0</v>
      </c>
      <c r="C43" s="22">
        <v>0.0</v>
      </c>
    </row>
    <row r="44">
      <c r="A44" s="19" t="s">
        <v>51</v>
      </c>
      <c r="B44" s="23">
        <v>166.0</v>
      </c>
      <c r="C44" s="23">
        <v>4.0</v>
      </c>
    </row>
    <row r="45">
      <c r="A45" s="16" t="s">
        <v>52</v>
      </c>
      <c r="B45" s="22">
        <v>156.0</v>
      </c>
      <c r="C45" s="22">
        <v>0.0</v>
      </c>
    </row>
    <row r="46">
      <c r="A46" s="19" t="s">
        <v>53</v>
      </c>
      <c r="B46" s="23">
        <v>149.0</v>
      </c>
      <c r="C46" s="23">
        <v>4.0</v>
      </c>
    </row>
    <row r="47">
      <c r="A47" s="16" t="s">
        <v>54</v>
      </c>
      <c r="B47" s="22">
        <v>147.0</v>
      </c>
      <c r="C47" s="22">
        <v>1.0</v>
      </c>
    </row>
    <row r="48">
      <c r="A48" s="19" t="s">
        <v>55</v>
      </c>
      <c r="B48" s="23">
        <v>142.0</v>
      </c>
      <c r="C48" s="23">
        <v>12.0</v>
      </c>
    </row>
    <row r="49">
      <c r="A49" s="16" t="s">
        <v>56</v>
      </c>
      <c r="B49" s="22">
        <v>134.0</v>
      </c>
      <c r="C49" s="22">
        <v>5.0</v>
      </c>
    </row>
    <row r="50">
      <c r="A50" s="19" t="s">
        <v>57</v>
      </c>
      <c r="B50" s="23">
        <v>133.0</v>
      </c>
      <c r="C50" s="23">
        <v>0.0</v>
      </c>
    </row>
    <row r="51">
      <c r="A51" s="16" t="s">
        <v>58</v>
      </c>
      <c r="B51" s="22">
        <v>133.0</v>
      </c>
      <c r="C51" s="22">
        <v>10.0</v>
      </c>
    </row>
    <row r="52">
      <c r="A52" s="19" t="s">
        <v>59</v>
      </c>
      <c r="B52" s="23">
        <v>130.0</v>
      </c>
      <c r="C52" s="23">
        <v>2.0</v>
      </c>
    </row>
    <row r="53">
      <c r="A53" s="16" t="s">
        <v>60</v>
      </c>
      <c r="B53" s="22">
        <v>112.0</v>
      </c>
      <c r="C53" s="22">
        <v>0.0</v>
      </c>
    </row>
    <row r="54">
      <c r="A54" s="19" t="s">
        <v>61</v>
      </c>
      <c r="B54" s="23">
        <v>109.0</v>
      </c>
      <c r="C54" s="23">
        <v>7.0</v>
      </c>
    </row>
    <row r="55">
      <c r="A55" s="16" t="s">
        <v>62</v>
      </c>
      <c r="B55" s="22">
        <v>109.0</v>
      </c>
      <c r="C55" s="22">
        <v>3.0</v>
      </c>
    </row>
    <row r="56">
      <c r="A56" s="19" t="s">
        <v>63</v>
      </c>
      <c r="B56" s="23">
        <v>98.0</v>
      </c>
      <c r="C56" s="23">
        <v>0.0</v>
      </c>
    </row>
    <row r="57">
      <c r="A57" s="16" t="s">
        <v>64</v>
      </c>
      <c r="B57" s="22">
        <v>93.0</v>
      </c>
      <c r="C57" s="22">
        <v>0.0</v>
      </c>
    </row>
    <row r="58">
      <c r="A58" s="19" t="s">
        <v>65</v>
      </c>
      <c r="B58" s="23">
        <v>86.0</v>
      </c>
      <c r="C58" s="23">
        <v>0.0</v>
      </c>
    </row>
    <row r="59">
      <c r="A59" s="16" t="s">
        <v>66</v>
      </c>
      <c r="B59" s="22">
        <v>77.0</v>
      </c>
      <c r="C59" s="22">
        <v>1.0</v>
      </c>
    </row>
    <row r="60">
      <c r="A60" s="19" t="s">
        <v>67</v>
      </c>
      <c r="B60" s="23">
        <v>67.0</v>
      </c>
      <c r="C60" s="23">
        <v>1.0</v>
      </c>
    </row>
    <row r="61">
      <c r="A61" s="16" t="s">
        <v>69</v>
      </c>
      <c r="B61" s="22">
        <v>62.0</v>
      </c>
      <c r="C61" s="22">
        <v>0.0</v>
      </c>
    </row>
    <row r="62">
      <c r="A62" s="19" t="s">
        <v>70</v>
      </c>
      <c r="B62" s="23">
        <v>61.0</v>
      </c>
      <c r="C62" s="23">
        <v>0.0</v>
      </c>
    </row>
    <row r="63">
      <c r="A63" s="16" t="s">
        <v>71</v>
      </c>
      <c r="B63" s="22">
        <v>60.0</v>
      </c>
      <c r="C63" s="22">
        <v>4.0</v>
      </c>
    </row>
    <row r="64">
      <c r="A64" s="19" t="s">
        <v>72</v>
      </c>
      <c r="B64" s="23">
        <v>57.0</v>
      </c>
      <c r="C64" s="23">
        <v>0.0</v>
      </c>
    </row>
    <row r="65">
      <c r="A65" s="16" t="s">
        <v>73</v>
      </c>
      <c r="B65" s="22">
        <v>56.0</v>
      </c>
      <c r="C65" s="22">
        <v>2.0</v>
      </c>
    </row>
    <row r="66">
      <c r="A66" s="19" t="s">
        <v>74</v>
      </c>
      <c r="B66" s="23">
        <v>56.0</v>
      </c>
      <c r="C66" s="23">
        <v>0.0</v>
      </c>
    </row>
    <row r="67">
      <c r="A67" s="16" t="s">
        <v>75</v>
      </c>
      <c r="B67" s="22">
        <v>55.0</v>
      </c>
      <c r="C67" s="22">
        <v>0.0</v>
      </c>
    </row>
    <row r="68">
      <c r="A68" s="19" t="s">
        <v>76</v>
      </c>
      <c r="B68" s="23">
        <v>55.0</v>
      </c>
      <c r="C68" s="23">
        <v>1.0</v>
      </c>
    </row>
    <row r="69">
      <c r="A69" s="16" t="s">
        <v>77</v>
      </c>
      <c r="B69" s="22">
        <v>53.0</v>
      </c>
      <c r="C69" s="22">
        <v>0.0</v>
      </c>
    </row>
    <row r="70">
      <c r="A70" s="19" t="s">
        <v>78</v>
      </c>
      <c r="B70" s="23">
        <v>51.0</v>
      </c>
      <c r="C70" s="23">
        <v>2.0</v>
      </c>
    </row>
    <row r="71">
      <c r="A71" s="16" t="s">
        <v>79</v>
      </c>
      <c r="B71" s="22">
        <v>50.0</v>
      </c>
      <c r="C71" s="22">
        <v>0.0</v>
      </c>
    </row>
    <row r="72">
      <c r="A72" s="19" t="s">
        <v>80</v>
      </c>
      <c r="B72" s="23">
        <v>47.0</v>
      </c>
      <c r="C72" s="23">
        <v>0.0</v>
      </c>
    </row>
    <row r="73">
      <c r="A73" s="16" t="s">
        <v>81</v>
      </c>
      <c r="B73" s="22">
        <v>45.0</v>
      </c>
      <c r="C73" s="22">
        <v>0.0</v>
      </c>
    </row>
    <row r="74">
      <c r="A74" s="19" t="s">
        <v>82</v>
      </c>
      <c r="B74" s="23">
        <v>42.0</v>
      </c>
      <c r="C74" s="23">
        <v>1.0</v>
      </c>
    </row>
    <row r="75">
      <c r="A75" s="16" t="s">
        <v>83</v>
      </c>
      <c r="B75" s="22">
        <v>38.0</v>
      </c>
      <c r="C75" s="22">
        <v>0.0</v>
      </c>
    </row>
    <row r="76">
      <c r="A76" s="19" t="s">
        <v>84</v>
      </c>
      <c r="B76" s="23">
        <v>37.0</v>
      </c>
      <c r="C76" s="23">
        <v>2.0</v>
      </c>
    </row>
    <row r="77">
      <c r="A77" s="16" t="s">
        <v>85</v>
      </c>
      <c r="B77" s="22">
        <v>37.0</v>
      </c>
      <c r="C77" s="22">
        <v>1.0</v>
      </c>
    </row>
    <row r="78">
      <c r="A78" s="19" t="s">
        <v>86</v>
      </c>
      <c r="B78" s="23">
        <v>35.0</v>
      </c>
      <c r="C78" s="23">
        <v>0.0</v>
      </c>
    </row>
    <row r="79">
      <c r="A79" s="16" t="s">
        <v>87</v>
      </c>
      <c r="B79" s="22">
        <v>33.0</v>
      </c>
      <c r="C79" s="22">
        <v>0.0</v>
      </c>
    </row>
    <row r="80">
      <c r="A80" s="19" t="s">
        <v>88</v>
      </c>
      <c r="B80" s="23">
        <v>32.0</v>
      </c>
      <c r="C80" s="23">
        <v>1.0</v>
      </c>
    </row>
    <row r="81">
      <c r="A81" s="16" t="s">
        <v>89</v>
      </c>
      <c r="B81" s="22">
        <v>33.0</v>
      </c>
      <c r="C81" s="22">
        <v>0.0</v>
      </c>
    </row>
    <row r="82">
      <c r="A82" s="19" t="s">
        <v>90</v>
      </c>
      <c r="B82" s="23">
        <v>30.0</v>
      </c>
      <c r="C82" s="23">
        <v>0.0</v>
      </c>
    </row>
    <row r="83">
      <c r="A83" s="16" t="s">
        <v>91</v>
      </c>
      <c r="B83" s="22">
        <v>30.0</v>
      </c>
      <c r="C83" s="22">
        <v>0.0</v>
      </c>
    </row>
    <row r="84">
      <c r="A84" s="19" t="s">
        <v>92</v>
      </c>
      <c r="B84" s="23">
        <v>29.0</v>
      </c>
      <c r="C84" s="23">
        <v>0.0</v>
      </c>
    </row>
    <row r="85">
      <c r="A85" s="16" t="s">
        <v>93</v>
      </c>
      <c r="B85" s="22">
        <v>27.0</v>
      </c>
      <c r="C85" s="22">
        <v>0.0</v>
      </c>
    </row>
    <row r="86">
      <c r="A86" s="19" t="s">
        <v>94</v>
      </c>
      <c r="B86" s="23">
        <v>27.0</v>
      </c>
      <c r="C86" s="23">
        <v>0.0</v>
      </c>
    </row>
    <row r="87">
      <c r="A87" s="16" t="s">
        <v>95</v>
      </c>
      <c r="B87" s="22">
        <v>25.0</v>
      </c>
      <c r="C87" s="22">
        <v>1.0</v>
      </c>
    </row>
    <row r="88">
      <c r="A88" s="19" t="s">
        <v>96</v>
      </c>
      <c r="B88" s="23">
        <v>24.0</v>
      </c>
      <c r="C88" s="23">
        <v>0.0</v>
      </c>
    </row>
    <row r="89">
      <c r="A89" s="16" t="s">
        <v>97</v>
      </c>
      <c r="B89" s="22">
        <v>24.0</v>
      </c>
      <c r="C89" s="22">
        <v>0.0</v>
      </c>
    </row>
    <row r="90">
      <c r="A90" s="19" t="s">
        <v>98</v>
      </c>
      <c r="B90" s="23">
        <v>23.0</v>
      </c>
      <c r="C90" s="23">
        <v>0.0</v>
      </c>
    </row>
    <row r="91">
      <c r="A91" s="16" t="s">
        <v>99</v>
      </c>
      <c r="B91" s="22">
        <v>21.0</v>
      </c>
      <c r="C91" s="22">
        <v>0.0</v>
      </c>
    </row>
    <row r="92">
      <c r="A92" s="19" t="s">
        <v>100</v>
      </c>
      <c r="B92" s="23">
        <v>21.0</v>
      </c>
      <c r="C92" s="23">
        <v>0.0</v>
      </c>
    </row>
    <row r="93">
      <c r="A93" s="16" t="s">
        <v>101</v>
      </c>
      <c r="B93" s="22">
        <v>20.0</v>
      </c>
      <c r="C93" s="22">
        <v>0.0</v>
      </c>
    </row>
    <row r="94">
      <c r="A94" s="19" t="s">
        <v>102</v>
      </c>
      <c r="B94" s="23">
        <v>19.0</v>
      </c>
      <c r="C94" s="23">
        <v>0.0</v>
      </c>
    </row>
    <row r="95">
      <c r="A95" s="16" t="s">
        <v>103</v>
      </c>
      <c r="B95" s="22">
        <v>18.0</v>
      </c>
      <c r="C95" s="22">
        <v>0.0</v>
      </c>
    </row>
    <row r="96">
      <c r="A96" s="19" t="s">
        <v>104</v>
      </c>
      <c r="B96" s="23">
        <v>17.0</v>
      </c>
      <c r="C96" s="23">
        <v>0.0</v>
      </c>
    </row>
    <row r="97">
      <c r="A97" s="16" t="s">
        <v>105</v>
      </c>
      <c r="B97" s="22">
        <v>17.0</v>
      </c>
      <c r="C97" s="22">
        <v>0.0</v>
      </c>
    </row>
    <row r="98">
      <c r="A98" s="19" t="s">
        <v>106</v>
      </c>
      <c r="B98" s="23">
        <v>15.0</v>
      </c>
      <c r="C98" s="23">
        <v>0.0</v>
      </c>
    </row>
    <row r="99">
      <c r="A99" s="16" t="s">
        <v>107</v>
      </c>
      <c r="B99" s="22">
        <v>14.0</v>
      </c>
      <c r="C99" s="22">
        <v>0.0</v>
      </c>
    </row>
    <row r="100">
      <c r="A100" s="19" t="s">
        <v>108</v>
      </c>
      <c r="B100" s="23">
        <v>13.0</v>
      </c>
      <c r="C100" s="23">
        <v>0.0</v>
      </c>
    </row>
    <row r="101">
      <c r="A101" s="16" t="s">
        <v>109</v>
      </c>
      <c r="B101" s="22">
        <v>12.0</v>
      </c>
      <c r="C101" s="22">
        <v>0.0</v>
      </c>
    </row>
    <row r="102">
      <c r="A102" s="19" t="s">
        <v>110</v>
      </c>
      <c r="B102" s="23">
        <v>11.0</v>
      </c>
      <c r="C102" s="23">
        <v>0.0</v>
      </c>
    </row>
    <row r="103">
      <c r="A103" s="16" t="s">
        <v>111</v>
      </c>
      <c r="B103" s="22">
        <v>11.0</v>
      </c>
      <c r="C103" s="22">
        <v>0.0</v>
      </c>
    </row>
    <row r="104">
      <c r="A104" s="19" t="s">
        <v>112</v>
      </c>
      <c r="B104" s="23">
        <v>10.0</v>
      </c>
      <c r="C104" s="41"/>
    </row>
    <row r="105">
      <c r="A105" s="16" t="s">
        <v>113</v>
      </c>
      <c r="B105" s="22">
        <v>10.0</v>
      </c>
      <c r="C105" s="22">
        <v>0.0</v>
      </c>
    </row>
    <row r="106">
      <c r="A106" s="19" t="s">
        <v>114</v>
      </c>
      <c r="B106" s="23">
        <v>9.0</v>
      </c>
      <c r="C106" s="23">
        <v>0.0</v>
      </c>
    </row>
    <row r="107">
      <c r="A107" s="16" t="s">
        <v>115</v>
      </c>
      <c r="B107" s="22">
        <v>8.0</v>
      </c>
      <c r="C107" s="22">
        <v>0.0</v>
      </c>
    </row>
    <row r="108">
      <c r="A108" s="19" t="s">
        <v>116</v>
      </c>
      <c r="B108" s="23">
        <v>8.0</v>
      </c>
      <c r="C108" s="23">
        <v>0.0</v>
      </c>
    </row>
    <row r="109">
      <c r="A109" s="16" t="s">
        <v>117</v>
      </c>
      <c r="B109" s="22">
        <v>7.0</v>
      </c>
      <c r="C109" s="22">
        <v>0.0</v>
      </c>
    </row>
    <row r="110">
      <c r="A110" s="19" t="s">
        <v>119</v>
      </c>
      <c r="B110" s="23">
        <v>7.0</v>
      </c>
      <c r="C110" s="23">
        <v>0.0</v>
      </c>
    </row>
    <row r="111">
      <c r="A111" s="16" t="s">
        <v>120</v>
      </c>
      <c r="B111" s="22">
        <v>7.0</v>
      </c>
      <c r="C111" s="22">
        <v>0.0</v>
      </c>
    </row>
    <row r="112">
      <c r="A112" s="19" t="s">
        <v>121</v>
      </c>
      <c r="B112" s="23">
        <v>6.0</v>
      </c>
      <c r="C112" s="23">
        <v>0.0</v>
      </c>
    </row>
    <row r="113">
      <c r="A113" s="16" t="s">
        <v>122</v>
      </c>
      <c r="B113" s="22">
        <v>6.0</v>
      </c>
      <c r="C113" s="22">
        <v>0.0</v>
      </c>
    </row>
    <row r="114">
      <c r="A114" s="19" t="s">
        <v>123</v>
      </c>
      <c r="B114" s="23">
        <v>6.0</v>
      </c>
      <c r="C114" s="23">
        <v>0.0</v>
      </c>
    </row>
    <row r="115">
      <c r="A115" s="16" t="s">
        <v>124</v>
      </c>
      <c r="B115" s="22">
        <v>6.0</v>
      </c>
      <c r="C115" s="22">
        <v>1.0</v>
      </c>
    </row>
    <row r="116">
      <c r="A116" s="19" t="s">
        <v>125</v>
      </c>
      <c r="B116" s="23">
        <v>5.0</v>
      </c>
      <c r="C116" s="23">
        <v>0.0</v>
      </c>
    </row>
    <row r="117">
      <c r="A117" s="16" t="s">
        <v>126</v>
      </c>
      <c r="B117" s="22">
        <v>5.0</v>
      </c>
      <c r="C117" s="22">
        <v>0.0</v>
      </c>
    </row>
    <row r="118">
      <c r="A118" s="19" t="s">
        <v>127</v>
      </c>
      <c r="B118" s="23">
        <v>4.0</v>
      </c>
      <c r="C118" s="23">
        <v>0.0</v>
      </c>
    </row>
    <row r="119">
      <c r="A119" s="16" t="s">
        <v>128</v>
      </c>
      <c r="B119" s="22">
        <v>3.0</v>
      </c>
      <c r="C119" s="22">
        <v>1.0</v>
      </c>
    </row>
    <row r="120">
      <c r="A120" s="19" t="s">
        <v>129</v>
      </c>
      <c r="B120" s="23">
        <v>3.0</v>
      </c>
      <c r="C120" s="23">
        <v>0.0</v>
      </c>
    </row>
    <row r="121">
      <c r="A121" s="16" t="s">
        <v>130</v>
      </c>
      <c r="B121" s="22">
        <v>3.0</v>
      </c>
      <c r="C121" s="22">
        <v>0.0</v>
      </c>
    </row>
    <row r="122">
      <c r="A122" s="19" t="s">
        <v>131</v>
      </c>
      <c r="B122" s="23">
        <v>3.0</v>
      </c>
      <c r="C122" s="23">
        <v>0.0</v>
      </c>
    </row>
    <row r="123">
      <c r="A123" s="16" t="s">
        <v>132</v>
      </c>
      <c r="B123" s="22">
        <v>3.0</v>
      </c>
      <c r="C123" s="22">
        <v>0.0</v>
      </c>
    </row>
    <row r="124">
      <c r="A124" s="19" t="s">
        <v>133</v>
      </c>
      <c r="B124" s="23">
        <v>2.0</v>
      </c>
      <c r="C124" s="23">
        <v>0.0</v>
      </c>
    </row>
    <row r="125">
      <c r="A125" s="16" t="s">
        <v>134</v>
      </c>
      <c r="B125" s="22">
        <v>2.0</v>
      </c>
      <c r="C125" s="22">
        <v>0.0</v>
      </c>
    </row>
    <row r="126">
      <c r="A126" s="19" t="s">
        <v>135</v>
      </c>
      <c r="B126" s="23">
        <v>2.0</v>
      </c>
      <c r="C126" s="23">
        <v>0.0</v>
      </c>
    </row>
    <row r="127">
      <c r="A127" s="16" t="s">
        <v>136</v>
      </c>
      <c r="B127" s="22">
        <v>1.0</v>
      </c>
      <c r="C127" s="22">
        <v>0.0</v>
      </c>
    </row>
    <row r="128">
      <c r="A128" s="19" t="s">
        <v>137</v>
      </c>
      <c r="B128" s="23">
        <v>1.0</v>
      </c>
      <c r="C128" s="23">
        <v>0.0</v>
      </c>
    </row>
    <row r="129">
      <c r="A129" s="16" t="s">
        <v>138</v>
      </c>
      <c r="B129" s="22">
        <v>1.0</v>
      </c>
      <c r="C129" s="22">
        <v>0.0</v>
      </c>
    </row>
    <row r="130">
      <c r="A130" s="19" t="s">
        <v>139</v>
      </c>
      <c r="B130" s="23">
        <v>1.0</v>
      </c>
      <c r="C130" s="23">
        <v>0.0</v>
      </c>
    </row>
    <row r="131">
      <c r="A131" s="16" t="s">
        <v>140</v>
      </c>
      <c r="B131" s="22">
        <v>1.0</v>
      </c>
      <c r="C131" s="22">
        <v>0.0</v>
      </c>
    </row>
    <row r="132">
      <c r="A132" s="19" t="s">
        <v>141</v>
      </c>
      <c r="B132" s="23">
        <v>1.0</v>
      </c>
      <c r="C132" s="23">
        <v>0.0</v>
      </c>
    </row>
    <row r="133">
      <c r="A133" s="16" t="s">
        <v>142</v>
      </c>
      <c r="B133" s="22">
        <v>1.0</v>
      </c>
      <c r="C133" s="22">
        <v>0.0</v>
      </c>
    </row>
    <row r="134">
      <c r="A134" s="19" t="s">
        <v>143</v>
      </c>
      <c r="B134" s="23">
        <v>1.0</v>
      </c>
      <c r="C134" s="23">
        <v>0.0</v>
      </c>
    </row>
    <row r="135">
      <c r="A135" s="16" t="s">
        <v>144</v>
      </c>
      <c r="B135" s="22">
        <v>1.0</v>
      </c>
      <c r="C135" s="22">
        <v>0.0</v>
      </c>
    </row>
    <row r="136">
      <c r="A136" s="19" t="s">
        <v>145</v>
      </c>
      <c r="B136" s="23">
        <v>1.0</v>
      </c>
      <c r="C136" s="23">
        <v>0.0</v>
      </c>
    </row>
    <row r="137">
      <c r="A137" s="16" t="s">
        <v>146</v>
      </c>
      <c r="B137" s="22">
        <v>1.0</v>
      </c>
      <c r="C137" s="22">
        <v>0.0</v>
      </c>
    </row>
    <row r="138">
      <c r="A138" s="19" t="s">
        <v>147</v>
      </c>
      <c r="B138" s="23">
        <v>1.0</v>
      </c>
      <c r="C138" s="23">
        <v>0.0</v>
      </c>
    </row>
    <row r="139">
      <c r="A139" s="16" t="s">
        <v>148</v>
      </c>
      <c r="B139" s="22">
        <v>1.0</v>
      </c>
      <c r="C139" s="22">
        <v>0.0</v>
      </c>
    </row>
    <row r="140">
      <c r="A140" s="19" t="s">
        <v>149</v>
      </c>
      <c r="B140" s="23">
        <v>1.0</v>
      </c>
      <c r="C140" s="23">
        <v>0.0</v>
      </c>
    </row>
    <row r="141">
      <c r="A141" s="46" t="s">
        <v>150</v>
      </c>
      <c r="B141" s="47">
        <v>590.0</v>
      </c>
      <c r="C141" s="49"/>
    </row>
    <row r="142">
      <c r="A142" s="50" t="s">
        <v>151</v>
      </c>
      <c r="B142" s="51">
        <v>184824.0</v>
      </c>
      <c r="C142" s="53">
        <v>7113.0</v>
      </c>
    </row>
    <row r="143">
      <c r="A143" s="56"/>
      <c r="B143" s="56"/>
      <c r="C143" s="5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>
      <c r="A2" s="5" t="s">
        <v>2</v>
      </c>
      <c r="B2" s="5" t="s">
        <v>3</v>
      </c>
      <c r="D2" s="8" t="s">
        <v>4</v>
      </c>
      <c r="F2" s="9"/>
      <c r="G2" s="10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>
      <c r="A3" s="18">
        <f t="shared" ref="A3:B3" si="1">SUM(B14, B15)</f>
        <v>80860</v>
      </c>
      <c r="B3" s="18">
        <f t="shared" si="1"/>
        <v>3213</v>
      </c>
      <c r="D3" s="21">
        <f>SUM(F14, F15)</f>
        <v>67490</v>
      </c>
      <c r="F3" s="9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>
      <c r="A4" s="25"/>
      <c r="B4" s="10"/>
      <c r="C4" s="10"/>
      <c r="D4" s="9"/>
      <c r="E4" s="9"/>
      <c r="F4" s="9"/>
      <c r="G4" s="10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30.0" customHeight="1">
      <c r="A5" s="26" t="s">
        <v>155</v>
      </c>
      <c r="B5" s="28" t="s">
        <v>7</v>
      </c>
      <c r="C5" s="28" t="s">
        <v>8</v>
      </c>
      <c r="D5" s="29" t="s">
        <v>31</v>
      </c>
      <c r="E5" s="29" t="s">
        <v>34</v>
      </c>
      <c r="F5" s="29" t="s">
        <v>35</v>
      </c>
      <c r="G5" s="28"/>
      <c r="H5" s="32"/>
      <c r="I5" s="3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</row>
    <row r="6" ht="30.0" customHeight="1">
      <c r="A6" s="62" t="s">
        <v>156</v>
      </c>
      <c r="B6" s="63">
        <v>67798.0</v>
      </c>
      <c r="C6" s="63">
        <v>3099.0</v>
      </c>
      <c r="D6" s="71">
        <v>2975.0</v>
      </c>
      <c r="E6" s="65" t="s">
        <v>118</v>
      </c>
      <c r="F6" s="71">
        <v>55094.0</v>
      </c>
      <c r="G6" s="66" t="str">
        <f>HYPERLINK("http://www.nhc.gov.cn/yjb/s7860/202003/114113d25c1d47aabe68381e836f06a8.shtml","Source")</f>
        <v>Source</v>
      </c>
      <c r="H6" s="61"/>
      <c r="I6" s="32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</row>
    <row r="7" ht="30.0" customHeight="1">
      <c r="A7" s="39" t="s">
        <v>158</v>
      </c>
      <c r="B7" s="43">
        <v>1361.0</v>
      </c>
      <c r="C7" s="44">
        <v>8.0</v>
      </c>
      <c r="D7" s="48">
        <v>3.0</v>
      </c>
      <c r="E7" s="48">
        <v>12.0</v>
      </c>
      <c r="F7" s="72">
        <v>1306.0</v>
      </c>
      <c r="G7" s="52" t="str">
        <f>HYPERLINK("http://wsjkw.gd.gov.cn/zwyw_yqxx/content/post_2931248.html","Source")</f>
        <v>Source</v>
      </c>
      <c r="H7" s="61"/>
      <c r="I7" s="32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</row>
    <row r="8" ht="30.0" customHeight="1">
      <c r="A8" s="62" t="s">
        <v>160</v>
      </c>
      <c r="B8" s="63">
        <v>1272.0</v>
      </c>
      <c r="C8" s="64">
        <v>22.0</v>
      </c>
      <c r="D8" s="65">
        <v>0.0</v>
      </c>
      <c r="E8" s="65">
        <v>0.0</v>
      </c>
      <c r="F8" s="71">
        <v>1250.0</v>
      </c>
      <c r="G8" s="66" t="str">
        <f>HYPERLINK("https://m.weibo.cn/detail/4483014555752444","Source")</f>
        <v>Source</v>
      </c>
      <c r="H8" s="61"/>
      <c r="I8" s="32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</row>
    <row r="9" ht="30.0" customHeight="1">
      <c r="A9" s="62" t="s">
        <v>161</v>
      </c>
      <c r="B9" s="63">
        <v>1231.0</v>
      </c>
      <c r="C9" s="64">
        <v>1.0</v>
      </c>
      <c r="D9" s="65">
        <v>1.0</v>
      </c>
      <c r="E9" s="65">
        <v>1.0</v>
      </c>
      <c r="F9" s="71">
        <v>1213.0</v>
      </c>
      <c r="G9" s="60" t="str">
        <f>HYPERLINK("https://www.zjwjw.gov.cn/art/2020/3/16/art_1202101_42278028.html","Source")</f>
        <v>Source</v>
      </c>
      <c r="H9" s="61"/>
      <c r="I9" s="32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</row>
    <row r="10" ht="30.0" customHeight="1">
      <c r="A10" s="62" t="s">
        <v>163</v>
      </c>
      <c r="B10" s="63">
        <v>1018.0</v>
      </c>
      <c r="C10" s="64">
        <v>4.0</v>
      </c>
      <c r="D10" s="65">
        <v>0.0</v>
      </c>
      <c r="E10" s="65">
        <v>0.0</v>
      </c>
      <c r="F10" s="71">
        <v>1014.0</v>
      </c>
      <c r="G10" s="66" t="str">
        <f>HYPERLINK("http://wjw.hunan.gov.cn/wjw/xxgk/gzdt/zyxw_1/202003/t20200316_11812686.html","Source")</f>
        <v>Source</v>
      </c>
      <c r="H10" s="61"/>
      <c r="I10" s="32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</row>
    <row r="11" ht="30.0" customHeight="1">
      <c r="A11" s="62" t="s">
        <v>164</v>
      </c>
      <c r="B11" s="63">
        <v>446.0</v>
      </c>
      <c r="C11" s="64">
        <v>8.0</v>
      </c>
      <c r="D11" s="65" t="s">
        <v>118</v>
      </c>
      <c r="E11" s="65" t="s">
        <v>118</v>
      </c>
      <c r="F11" s="65">
        <v>358.0</v>
      </c>
      <c r="G11" s="60" t="str">
        <f>HYPERLINK("http://wjw.beijing.gov.cn/xwzx_20031/wnxw/202003/t20200316_1706894.html","Source")</f>
        <v>Source</v>
      </c>
      <c r="H11" s="61"/>
      <c r="I11" s="32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</row>
    <row r="12" ht="30.0" customHeight="1">
      <c r="A12" s="62" t="s">
        <v>165</v>
      </c>
      <c r="B12" s="63">
        <v>355.0</v>
      </c>
      <c r="C12" s="64">
        <v>3.0</v>
      </c>
      <c r="D12" s="65">
        <v>8.0</v>
      </c>
      <c r="E12" s="65">
        <v>1.0</v>
      </c>
      <c r="F12" s="65">
        <v>324.0</v>
      </c>
      <c r="G12" s="66" t="str">
        <f>HYPERLINK("http://wsjkw.sh.gov.cn/xwfb/20200316/bfeb2c5f6a204f8b9fe129efe1ca3011.html","Source")</f>
        <v>Source</v>
      </c>
      <c r="H12" s="61"/>
      <c r="I12" s="32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</row>
    <row r="13" ht="30.0" customHeight="1">
      <c r="A13" s="62" t="s">
        <v>166</v>
      </c>
      <c r="B13" s="63">
        <v>7379.0</v>
      </c>
      <c r="C13" s="64">
        <v>68.0</v>
      </c>
      <c r="D13" s="65" t="s">
        <v>167</v>
      </c>
      <c r="E13" s="65" t="s">
        <v>118</v>
      </c>
      <c r="F13" s="71">
        <v>6931.0</v>
      </c>
      <c r="G13" s="75"/>
      <c r="H13" s="76"/>
      <c r="I13" s="32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</row>
    <row r="14" ht="30.0" customHeight="1">
      <c r="A14" s="77" t="s">
        <v>151</v>
      </c>
      <c r="B14" s="78">
        <f t="shared" ref="B14:C14" si="2">SUM(B6:B13)</f>
        <v>80860</v>
      </c>
      <c r="C14" s="78">
        <f t="shared" si="2"/>
        <v>3213</v>
      </c>
      <c r="D14" s="78">
        <v>3032.0</v>
      </c>
      <c r="E14" s="78"/>
      <c r="F14" s="78">
        <f>SUM(F6:F13)</f>
        <v>67490</v>
      </c>
      <c r="G14" s="79"/>
      <c r="H14" s="32"/>
      <c r="I14" s="32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</row>
    <row r="15">
      <c r="A15" s="77"/>
      <c r="B15" s="80"/>
      <c r="C15" s="80"/>
      <c r="D15" s="81"/>
      <c r="E15" s="82"/>
      <c r="F15" s="80"/>
      <c r="G15" s="79"/>
      <c r="H15" s="27"/>
      <c r="I15" s="2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>
      <c r="A16" s="83"/>
      <c r="B16" s="84"/>
      <c r="C16" s="85"/>
      <c r="D16" s="85"/>
      <c r="E16" s="85"/>
      <c r="F16" s="85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>
      <c r="A17" s="86"/>
      <c r="B17" s="85"/>
      <c r="C17" s="85"/>
      <c r="D17" s="85"/>
      <c r="E17" s="85"/>
      <c r="F17" s="85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>
      <c r="A18" s="86"/>
      <c r="B18" s="85"/>
      <c r="C18" s="85"/>
      <c r="D18" s="85"/>
      <c r="E18" s="85"/>
      <c r="F18" s="85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0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71"/>
  </cols>
  <sheetData>
    <row r="1" ht="27.75" customHeight="1">
      <c r="A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>
      <c r="A2" s="5" t="s">
        <v>2</v>
      </c>
      <c r="B2" s="5" t="s">
        <v>3</v>
      </c>
      <c r="D2" s="8" t="s">
        <v>4</v>
      </c>
      <c r="F2" s="9"/>
      <c r="G2" s="10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>
      <c r="A3" s="18">
        <f t="shared" ref="A3:B3" si="1">SUM(B19, B20)</f>
        <v>373</v>
      </c>
      <c r="B3" s="18">
        <f t="shared" si="1"/>
        <v>4</v>
      </c>
      <c r="D3" s="21">
        <f>SUM(F19, F20)</f>
        <v>11</v>
      </c>
      <c r="F3" s="9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>
      <c r="A4" s="25"/>
      <c r="B4" s="10"/>
      <c r="C4" s="10"/>
      <c r="D4" s="9"/>
      <c r="E4" s="9"/>
      <c r="F4" s="9"/>
      <c r="G4" s="10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ht="30.0" customHeight="1">
      <c r="A5" s="26" t="s">
        <v>177</v>
      </c>
      <c r="B5" s="28" t="s">
        <v>7</v>
      </c>
      <c r="C5" s="28" t="s">
        <v>8</v>
      </c>
      <c r="D5" s="29" t="s">
        <v>31</v>
      </c>
      <c r="E5" s="29" t="s">
        <v>34</v>
      </c>
      <c r="F5" s="29" t="s">
        <v>35</v>
      </c>
      <c r="G5" s="28"/>
      <c r="H5" s="32"/>
      <c r="I5" s="32"/>
      <c r="J5" s="32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</row>
    <row r="6" ht="30.0" customHeight="1">
      <c r="A6" s="39" t="s">
        <v>178</v>
      </c>
      <c r="B6" s="43">
        <v>140.0</v>
      </c>
      <c r="C6" s="44">
        <v>0.0</v>
      </c>
      <c r="D6" s="48"/>
      <c r="E6" s="48"/>
      <c r="F6" s="48">
        <v>5.0</v>
      </c>
      <c r="G6" s="52" t="str">
        <f>HYPERLINK("https://www.ontario.ca/page/2019-novel-coronavirus","Source")</f>
        <v>Source</v>
      </c>
      <c r="H6" s="32"/>
      <c r="I6" s="32"/>
      <c r="J6" s="32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 ht="30.0" customHeight="1">
      <c r="A7" s="62" t="s">
        <v>180</v>
      </c>
      <c r="B7" s="63">
        <v>103.0</v>
      </c>
      <c r="C7" s="63">
        <v>4.0</v>
      </c>
      <c r="D7" s="71"/>
      <c r="E7" s="65">
        <v>1.0</v>
      </c>
      <c r="F7" s="65">
        <v>6.0</v>
      </c>
      <c r="G7" s="66" t="str">
        <f>HYPERLINK("https://twitter.com/CBCtanya/status/1239616513780232193","Source")</f>
        <v>Source</v>
      </c>
      <c r="H7" s="61"/>
      <c r="I7" s="32"/>
      <c r="J7" s="32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8" ht="30.0" customHeight="1">
      <c r="A8" s="62" t="s">
        <v>181</v>
      </c>
      <c r="B8" s="63">
        <v>56.0</v>
      </c>
      <c r="C8" s="64">
        <v>0.0</v>
      </c>
      <c r="D8" s="65"/>
      <c r="E8" s="65"/>
      <c r="F8" s="74"/>
      <c r="G8" s="66" t="str">
        <f>HYPERLINK("https://www.alberta.ca/release.cfm?xID=698138D2A20EF-E044-5CB2-13B7BEE6B54A78EC","Source")</f>
        <v>Source</v>
      </c>
      <c r="H8" s="32"/>
      <c r="I8" s="32"/>
      <c r="J8" s="32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</row>
    <row r="9" ht="30.0" customHeight="1">
      <c r="A9" s="62" t="s">
        <v>183</v>
      </c>
      <c r="B9" s="63">
        <v>50.0</v>
      </c>
      <c r="C9" s="64">
        <v>0.0</v>
      </c>
      <c r="D9" s="65"/>
      <c r="E9" s="65"/>
      <c r="F9" s="74"/>
      <c r="G9" s="66" t="str">
        <f>HYPERLINK("https://twitter.com/sante_qc/status/1239616245256916994","Source")</f>
        <v>Source</v>
      </c>
      <c r="H9" s="32"/>
      <c r="I9" s="32"/>
      <c r="J9" s="32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</row>
    <row r="10" ht="30.0" customHeight="1">
      <c r="A10" s="62" t="s">
        <v>184</v>
      </c>
      <c r="B10" s="63">
        <v>7.0</v>
      </c>
      <c r="C10" s="64">
        <v>0.0</v>
      </c>
      <c r="D10" s="65"/>
      <c r="E10" s="65"/>
      <c r="F10" s="74"/>
      <c r="G10" s="66" t="str">
        <f>HYPERLINK("https://www.gov.mb.ca/covid19/index.html","Source")</f>
        <v>Source</v>
      </c>
      <c r="H10" s="32"/>
      <c r="I10" s="32"/>
      <c r="J10" s="32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</row>
    <row r="11" ht="30.0" customHeight="1">
      <c r="A11" s="62" t="s">
        <v>185</v>
      </c>
      <c r="B11" s="63">
        <v>6.0</v>
      </c>
      <c r="C11" s="64">
        <v>0.0</v>
      </c>
      <c r="D11" s="65"/>
      <c r="E11" s="65"/>
      <c r="F11" s="74"/>
      <c r="G11" s="66" t="str">
        <f>HYPERLINK("https://www2.gnb.ca/content/gnb/en/departments/ocmoh/cdc/content/respiratory_diseases/coronavirus.html","Source")</f>
        <v>Source</v>
      </c>
      <c r="H11" s="32"/>
      <c r="I11" s="32"/>
      <c r="J11" s="32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</row>
    <row r="12" ht="30.0" customHeight="1">
      <c r="A12" s="62" t="s">
        <v>187</v>
      </c>
      <c r="B12" s="63">
        <v>6.0</v>
      </c>
      <c r="C12" s="64">
        <v>0.0</v>
      </c>
      <c r="D12" s="65"/>
      <c r="E12" s="65"/>
      <c r="F12" s="74"/>
      <c r="G12" s="66" t="str">
        <f>HYPERLINK("https://www.saskatchewan.ca/government/health-care-administration-and-provider-resources/treatment-procedures-and-guidelines/emerging-public-health-issues/2019-novel-coronavirus","Source")</f>
        <v>Source</v>
      </c>
      <c r="H12" s="32"/>
      <c r="I12" s="32"/>
      <c r="J12" s="32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 ht="30.0" customHeight="1">
      <c r="A13" s="62" t="s">
        <v>188</v>
      </c>
      <c r="B13" s="63">
        <v>3.0</v>
      </c>
      <c r="C13" s="64">
        <v>0.0</v>
      </c>
      <c r="D13" s="65"/>
      <c r="E13" s="65"/>
      <c r="F13" s="74"/>
      <c r="G13" s="66" t="str">
        <f>HYPERLINK("https://novascotia.ca/CoronaVirus/","Source")</f>
        <v>Source</v>
      </c>
      <c r="H13" s="32"/>
      <c r="I13" s="32"/>
      <c r="J13" s="32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</row>
    <row r="14" ht="30.0" customHeight="1">
      <c r="A14" s="62" t="s">
        <v>190</v>
      </c>
      <c r="B14" s="63">
        <v>1.0</v>
      </c>
      <c r="C14" s="64">
        <v>0.0</v>
      </c>
      <c r="D14" s="65"/>
      <c r="E14" s="65"/>
      <c r="F14" s="74"/>
      <c r="G14" s="66" t="str">
        <f>HYPERLINK("https://www.princeedwardisland.ca/en/news/pei-confirms-first-positive-case-covid-19","Source")</f>
        <v>Source</v>
      </c>
      <c r="H14" s="32"/>
      <c r="I14" s="32"/>
      <c r="J14" s="32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</row>
    <row r="15" ht="30.0" customHeight="1">
      <c r="A15" s="62" t="s">
        <v>191</v>
      </c>
      <c r="B15" s="63">
        <v>1.0</v>
      </c>
      <c r="C15" s="64">
        <v>0.0</v>
      </c>
      <c r="D15" s="65"/>
      <c r="E15" s="65"/>
      <c r="F15" s="74"/>
      <c r="G15" s="66" t="str">
        <f>HYPERLINK("https://www.gov.nl.ca/covid-19/","Source")</f>
        <v>Source</v>
      </c>
      <c r="H15" s="32"/>
      <c r="I15" s="56"/>
      <c r="J15" s="32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</row>
    <row r="16" ht="30.0" customHeight="1">
      <c r="A16" s="62" t="s">
        <v>193</v>
      </c>
      <c r="B16" s="63">
        <v>0.0</v>
      </c>
      <c r="C16" s="64">
        <v>0.0</v>
      </c>
      <c r="D16" s="65"/>
      <c r="E16" s="65"/>
      <c r="F16" s="74"/>
      <c r="G16" s="75"/>
      <c r="H16" s="32"/>
      <c r="I16" s="32"/>
      <c r="J16" s="32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</row>
    <row r="17" ht="30.0" customHeight="1">
      <c r="A17" s="62" t="s">
        <v>194</v>
      </c>
      <c r="B17" s="63">
        <v>0.0</v>
      </c>
      <c r="C17" s="64">
        <v>0.0</v>
      </c>
      <c r="D17" s="65"/>
      <c r="E17" s="65"/>
      <c r="F17" s="74"/>
      <c r="G17" s="75"/>
      <c r="H17" s="32"/>
      <c r="I17" s="32"/>
      <c r="J17" s="32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</row>
    <row r="18" ht="30.0" customHeight="1">
      <c r="A18" s="62" t="s">
        <v>196</v>
      </c>
      <c r="B18" s="63">
        <v>0.0</v>
      </c>
      <c r="C18" s="64">
        <v>0.0</v>
      </c>
      <c r="D18" s="65"/>
      <c r="E18" s="65"/>
      <c r="F18" s="74"/>
      <c r="G18" s="75"/>
      <c r="H18" s="32"/>
      <c r="I18" s="32"/>
      <c r="J18" s="32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</row>
    <row r="19" ht="30.0" customHeight="1">
      <c r="A19" s="77" t="s">
        <v>151</v>
      </c>
      <c r="B19" s="78">
        <f t="shared" ref="B19:F19" si="2">SUM(B6:B18)</f>
        <v>373</v>
      </c>
      <c r="C19" s="78">
        <f t="shared" si="2"/>
        <v>4</v>
      </c>
      <c r="D19" s="78">
        <f t="shared" si="2"/>
        <v>0</v>
      </c>
      <c r="E19" s="78">
        <f t="shared" si="2"/>
        <v>1</v>
      </c>
      <c r="F19" s="78">
        <f t="shared" si="2"/>
        <v>11</v>
      </c>
      <c r="G19" s="79"/>
      <c r="H19" s="36"/>
      <c r="I19" s="32"/>
      <c r="J19" s="32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</row>
    <row r="20">
      <c r="A20" s="86"/>
      <c r="B20" s="85"/>
      <c r="C20" s="85"/>
      <c r="D20" s="85"/>
      <c r="E20" s="85"/>
      <c r="F20" s="85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>
      <c r="A21" s="83"/>
      <c r="B21" s="84"/>
      <c r="C21" s="85"/>
      <c r="D21" s="85"/>
      <c r="E21" s="85"/>
      <c r="F21" s="85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>
      <c r="A22" s="86"/>
      <c r="B22" s="85"/>
      <c r="C22" s="85"/>
      <c r="D22" s="85"/>
      <c r="E22" s="85"/>
      <c r="F22" s="85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>
      <c r="A23" s="86"/>
      <c r="B23" s="85"/>
      <c r="C23" s="85"/>
      <c r="D23" s="85"/>
      <c r="E23" s="85"/>
      <c r="F23" s="85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1.0"/>
  </cols>
  <sheetData>
    <row r="1" ht="27.75" customHeight="1">
      <c r="A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>
      <c r="A2" s="5" t="s">
        <v>2</v>
      </c>
      <c r="B2" s="5" t="s">
        <v>3</v>
      </c>
      <c r="D2" s="8" t="s">
        <v>4</v>
      </c>
      <c r="F2" s="9"/>
      <c r="G2" s="10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>
      <c r="A3" s="18">
        <f t="shared" ref="A3:B3" si="1">SUM(B17, B18)</f>
        <v>383</v>
      </c>
      <c r="B3" s="18">
        <f t="shared" si="1"/>
        <v>5</v>
      </c>
      <c r="D3" s="21">
        <f>SUM(F17, F18)</f>
        <v>27</v>
      </c>
      <c r="F3" s="9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>
      <c r="A4" s="25"/>
      <c r="B4" s="10"/>
      <c r="C4" s="10"/>
      <c r="D4" s="9"/>
      <c r="E4" s="9"/>
      <c r="F4" s="9"/>
      <c r="G4" s="10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30.0" customHeight="1">
      <c r="A5" s="26" t="s">
        <v>203</v>
      </c>
      <c r="B5" s="28" t="s">
        <v>7</v>
      </c>
      <c r="C5" s="28" t="s">
        <v>8</v>
      </c>
      <c r="D5" s="29" t="s">
        <v>31</v>
      </c>
      <c r="E5" s="29" t="s">
        <v>34</v>
      </c>
      <c r="F5" s="29" t="s">
        <v>35</v>
      </c>
      <c r="G5" s="28"/>
      <c r="H5" s="32"/>
      <c r="I5" s="3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</row>
    <row r="6" ht="30.0" customHeight="1">
      <c r="A6" s="62" t="s">
        <v>205</v>
      </c>
      <c r="B6" s="63">
        <v>171.0</v>
      </c>
      <c r="C6" s="63">
        <v>4.0</v>
      </c>
      <c r="D6" s="71"/>
      <c r="E6" s="74"/>
      <c r="F6" s="65"/>
      <c r="G6" s="66" t="str">
        <f>HYPERLINK("https://www.news.com.au/lifestyle/health/health-problems/coronavirus-australia-live-coverage-death-toll-rises-to-five-as-covid19-cases-surge-government-urged-to-shut-schools/live-coverage/f55bf66e9f75436b8614a6ebbe59bd57","Source")</f>
        <v>Source</v>
      </c>
      <c r="H6" s="90"/>
      <c r="I6" s="90"/>
      <c r="J6" s="32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</row>
    <row r="7" ht="30.0" customHeight="1">
      <c r="A7" s="62" t="s">
        <v>207</v>
      </c>
      <c r="B7" s="63">
        <v>94.0</v>
      </c>
      <c r="C7" s="64"/>
      <c r="D7" s="65"/>
      <c r="E7" s="65"/>
      <c r="F7" s="74"/>
      <c r="G7" s="66" t="str">
        <f>HYPERLINK("https://twitter.com/3AW693/status/1239672847120789504","Source")</f>
        <v>Source</v>
      </c>
      <c r="H7" s="91"/>
      <c r="I7" s="90"/>
      <c r="J7" s="32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</row>
    <row r="8" ht="30.0" customHeight="1">
      <c r="A8" s="39" t="s">
        <v>209</v>
      </c>
      <c r="B8" s="43">
        <v>61.0</v>
      </c>
      <c r="C8" s="44"/>
      <c r="D8" s="48"/>
      <c r="E8" s="48"/>
      <c r="F8" s="92"/>
      <c r="G8" s="52" t="str">
        <f>HYPERLINK("https://www.health.qld.gov.au/news-events/doh-media-releases/releases/queensland-coronavirus-update-2020-03-14","Source")</f>
        <v>Source</v>
      </c>
      <c r="H8" s="90"/>
      <c r="I8" s="90"/>
      <c r="J8" s="32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</row>
    <row r="9" ht="30.0" customHeight="1">
      <c r="A9" s="62" t="s">
        <v>210</v>
      </c>
      <c r="B9" s="63">
        <v>29.0</v>
      </c>
      <c r="C9" s="64"/>
      <c r="D9" s="65"/>
      <c r="E9" s="65"/>
      <c r="F9" s="65">
        <v>3.0</v>
      </c>
      <c r="G9" s="66" t="str">
        <f>HYPERLINK("https://www.sahealth.sa.gov.au/wps/wcm/connect/public+content/sa+health+internet/about+us/news+and+media/all+media+releases/covid-19+coronavirus+update+16+march+2020","Source")</f>
        <v>Source</v>
      </c>
      <c r="H9" s="90"/>
      <c r="I9" s="90"/>
      <c r="J9" s="32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</row>
    <row r="10" ht="30.0" customHeight="1">
      <c r="A10" s="62" t="s">
        <v>212</v>
      </c>
      <c r="B10" s="63">
        <v>18.0</v>
      </c>
      <c r="C10" s="64">
        <v>1.0</v>
      </c>
      <c r="D10" s="65"/>
      <c r="E10" s="65"/>
      <c r="F10" s="65">
        <v>1.0</v>
      </c>
      <c r="G10" s="66" t="str">
        <f>HYPERLINK("https://ww2.health.wa.gov.au/Media-releases/2020/WA-records-five-new-cases-of-COVID19","Source")</f>
        <v>Source</v>
      </c>
      <c r="H10" s="90"/>
      <c r="I10" s="90"/>
      <c r="J10" s="32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</row>
    <row r="11" ht="30.0" customHeight="1">
      <c r="A11" s="62" t="s">
        <v>213</v>
      </c>
      <c r="B11" s="63">
        <v>7.0</v>
      </c>
      <c r="C11" s="64"/>
      <c r="D11" s="65"/>
      <c r="E11" s="65"/>
      <c r="F11" s="65"/>
      <c r="G11" s="66" t="str">
        <f>HYPERLINK("https://www.dhhs.tas.gov.au/news/2020/seventh_coronavirus_case_confirmed_-_15_march_2020","Source")</f>
        <v>Source</v>
      </c>
      <c r="H11" s="90"/>
      <c r="I11" s="90"/>
      <c r="J11" s="32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</row>
    <row r="12" ht="30.0" customHeight="1">
      <c r="A12" s="62" t="s">
        <v>215</v>
      </c>
      <c r="B12" s="63">
        <v>1.0</v>
      </c>
      <c r="C12" s="64"/>
      <c r="D12" s="65"/>
      <c r="E12" s="65"/>
      <c r="F12" s="65"/>
      <c r="G12" s="66" t="str">
        <f>HYPERLINK("http://mediareleases.nt.gov.au/mediaRelease/32050","Source")</f>
        <v>Source</v>
      </c>
      <c r="H12" s="90"/>
      <c r="I12" s="90"/>
      <c r="J12" s="32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</row>
    <row r="13" ht="30.0" customHeight="1">
      <c r="A13" s="62" t="s">
        <v>216</v>
      </c>
      <c r="B13" s="63">
        <v>2.0</v>
      </c>
      <c r="C13" s="64"/>
      <c r="D13" s="65"/>
      <c r="E13" s="65"/>
      <c r="F13" s="65"/>
      <c r="G13" s="66" t="str">
        <f>HYPERLINK("https://health.act.gov.au/public-health-alert/updated-information-about-covid-19","Source")</f>
        <v>Source</v>
      </c>
      <c r="H13" s="90"/>
      <c r="I13" s="90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</row>
    <row r="14" ht="30.0" customHeight="1">
      <c r="A14" s="62" t="s">
        <v>218</v>
      </c>
      <c r="B14" s="63">
        <v>0.0</v>
      </c>
      <c r="C14" s="64"/>
      <c r="D14" s="65"/>
      <c r="E14" s="65"/>
      <c r="F14" s="65"/>
      <c r="G14" s="75"/>
      <c r="H14" s="32"/>
      <c r="I14" s="32"/>
      <c r="J14" s="32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</row>
    <row r="15" ht="30.0" customHeight="1">
      <c r="A15" s="62" t="s">
        <v>219</v>
      </c>
      <c r="B15" s="63">
        <v>0.0</v>
      </c>
      <c r="C15" s="64"/>
      <c r="D15" s="65"/>
      <c r="E15" s="65"/>
      <c r="F15" s="65"/>
      <c r="G15" s="75"/>
      <c r="H15" s="32"/>
      <c r="I15" s="32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</row>
    <row r="16" ht="30.0" customHeight="1">
      <c r="A16" s="62" t="s">
        <v>220</v>
      </c>
      <c r="B16" s="63"/>
      <c r="C16" s="64"/>
      <c r="D16" s="65"/>
      <c r="E16" s="65"/>
      <c r="F16" s="65">
        <v>23.0</v>
      </c>
      <c r="G16" s="75"/>
      <c r="H16" s="32"/>
      <c r="I16" s="32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</row>
    <row r="17" ht="30.0" customHeight="1">
      <c r="A17" s="77" t="s">
        <v>151</v>
      </c>
      <c r="B17" s="78">
        <f t="shared" ref="B17:F17" si="2">SUM(B6:B16)</f>
        <v>383</v>
      </c>
      <c r="C17" s="78">
        <f t="shared" si="2"/>
        <v>5</v>
      </c>
      <c r="D17" s="78">
        <f t="shared" si="2"/>
        <v>0</v>
      </c>
      <c r="E17" s="78">
        <f t="shared" si="2"/>
        <v>0</v>
      </c>
      <c r="F17" s="78">
        <f t="shared" si="2"/>
        <v>27</v>
      </c>
      <c r="G17" s="79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</row>
    <row r="18">
      <c r="A18" s="77"/>
      <c r="B18" s="80"/>
      <c r="C18" s="80"/>
      <c r="D18" s="81"/>
      <c r="E18" s="82"/>
      <c r="F18" s="80"/>
      <c r="G18" s="7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>
      <c r="A19" s="83"/>
      <c r="B19" s="84"/>
      <c r="C19" s="85"/>
      <c r="D19" s="85"/>
      <c r="E19" s="85"/>
      <c r="F19" s="85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>
      <c r="A20" s="86"/>
      <c r="B20" s="85"/>
      <c r="C20" s="85"/>
      <c r="D20" s="85"/>
      <c r="E20" s="85"/>
      <c r="F20" s="85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>
      <c r="A21" s="86"/>
      <c r="B21" s="85"/>
      <c r="C21" s="85"/>
      <c r="D21" s="85"/>
      <c r="E21" s="85"/>
      <c r="F21" s="85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8.71"/>
    <col customWidth="1" min="6" max="6" width="13.0"/>
    <col customWidth="1" min="7" max="7" width="11.29"/>
  </cols>
  <sheetData>
    <row r="1" ht="27.75" customHeight="1">
      <c r="A1" s="6" t="s">
        <v>226</v>
      </c>
      <c r="H1" s="7"/>
      <c r="I1" s="7"/>
      <c r="J1" s="7"/>
    </row>
    <row r="2">
      <c r="A2" s="5" t="s">
        <v>227</v>
      </c>
      <c r="B2" s="5" t="s">
        <v>228</v>
      </c>
      <c r="D2" s="8" t="s">
        <v>229</v>
      </c>
      <c r="F2" s="9"/>
      <c r="G2" s="10"/>
      <c r="H2" s="7"/>
      <c r="I2" s="7"/>
      <c r="J2" s="7"/>
    </row>
    <row r="3">
      <c r="A3" s="18">
        <f t="shared" ref="A3:B3" si="1">SUM(B21, B22)</f>
        <v>5507</v>
      </c>
      <c r="B3" s="18">
        <f t="shared" si="1"/>
        <v>135</v>
      </c>
      <c r="D3" s="21">
        <f>SUM(F21, F22)</f>
        <v>4</v>
      </c>
      <c r="F3" s="9"/>
      <c r="G3" s="10"/>
      <c r="H3" s="7"/>
      <c r="I3" s="7"/>
      <c r="J3" s="7"/>
    </row>
    <row r="4">
      <c r="A4" s="25"/>
      <c r="B4" s="10"/>
      <c r="C4" s="10"/>
      <c r="D4" s="9"/>
      <c r="E4" s="9"/>
      <c r="F4" s="9"/>
      <c r="G4" s="10"/>
      <c r="H4" s="7"/>
      <c r="I4" s="7"/>
      <c r="J4" s="7"/>
    </row>
    <row r="5" ht="30.0" customHeight="1">
      <c r="A5" s="26" t="s">
        <v>231</v>
      </c>
      <c r="B5" s="28" t="s">
        <v>232</v>
      </c>
      <c r="C5" s="28" t="s">
        <v>233</v>
      </c>
      <c r="D5" s="29" t="s">
        <v>234</v>
      </c>
      <c r="E5" s="29" t="s">
        <v>235</v>
      </c>
      <c r="F5" s="29" t="s">
        <v>236</v>
      </c>
      <c r="G5" s="28" t="s">
        <v>237</v>
      </c>
      <c r="H5" s="36"/>
      <c r="I5" s="36"/>
      <c r="J5" s="36"/>
    </row>
    <row r="6" ht="30.0" customHeight="1">
      <c r="A6" s="39" t="s">
        <v>238</v>
      </c>
      <c r="B6" s="43">
        <v>5232.0</v>
      </c>
      <c r="C6" s="44">
        <v>133.0</v>
      </c>
      <c r="D6" s="48"/>
      <c r="E6" s="48"/>
      <c r="F6" s="92"/>
      <c r="G6" s="52" t="str">
        <f>HYPERLINK("https://www.rtve.es/noticias/20200309/mapa-del-coronavirus-espana/2004681.shtml","Fuente")</f>
        <v>Fuente</v>
      </c>
      <c r="H6" s="36"/>
      <c r="I6" s="36"/>
      <c r="J6" s="36"/>
    </row>
    <row r="7" ht="30.0" customHeight="1">
      <c r="A7" s="62" t="s">
        <v>240</v>
      </c>
      <c r="B7" s="63">
        <v>98.0</v>
      </c>
      <c r="C7" s="64">
        <v>0.0</v>
      </c>
      <c r="D7" s="65">
        <v>1.0</v>
      </c>
      <c r="E7" s="65"/>
      <c r="F7" s="74"/>
      <c r="G7" s="66" t="str">
        <f>HYPERLINK("http://plataforma.saude.gov.br/novocoronavirus/","Fuente")</f>
        <v>Fuente</v>
      </c>
      <c r="H7" s="36"/>
      <c r="I7" s="36"/>
      <c r="J7" s="36"/>
    </row>
    <row r="8" ht="30.0" customHeight="1">
      <c r="A8" s="62" t="s">
        <v>52</v>
      </c>
      <c r="B8" s="63">
        <v>43.0</v>
      </c>
      <c r="C8" s="64">
        <v>0.0</v>
      </c>
      <c r="D8" s="65"/>
      <c r="E8" s="65"/>
      <c r="F8" s="74"/>
      <c r="G8" s="66" t="str">
        <f>HYPERLINK("https://www.t13.cl/noticia/nacional/covid-19-aumentan-43-casos-confirmados-chile","Fuente")</f>
        <v>Fuente</v>
      </c>
      <c r="H8" s="36"/>
      <c r="I8" s="36"/>
      <c r="J8" s="36"/>
    </row>
    <row r="9" ht="30.0" customHeight="1">
      <c r="A9" s="62" t="s">
        <v>86</v>
      </c>
      <c r="B9" s="63">
        <v>26.0</v>
      </c>
      <c r="C9" s="64">
        <v>0.0</v>
      </c>
      <c r="D9" s="65"/>
      <c r="E9" s="65"/>
      <c r="F9" s="74"/>
      <c r="G9" s="66" t="str">
        <f>HYPERLINK("https://www.ministeriodesalud.go.cr/index.php/centro-de-prensa/noticias/741-noticias-2020/1567-se-activa-la-linea-1322-para-atencion-de-consultas-sobre-covid-19","Fuente")</f>
        <v>Fuente</v>
      </c>
      <c r="H9" s="36"/>
      <c r="I9" s="36"/>
      <c r="J9" s="36"/>
    </row>
    <row r="10" ht="30.0" customHeight="1">
      <c r="A10" s="62" t="s">
        <v>73</v>
      </c>
      <c r="B10" s="63">
        <v>21.0</v>
      </c>
      <c r="C10" s="64">
        <v>1.0</v>
      </c>
      <c r="D10" s="65"/>
      <c r="E10" s="65"/>
      <c r="F10" s="74"/>
      <c r="G10" s="66" t="str">
        <f>HYPERLINK("https://www.clarin.com/sociedad/coronavirus-argentina-confirmaron-casos-importados-21-contagiados_0_ZU0WjVc-.html","Fuente")</f>
        <v>Fuente</v>
      </c>
      <c r="H10" s="36"/>
      <c r="I10" s="36"/>
      <c r="J10" s="36"/>
    </row>
    <row r="11" ht="30.0" customHeight="1">
      <c r="A11" s="62" t="s">
        <v>84</v>
      </c>
      <c r="B11" s="63">
        <v>17.0</v>
      </c>
      <c r="C11" s="63">
        <v>0.0</v>
      </c>
      <c r="D11" s="71"/>
      <c r="E11" s="74"/>
      <c r="F11" s="65"/>
      <c r="G11" s="66" t="str">
        <f>HYPERLINK("https://twitter.com/Salud_Ec/status/1237506194740109313","Fuente")</f>
        <v>Fuente</v>
      </c>
      <c r="H11" s="36"/>
      <c r="I11" s="36"/>
      <c r="J11" s="36"/>
    </row>
    <row r="12" ht="30.0" customHeight="1">
      <c r="A12" s="62" t="s">
        <v>65</v>
      </c>
      <c r="B12" s="63">
        <v>17.0</v>
      </c>
      <c r="C12" s="64">
        <v>0.0</v>
      </c>
      <c r="D12" s="65"/>
      <c r="E12" s="65"/>
      <c r="F12" s="74"/>
      <c r="G12" s="66" t="str">
        <f>HYPERLINK("https://twitter.com/Minsa_Peru/status/1237916429975945217","Fuente")</f>
        <v>Fuente</v>
      </c>
      <c r="H12" s="36"/>
      <c r="I12" s="36"/>
      <c r="J12" s="36"/>
    </row>
    <row r="13" ht="30.0" customHeight="1">
      <c r="A13" s="62" t="s">
        <v>243</v>
      </c>
      <c r="B13" s="63">
        <v>14.0</v>
      </c>
      <c r="C13" s="64">
        <v>1.0</v>
      </c>
      <c r="D13" s="65"/>
      <c r="E13" s="65"/>
      <c r="F13" s="74"/>
      <c r="G13" s="66" t="str">
        <f>HYPERLINK("https://www.prensa.com/sociedad/coronavirus-10-mujeres-y-4-hombres-contagiados-en-panama/","Fuente")</f>
        <v>Fuente</v>
      </c>
      <c r="H13" s="36"/>
      <c r="I13" s="36"/>
      <c r="J13" s="36"/>
    </row>
    <row r="14" ht="30.0" customHeight="1">
      <c r="A14" s="62" t="s">
        <v>245</v>
      </c>
      <c r="B14" s="63">
        <v>13.0</v>
      </c>
      <c r="C14" s="64">
        <v>0.0</v>
      </c>
      <c r="D14" s="65">
        <v>1.0</v>
      </c>
      <c r="E14" s="65"/>
      <c r="F14" s="65">
        <v>4.0</v>
      </c>
      <c r="G14" s="66" t="str">
        <f>HYPERLINK("https://www.infobae.com/america/mexico/2020/03/11/coronavirus-se-confirmo-el-primer-caso-en-queretaro-suman-9-en-todo-el-pais/","Fuente")</f>
        <v>Fuente</v>
      </c>
      <c r="H14" s="36"/>
      <c r="I14" s="36"/>
      <c r="J14" s="36"/>
    </row>
    <row r="15" ht="30.0" customHeight="1">
      <c r="A15" s="62" t="s">
        <v>81</v>
      </c>
      <c r="B15" s="63">
        <v>9.0</v>
      </c>
      <c r="C15" s="64">
        <v>0.0</v>
      </c>
      <c r="D15" s="65"/>
      <c r="E15" s="65"/>
      <c r="F15" s="74"/>
      <c r="G15" s="66" t="str">
        <f>HYPERLINK("https://www.eltiempo.com/colombia/cali/estado-de-salud-de-colombiano-con-coronavirus-hospitalizado-en-buga-470598","Fuente")</f>
        <v>Fuente</v>
      </c>
      <c r="H15" s="36"/>
      <c r="I15" s="36"/>
      <c r="J15" s="36"/>
    </row>
    <row r="16" ht="30.0" customHeight="1">
      <c r="A16" s="62" t="s">
        <v>247</v>
      </c>
      <c r="B16" s="63">
        <v>5.0</v>
      </c>
      <c r="C16" s="64">
        <v>0.0</v>
      </c>
      <c r="D16" s="65"/>
      <c r="E16" s="65"/>
      <c r="F16" s="74"/>
      <c r="G16" s="66" t="str">
        <f>HYPERLINK("https://listindiario.com/la-republica/2020/03/09/607425/ya-suman-cinco-los-casos-de-coronavirus-en-el-pais","Fuente")</f>
        <v>Fuente</v>
      </c>
      <c r="H16" s="36"/>
      <c r="I16" s="36"/>
      <c r="J16" s="36"/>
    </row>
    <row r="17" ht="30.0" customHeight="1">
      <c r="A17" s="62" t="s">
        <v>115</v>
      </c>
      <c r="B17" s="63">
        <v>5.0</v>
      </c>
      <c r="C17" s="64">
        <v>0.0</v>
      </c>
      <c r="D17" s="65">
        <v>1.0</v>
      </c>
      <c r="E17" s="65"/>
      <c r="F17" s="74"/>
      <c r="G17" s="66" t="str">
        <f>HYPERLINK("https://twitter.com/MazzoleniJulio/status/1237530868287041536","Fuente")</f>
        <v>Fuente</v>
      </c>
      <c r="H17" s="36"/>
      <c r="I17" s="36"/>
      <c r="J17" s="36"/>
    </row>
    <row r="18" ht="30.0" customHeight="1">
      <c r="A18" s="62" t="s">
        <v>249</v>
      </c>
      <c r="B18" s="63">
        <v>3.0</v>
      </c>
      <c r="C18" s="64">
        <v>0.0</v>
      </c>
      <c r="D18" s="65"/>
      <c r="E18" s="65"/>
      <c r="F18" s="74"/>
      <c r="G18" s="66" t="str">
        <f>HYPERLINK("https://twitter.com/DeItaOne/status/1237904234206711808","Fuente")</f>
        <v>Fuente</v>
      </c>
      <c r="H18" s="36"/>
      <c r="I18" s="36"/>
      <c r="J18" s="36"/>
    </row>
    <row r="19" ht="30.0" customHeight="1">
      <c r="A19" s="62" t="s">
        <v>112</v>
      </c>
      <c r="B19" s="63">
        <v>2.0</v>
      </c>
      <c r="C19" s="64">
        <v>0.0</v>
      </c>
      <c r="D19" s="65"/>
      <c r="E19" s="65"/>
      <c r="F19" s="74"/>
      <c r="G19" s="66" t="str">
        <f>HYPERLINK("https://www.minsalud.gob.bo/3967-ministro-de-salud-reporta-dos-casos-confirmados-de-coronavirus-y-pide-calma-a-la-poblacion","Fuente")</f>
        <v>Fuente</v>
      </c>
      <c r="H19" s="36"/>
      <c r="I19" s="36"/>
      <c r="J19" s="36"/>
    </row>
    <row r="20" ht="30.0" customHeight="1">
      <c r="A20" s="62" t="s">
        <v>123</v>
      </c>
      <c r="B20" s="63">
        <v>2.0</v>
      </c>
      <c r="C20" s="64">
        <v>0.0</v>
      </c>
      <c r="D20" s="65"/>
      <c r="E20" s="65"/>
      <c r="F20" s="74"/>
      <c r="G20" s="66" t="str">
        <f>HYPERLINK("https://twitter.com/saludhn/status/1237652409687724034","Fuente")</f>
        <v>Fuente</v>
      </c>
      <c r="H20" s="36"/>
      <c r="I20" s="36"/>
      <c r="J20" s="36"/>
    </row>
    <row r="21" ht="30.0" customHeight="1">
      <c r="A21" s="77" t="s">
        <v>151</v>
      </c>
      <c r="B21" s="78">
        <f t="shared" ref="B21:C21" si="2">SUM(B6:B20)</f>
        <v>5507</v>
      </c>
      <c r="C21" s="78">
        <f t="shared" si="2"/>
        <v>135</v>
      </c>
      <c r="D21" s="78">
        <f t="shared" ref="D21:F21" si="3">SUM(D6:D16)</f>
        <v>2</v>
      </c>
      <c r="E21" s="78">
        <f t="shared" si="3"/>
        <v>0</v>
      </c>
      <c r="F21" s="78">
        <f t="shared" si="3"/>
        <v>4</v>
      </c>
      <c r="G21" s="79"/>
      <c r="H21" s="36"/>
      <c r="I21" s="36"/>
      <c r="J21" s="36"/>
    </row>
    <row r="22">
      <c r="A22" s="86"/>
      <c r="B22" s="85"/>
      <c r="C22" s="85"/>
      <c r="D22" s="85"/>
      <c r="E22" s="85"/>
      <c r="F22" s="85"/>
      <c r="G22" s="7"/>
      <c r="H22" s="7"/>
      <c r="I22" s="7"/>
      <c r="J22" s="7"/>
    </row>
    <row r="23">
      <c r="A23" s="83"/>
      <c r="B23" s="84"/>
      <c r="C23" s="85"/>
      <c r="D23" s="85"/>
      <c r="E23" s="85"/>
      <c r="F23" s="85"/>
      <c r="G23" s="7"/>
      <c r="H23" s="7"/>
      <c r="I23" s="7"/>
      <c r="J23" s="7"/>
    </row>
    <row r="24">
      <c r="A24" s="86"/>
      <c r="B24" s="85"/>
      <c r="C24" s="85"/>
      <c r="D24" s="85"/>
      <c r="E24" s="85"/>
      <c r="F24" s="85"/>
      <c r="G24" s="7"/>
      <c r="H24" s="7"/>
      <c r="I24" s="7"/>
      <c r="J24" s="7"/>
    </row>
    <row r="25">
      <c r="A25" s="86"/>
      <c r="B25" s="85"/>
      <c r="C25" s="85"/>
      <c r="D25" s="85"/>
      <c r="E25" s="85"/>
      <c r="F25" s="85"/>
      <c r="G25" s="7"/>
      <c r="H25" s="7"/>
      <c r="I25" s="7"/>
      <c r="J25" s="7"/>
    </row>
  </sheetData>
  <mergeCells count="5">
    <mergeCell ref="A1:G1"/>
    <mergeCell ref="B2:C2"/>
    <mergeCell ref="D2:E2"/>
    <mergeCell ref="B3:C3"/>
    <mergeCell ref="D3:E3"/>
  </mergeCells>
  <drawing r:id="rId2"/>
  <legacyDrawing r:id="rId3"/>
  <tableParts count="1">
    <tablePart r:id="rId5"/>
  </tableParts>
</worksheet>
</file>