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Previous" sheetId="3" r:id="rId6"/>
    <sheet state="visible" name="China" sheetId="4" r:id="rId7"/>
    <sheet state="visible" name="Canada" sheetId="5" r:id="rId8"/>
    <sheet state="visible" name="Australia" sheetId="6" r:id="rId9"/>
    <sheet state="visible" name="América Latina y España" sheetId="7" r:id="rId10"/>
    <sheet state="visible" name="Cases" sheetId="10" r:id="rId11"/>
    <sheet state="visible" name="Deaths" sheetId="12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2,955</t>
      </text>
    </comment>
    <comment authorId="0" ref="C6">
      <text>
        <t xml:space="preserve">78</t>
      </text>
    </comment>
    <comment authorId="0" ref="B7">
      <text>
        <t xml:space="preserve">29</t>
      </text>
    </comment>
    <comment authorId="0" ref="B8">
      <text>
        <t xml:space="preserve">20</t>
      </text>
    </comment>
    <comment authorId="0" ref="B9">
      <text>
        <t xml:space="preserve">4</t>
      </text>
    </comment>
  </commentList>
</comments>
</file>

<file path=xl/sharedStrings.xml><?xml version="1.0" encoding="utf-8"?>
<sst xmlns="http://schemas.openxmlformats.org/spreadsheetml/2006/main" count="560" uniqueCount="271">
  <si>
    <t>Currently being updated</t>
  </si>
  <si>
    <t>Updated throughout the day</t>
  </si>
  <si>
    <t>CASES</t>
  </si>
  <si>
    <t>OTHER PLACES</t>
  </si>
  <si>
    <t>Cases</t>
  </si>
  <si>
    <t>Deaths</t>
  </si>
  <si>
    <t>China</t>
  </si>
  <si>
    <t>Italy</t>
  </si>
  <si>
    <t>DEATHS</t>
  </si>
  <si>
    <t>RECOVERED</t>
  </si>
  <si>
    <t>Iran</t>
  </si>
  <si>
    <t>UNRESOLVED</t>
  </si>
  <si>
    <t>Spain</t>
  </si>
  <si>
    <t>South Korea</t>
  </si>
  <si>
    <t>Germany</t>
  </si>
  <si>
    <t>France</t>
  </si>
  <si>
    <t>United States</t>
  </si>
  <si>
    <t>Switzerland</t>
  </si>
  <si>
    <t>United Kingdom</t>
  </si>
  <si>
    <t>Netherlands</t>
  </si>
  <si>
    <t>Norway</t>
  </si>
  <si>
    <t>Belgium</t>
  </si>
  <si>
    <t>Sweden</t>
  </si>
  <si>
    <t>Austria</t>
  </si>
  <si>
    <t>Denmark</t>
  </si>
  <si>
    <t>Japan</t>
  </si>
  <si>
    <t>Diamond Princess</t>
  </si>
  <si>
    <t>Malaysia</t>
  </si>
  <si>
    <t>Qatar</t>
  </si>
  <si>
    <t>Canada</t>
  </si>
  <si>
    <t>Australia</t>
  </si>
  <si>
    <t>Greece</t>
  </si>
  <si>
    <t>Portugal</t>
  </si>
  <si>
    <t>Czech Republic</t>
  </si>
  <si>
    <t>Israel</t>
  </si>
  <si>
    <t>Finland</t>
  </si>
  <si>
    <t>Brazil</t>
  </si>
  <si>
    <t>Singapore</t>
  </si>
  <si>
    <t>Ireland</t>
  </si>
  <si>
    <t>Bahrain</t>
  </si>
  <si>
    <t>Slovenia</t>
  </si>
  <si>
    <t>Iceland</t>
  </si>
  <si>
    <t>Pakistan</t>
  </si>
  <si>
    <t>Poland</t>
  </si>
  <si>
    <t>Estonia</t>
  </si>
  <si>
    <t>Romania</t>
  </si>
  <si>
    <t>Egypt</t>
  </si>
  <si>
    <t>Chile</t>
  </si>
  <si>
    <t>Hong Kong</t>
  </si>
  <si>
    <t>UNITED STATES</t>
  </si>
  <si>
    <t>Thailand</t>
  </si>
  <si>
    <t>Philippines</t>
  </si>
  <si>
    <t>Indonesia</t>
  </si>
  <si>
    <t>Saudi Arabia</t>
  </si>
  <si>
    <t>Iraq</t>
  </si>
  <si>
    <t>India</t>
  </si>
  <si>
    <t>Kuwait</t>
  </si>
  <si>
    <t>San Marino</t>
  </si>
  <si>
    <t>Lebanon</t>
  </si>
  <si>
    <t>United Arab Emirates</t>
  </si>
  <si>
    <t>Russia</t>
  </si>
  <si>
    <t>Peru</t>
  </si>
  <si>
    <t>Luxembourg</t>
  </si>
  <si>
    <t>Taiwan</t>
  </si>
  <si>
    <t>South Africa</t>
  </si>
  <si>
    <t>Slovakia</t>
  </si>
  <si>
    <t>Algeria</t>
  </si>
  <si>
    <t>Serious</t>
  </si>
  <si>
    <t>Vietnam</t>
  </si>
  <si>
    <t>Argentina</t>
  </si>
  <si>
    <t>Croatia</t>
  </si>
  <si>
    <t>Serbia</t>
  </si>
  <si>
    <t>Panama</t>
  </si>
  <si>
    <t>Mexico</t>
  </si>
  <si>
    <t>Bulgaria</t>
  </si>
  <si>
    <t>Brunei</t>
  </si>
  <si>
    <t>Turkey</t>
  </si>
  <si>
    <t>Critical</t>
  </si>
  <si>
    <t>Colombia</t>
  </si>
  <si>
    <t>Recovered</t>
  </si>
  <si>
    <t>Links</t>
  </si>
  <si>
    <t>Albania</t>
  </si>
  <si>
    <t>Palestine</t>
  </si>
  <si>
    <t>Ecuador</t>
  </si>
  <si>
    <t>Morocco</t>
  </si>
  <si>
    <t>Costa Rica</t>
  </si>
  <si>
    <t>Georgia</t>
  </si>
  <si>
    <t>Hungary</t>
  </si>
  <si>
    <t>Cyprus</t>
  </si>
  <si>
    <t>Latvia</t>
  </si>
  <si>
    <t>Armenia</t>
  </si>
  <si>
    <t>Jordan</t>
  </si>
  <si>
    <t>Belarus</t>
  </si>
  <si>
    <t>Senegal</t>
  </si>
  <si>
    <t>Azerbaijan</t>
  </si>
  <si>
    <t>Oman</t>
  </si>
  <si>
    <t>Bosnia</t>
  </si>
  <si>
    <t>Moldova</t>
  </si>
  <si>
    <t>Afghanistan</t>
  </si>
  <si>
    <t>Malta</t>
  </si>
  <si>
    <t>Tunisia</t>
  </si>
  <si>
    <t>North Macedonia</t>
  </si>
  <si>
    <t>Sri Lanka</t>
  </si>
  <si>
    <t>Venezuela</t>
  </si>
  <si>
    <t>New York</t>
  </si>
  <si>
    <t>Lithuania</t>
  </si>
  <si>
    <t>Jamaica</t>
  </si>
  <si>
    <t>Andorra</t>
  </si>
  <si>
    <t>Maldives</t>
  </si>
  <si>
    <t>Cambodia</t>
  </si>
  <si>
    <t>Dominican Republic</t>
  </si>
  <si>
    <t>Macau</t>
  </si>
  <si>
    <t>Bolivia</t>
  </si>
  <si>
    <t>New Zealand</t>
  </si>
  <si>
    <t>Kazakhstan</t>
  </si>
  <si>
    <t>Paraguay</t>
  </si>
  <si>
    <t>Bangladesh</t>
  </si>
  <si>
    <t>Liechtenstein</t>
  </si>
  <si>
    <t>Burkina Faso</t>
  </si>
  <si>
    <t>Rwanda</t>
  </si>
  <si>
    <t>Ghana</t>
  </si>
  <si>
    <t>Uzbekistan</t>
  </si>
  <si>
    <t>Honduras</t>
  </si>
  <si>
    <t>Guatemala</t>
  </si>
  <si>
    <t>Cameroon</t>
  </si>
  <si>
    <t>Ivory Coast</t>
  </si>
  <si>
    <t>Ethiopia</t>
  </si>
  <si>
    <t>Ukraine</t>
  </si>
  <si>
    <t>Seychelles</t>
  </si>
  <si>
    <t>DR Congo</t>
  </si>
  <si>
    <t>Gibraltar</t>
  </si>
  <si>
    <t>Kenya</t>
  </si>
  <si>
    <t>Nigeria</t>
  </si>
  <si>
    <t>Monaco</t>
  </si>
  <si>
    <t>Namibia</t>
  </si>
  <si>
    <t>-</t>
  </si>
  <si>
    <t>Bahamas</t>
  </si>
  <si>
    <t>Liberia</t>
  </si>
  <si>
    <t>Eswatini</t>
  </si>
  <si>
    <t>Equatorial Guinea</t>
  </si>
  <si>
    <t>Gabon</t>
  </si>
  <si>
    <t>Congo Republic</t>
  </si>
  <si>
    <t>Sudan</t>
  </si>
  <si>
    <t>Mauritania</t>
  </si>
  <si>
    <t>Central African Republic</t>
  </si>
  <si>
    <t>Guinea</t>
  </si>
  <si>
    <t>Togo</t>
  </si>
  <si>
    <t>Nepal</t>
  </si>
  <si>
    <t>Bhutan</t>
  </si>
  <si>
    <t>Vatican City</t>
  </si>
  <si>
    <t>Queue</t>
  </si>
  <si>
    <t>Washington</t>
  </si>
  <si>
    <t>TOTAL</t>
  </si>
  <si>
    <t>California</t>
  </si>
  <si>
    <t>New Jersey</t>
  </si>
  <si>
    <t>Massachusetts</t>
  </si>
  <si>
    <t>Florida</t>
  </si>
  <si>
    <t>Louisiana</t>
  </si>
  <si>
    <t>Colorado</t>
  </si>
  <si>
    <t>MAINLAND CHINA</t>
  </si>
  <si>
    <t>Illinois</t>
  </si>
  <si>
    <t>Hubei province (includes Wuhan)</t>
  </si>
  <si>
    <t>Guangdong province</t>
  </si>
  <si>
    <t>Pennsylvania</t>
  </si>
  <si>
    <t>Henan province</t>
  </si>
  <si>
    <t>Tennessee</t>
  </si>
  <si>
    <t>Zhejiang province</t>
  </si>
  <si>
    <t>Hunan province</t>
  </si>
  <si>
    <t>Wisconsin</t>
  </si>
  <si>
    <t>Beijing</t>
  </si>
  <si>
    <t>Shanghai</t>
  </si>
  <si>
    <t>Connecticut</t>
  </si>
  <si>
    <t>Other regions</t>
  </si>
  <si>
    <t>&lt;22</t>
  </si>
  <si>
    <t>Ohio</t>
  </si>
  <si>
    <t>Virginia</t>
  </si>
  <si>
    <t>Michigan</t>
  </si>
  <si>
    <t>Oregon</t>
  </si>
  <si>
    <t>Texas</t>
  </si>
  <si>
    <t>Minnesota</t>
  </si>
  <si>
    <t>Maryland</t>
  </si>
  <si>
    <t>Diamond Princess (repatriated)</t>
  </si>
  <si>
    <t>Nevada</t>
  </si>
  <si>
    <t>Utah</t>
  </si>
  <si>
    <t>South Carolina</t>
  </si>
  <si>
    <t>North Carolina</t>
  </si>
  <si>
    <t>Alabama</t>
  </si>
  <si>
    <t>Maine</t>
  </si>
  <si>
    <t>District of Columbia</t>
  </si>
  <si>
    <t>CANADA</t>
  </si>
  <si>
    <t>Indiana</t>
  </si>
  <si>
    <t>British Columbia</t>
  </si>
  <si>
    <t>Iowa</t>
  </si>
  <si>
    <t>Ontario</t>
  </si>
  <si>
    <t>Kentucky</t>
  </si>
  <si>
    <t>Alberta</t>
  </si>
  <si>
    <t>Quebec</t>
  </si>
  <si>
    <t>New Hampshire</t>
  </si>
  <si>
    <t>Nova Scotia</t>
  </si>
  <si>
    <t>New Mexico</t>
  </si>
  <si>
    <t>Manitoba</t>
  </si>
  <si>
    <t>New Brunswick</t>
  </si>
  <si>
    <t>Arkansas</t>
  </si>
  <si>
    <t>Saskatchewan</t>
  </si>
  <si>
    <t>Grand Princess</t>
  </si>
  <si>
    <t>Prince Edward Island</t>
  </si>
  <si>
    <t>Newfoundland &amp; Labrador</t>
  </si>
  <si>
    <t>Rhode Island</t>
  </si>
  <si>
    <t>Northwest Territories</t>
  </si>
  <si>
    <t>Nunavut</t>
  </si>
  <si>
    <t>Nebraska</t>
  </si>
  <si>
    <t>Yukon</t>
  </si>
  <si>
    <t>Mississippi</t>
  </si>
  <si>
    <t>Arizona</t>
  </si>
  <si>
    <t>Vermont</t>
  </si>
  <si>
    <t>Oklahoma</t>
  </si>
  <si>
    <t>Kansas</t>
  </si>
  <si>
    <t>Delaware</t>
  </si>
  <si>
    <t>Hawaii</t>
  </si>
  <si>
    <t>Missouri</t>
  </si>
  <si>
    <t>AUSTRALIA</t>
  </si>
  <si>
    <t>New South Wales</t>
  </si>
  <si>
    <t>South Dakota</t>
  </si>
  <si>
    <t>Victoria</t>
  </si>
  <si>
    <t>Wyoming</t>
  </si>
  <si>
    <t>Queensland</t>
  </si>
  <si>
    <t>Montana</t>
  </si>
  <si>
    <t>South Australia</t>
  </si>
  <si>
    <t>Idaho</t>
  </si>
  <si>
    <t>Western Australia</t>
  </si>
  <si>
    <t>Tasmania</t>
  </si>
  <si>
    <t>Puerto Rico</t>
  </si>
  <si>
    <t>Northern Territory</t>
  </si>
  <si>
    <t>Guam</t>
  </si>
  <si>
    <t>Canberra (ACT)</t>
  </si>
  <si>
    <t>External territories</t>
  </si>
  <si>
    <t>North Dakota</t>
  </si>
  <si>
    <t>Jervis Bay Territory</t>
  </si>
  <si>
    <t>TBD</t>
  </si>
  <si>
    <t>Wuhan (repatriated)</t>
  </si>
  <si>
    <t>Alaska</t>
  </si>
  <si>
    <t>U.S. Virgin Islands</t>
  </si>
  <si>
    <t>West Virginia</t>
  </si>
  <si>
    <t>American Samoa</t>
  </si>
  <si>
    <t>Northern Mariana Islands</t>
  </si>
  <si>
    <t>Última actualización: 11 de Marzo de 2020 a las 7:40 p.m. (hora del centro)</t>
  </si>
  <si>
    <t>CASOS</t>
  </si>
  <si>
    <t>MUERTES</t>
  </si>
  <si>
    <t>RECUPERADOS</t>
  </si>
  <si>
    <t>Mundo Hispano</t>
  </si>
  <si>
    <t>Casos</t>
  </si>
  <si>
    <t>Muertes</t>
  </si>
  <si>
    <t>Serios</t>
  </si>
  <si>
    <t>Criticos</t>
  </si>
  <si>
    <t>Recuperados</t>
  </si>
  <si>
    <t>Fuente</t>
  </si>
  <si>
    <t>España</t>
  </si>
  <si>
    <t>Brasil</t>
  </si>
  <si>
    <t>U.S. TOTAL</t>
  </si>
  <si>
    <t>Panamá</t>
  </si>
  <si>
    <t>México</t>
  </si>
  <si>
    <t>Rep. Dominicana</t>
  </si>
  <si>
    <t>Cuba</t>
  </si>
  <si>
    <t>Uruguay</t>
  </si>
  <si>
    <t>Kosovo</t>
  </si>
  <si>
    <t>Northern Cyprus</t>
  </si>
  <si>
    <t>Gambia</t>
  </si>
  <si>
    <t>Montenegro</t>
  </si>
  <si>
    <t>Somalia</t>
  </si>
  <si>
    <t>Tanzania</t>
  </si>
  <si>
    <t>Benin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</si>
</sst>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7">
    <font>
      <sz val="10.0"/>
      <color rgb="FF000000"/>
      <name val="Arial"/>
    </font>
    <font>
      <b/>
      <i/>
      <sz val="12.0"/>
      <color rgb="FF000000"/>
      <name val="Roboto"/>
    </font>
    <font>
      <b/>
      <i/>
      <sz val="11.0"/>
      <color rgb="FF000000"/>
      <name val="Arial"/>
    </font>
    <font>
      <color theme="1"/>
      <name val="Arial"/>
    </font>
    <font>
      <sz val="11.0"/>
      <color theme="1"/>
      <name val="Arial"/>
    </font>
    <font>
      <b/>
      <sz val="13.0"/>
      <color rgb="FFFF0000"/>
      <name val="Roboto"/>
    </font>
    <font>
      <b/>
      <sz val="13.0"/>
      <color rgb="FF000000"/>
      <name val="Roboto"/>
    </font>
    <font>
      <b/>
      <sz val="11.0"/>
      <color rgb="FF000000"/>
      <name val="Roboto"/>
    </font>
    <font>
      <b/>
      <sz val="13.0"/>
      <color theme="1"/>
      <name val="Roboto"/>
    </font>
    <font>
      <b/>
      <sz val="11.0"/>
      <color theme="1"/>
      <name val="Roboto"/>
    </font>
    <font>
      <sz val="11.0"/>
      <color rgb="FF000000"/>
      <name val="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FFFFFF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b/>
      <sz val="11.0"/>
      <color rgb="FFFF0000"/>
      <name val="Arial"/>
    </font>
    <font>
      <b/>
      <sz val="11.0"/>
      <color rgb="FFFF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theme="1"/>
      <name val="Arial"/>
    </font>
    <font>
      <sz val="11.0"/>
      <color rgb="FF999999"/>
      <name val="Arial"/>
    </font>
    <font>
      <b/>
      <i/>
      <sz val="11.0"/>
      <color rgb="FF000000"/>
      <name val="Roboto"/>
    </font>
    <font>
      <sz val="11.0"/>
      <color rgb="FF000000"/>
      <name val="Arial"/>
    </font>
    <font>
      <sz val="11.0"/>
      <color rgb="FFFFFFFF"/>
      <name val="Arial"/>
    </font>
    <font>
      <b/>
      <sz val="11.0"/>
      <color rgb="FF38761D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</fills>
  <borders count="3">
    <border/>
    <border>
      <right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5" numFmtId="3" xfId="0" applyAlignment="1" applyFont="1" applyNumberFormat="1">
      <alignment readingOrder="0" vertical="bottom"/>
    </xf>
    <xf borderId="0" fillId="0" fontId="6" numFmtId="0" xfId="0" applyAlignment="1" applyFont="1">
      <alignment horizontal="left" readingOrder="0" vertical="bottom"/>
    </xf>
    <xf borderId="0" fillId="2" fontId="7" numFmtId="0" xfId="0" applyAlignment="1" applyFill="1" applyFont="1">
      <alignment readingOrder="0"/>
    </xf>
    <xf borderId="0" fillId="0" fontId="8" numFmtId="0" xfId="0" applyAlignment="1" applyFont="1">
      <alignment horizontal="left" readingOrder="0" shrinkToFit="0" vertical="bottom" wrapText="0"/>
    </xf>
    <xf borderId="0" fillId="2" fontId="7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3" fontId="10" numFmtId="0" xfId="0" applyAlignment="1" applyFill="1" applyFont="1">
      <alignment readingOrder="0"/>
    </xf>
    <xf borderId="0" fillId="0" fontId="7" numFmtId="0" xfId="0" applyAlignment="1" applyFont="1">
      <alignment horizontal="center" readingOrder="0"/>
    </xf>
    <xf borderId="0" fillId="3" fontId="10" numFmtId="3" xfId="0" applyAlignment="1" applyFont="1" applyNumberFormat="1">
      <alignment horizontal="center" readingOrder="0"/>
    </xf>
    <xf borderId="0" fillId="4" fontId="10" numFmtId="0" xfId="0" applyAlignment="1" applyFill="1" applyFont="1">
      <alignment readingOrder="0"/>
    </xf>
    <xf borderId="0" fillId="4" fontId="10" numFmtId="3" xfId="0" applyAlignment="1" applyFont="1" applyNumberFormat="1">
      <alignment horizontal="center" readingOrder="0"/>
    </xf>
    <xf borderId="0" fillId="0" fontId="8" numFmtId="0" xfId="0" applyAlignment="1" applyFont="1">
      <alignment readingOrder="0" vertical="bottom"/>
    </xf>
    <xf borderId="0" fillId="3" fontId="10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4" fontId="10" numFmtId="0" xfId="0" applyAlignment="1" applyFont="1">
      <alignment horizontal="center" readingOrder="0"/>
    </xf>
    <xf borderId="0" fillId="0" fontId="5" numFmtId="3" xfId="0" applyAlignment="1" applyFont="1" applyNumberFormat="1">
      <alignment horizontal="left" vertical="bottom"/>
    </xf>
    <xf borderId="0" fillId="0" fontId="11" numFmtId="3" xfId="0" applyAlignment="1" applyFont="1" applyNumberFormat="1">
      <alignment horizontal="left" vertical="bottom"/>
    </xf>
    <xf borderId="0" fillId="0" fontId="12" numFmtId="3" xfId="0" applyAlignment="1" applyFont="1" applyNumberFormat="1">
      <alignment horizontal="left" vertical="bottom"/>
    </xf>
    <xf borderId="0" fillId="0" fontId="7" numFmtId="0" xfId="0" applyAlignment="1" applyFont="1">
      <alignment horizontal="left" readingOrder="0"/>
    </xf>
    <xf borderId="0" fillId="3" fontId="4" numFmtId="0" xfId="0" applyFont="1"/>
    <xf borderId="0" fillId="2" fontId="7" numFmtId="0" xfId="0" applyAlignment="1" applyFont="1">
      <alignment horizontal="left" readingOrder="0" shrinkToFit="0" vertical="center" wrapText="1"/>
    </xf>
    <xf borderId="2" fillId="0" fontId="7" numFmtId="0" xfId="0" applyAlignment="1" applyBorder="1" applyFont="1">
      <alignment horizontal="left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readingOrder="0" vertical="center"/>
    </xf>
    <xf borderId="0" fillId="2" fontId="9" numFmtId="0" xfId="0" applyAlignment="1" applyFont="1">
      <alignment horizontal="center" readingOrder="0" shrinkToFit="0" vertical="center" wrapText="1"/>
    </xf>
    <xf borderId="2" fillId="0" fontId="9" numFmtId="0" xfId="0" applyAlignment="1" applyBorder="1" applyFont="1">
      <alignment horizontal="center" readingOrder="0" vertical="center"/>
    </xf>
    <xf borderId="0" fillId="3" fontId="4" numFmtId="0" xfId="0" applyAlignment="1" applyFont="1">
      <alignment vertical="center"/>
    </xf>
    <xf borderId="2" fillId="0" fontId="9" numFmtId="0" xfId="0" applyAlignment="1" applyBorder="1" applyFont="1">
      <alignment horizontal="left" readingOrder="0" vertical="center"/>
    </xf>
    <xf borderId="0" fillId="3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4" fontId="10" numFmtId="0" xfId="0" applyAlignment="1" applyFont="1">
      <alignment horizontal="left" readingOrder="0" shrinkToFit="0" vertical="center" wrapText="1"/>
    </xf>
    <xf borderId="2" fillId="0" fontId="10" numFmtId="0" xfId="0" applyAlignment="1" applyBorder="1" applyFont="1">
      <alignment horizontal="left" readingOrder="0" shrinkToFit="0" vertical="center" wrapText="1"/>
    </xf>
    <xf borderId="0" fillId="4" fontId="10" numFmtId="0" xfId="0" applyAlignment="1" applyFont="1">
      <alignment horizontal="center"/>
    </xf>
    <xf borderId="2" fillId="0" fontId="10" numFmtId="3" xfId="0" applyAlignment="1" applyBorder="1" applyFont="1" applyNumberFormat="1">
      <alignment horizontal="center" readingOrder="0" vertical="center"/>
    </xf>
    <xf borderId="0" fillId="4" fontId="10" numFmtId="3" xfId="0" applyAlignment="1" applyFont="1" applyNumberFormat="1">
      <alignment horizontal="center" readingOrder="0" shrinkToFit="0" vertical="center" wrapText="1"/>
    </xf>
    <xf borderId="2" fillId="0" fontId="4" numFmtId="3" xfId="0" applyAlignment="1" applyBorder="1" applyFont="1" applyNumberFormat="1">
      <alignment horizontal="center" readingOrder="0" vertical="center"/>
    </xf>
    <xf borderId="0" fillId="4" fontId="10" numFmtId="0" xfId="0" applyAlignment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vertical="center"/>
    </xf>
    <xf borderId="0" fillId="4" fontId="4" numFmtId="0" xfId="0" applyAlignment="1" applyFont="1">
      <alignment horizontal="center" readingOrder="0" shrinkToFit="0" vertical="center" wrapText="1"/>
    </xf>
    <xf borderId="0" fillId="3" fontId="13" numFmtId="0" xfId="0" applyAlignment="1" applyFont="1">
      <alignment readingOrder="0"/>
    </xf>
    <xf borderId="2" fillId="0" fontId="14" numFmtId="0" xfId="0" applyAlignment="1" applyBorder="1" applyFont="1">
      <alignment horizontal="center" readingOrder="0" vertical="center"/>
    </xf>
    <xf borderId="0" fillId="4" fontId="15" numFmtId="0" xfId="0" applyAlignment="1" applyFont="1">
      <alignment horizontal="center" readingOrder="0" shrinkToFit="0" vertical="center" wrapText="1"/>
    </xf>
    <xf borderId="0" fillId="3" fontId="13" numFmtId="0" xfId="0" applyAlignment="1" applyFont="1">
      <alignment horizontal="center" readingOrder="0"/>
    </xf>
    <xf borderId="0" fillId="5" fontId="4" numFmtId="0" xfId="0" applyAlignment="1" applyFill="1" applyFont="1">
      <alignment vertical="center"/>
    </xf>
    <xf borderId="0" fillId="3" fontId="13" numFmtId="0" xfId="0" applyAlignment="1" applyFont="1">
      <alignment horizontal="center"/>
    </xf>
    <xf borderId="0" fillId="2" fontId="10" numFmtId="0" xfId="0" applyAlignment="1" applyFont="1">
      <alignment horizontal="left" readingOrder="0" shrinkToFit="0" vertical="center" wrapText="1"/>
    </xf>
    <xf borderId="0" fillId="4" fontId="7" numFmtId="0" xfId="0" applyAlignment="1" applyFont="1">
      <alignment readingOrder="0"/>
    </xf>
    <xf borderId="0" fillId="2" fontId="10" numFmtId="3" xfId="0" applyAlignment="1" applyFont="1" applyNumberFormat="1">
      <alignment horizontal="center" readingOrder="0" shrinkToFit="0" vertical="center" wrapText="1"/>
    </xf>
    <xf borderId="0" fillId="4" fontId="16" numFmtId="3" xfId="0" applyAlignment="1" applyFont="1" applyNumberFormat="1">
      <alignment horizontal="center" readingOrder="0"/>
    </xf>
    <xf borderId="0" fillId="2" fontId="10" numFmtId="0" xfId="0" applyAlignment="1" applyFont="1">
      <alignment horizontal="center" readingOrder="0" shrinkToFit="0" vertical="center" wrapText="1"/>
    </xf>
    <xf borderId="0" fillId="4" fontId="17" numFmtId="3" xfId="0" applyAlignment="1" applyFont="1" applyNumberFormat="1">
      <alignment horizontal="center" readingOrder="0"/>
    </xf>
    <xf borderId="0" fillId="2" fontId="4" numFmtId="0" xfId="0" applyAlignment="1" applyFont="1">
      <alignment horizontal="center" shrinkToFit="0" vertical="center" wrapText="1"/>
    </xf>
    <xf borderId="0" fillId="3" fontId="3" numFmtId="0" xfId="0" applyFont="1"/>
    <xf borderId="0" fillId="2" fontId="4" numFmtId="0" xfId="0" applyAlignment="1" applyFont="1">
      <alignment horizontal="center" readingOrder="0" shrinkToFit="0" vertical="center" wrapText="1"/>
    </xf>
    <xf borderId="0" fillId="2" fontId="18" numFmtId="0" xfId="0" applyAlignment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left" readingOrder="0" shrinkToFit="0" vertical="center" wrapText="1"/>
    </xf>
    <xf borderId="0" fillId="0" fontId="10" numFmtId="3" xfId="0" applyAlignment="1" applyFont="1" applyNumberForma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3" fontId="10" numFmtId="0" xfId="0" applyAlignment="1" applyFont="1">
      <alignment horizontal="left" readingOrder="0" vertical="center"/>
    </xf>
    <xf borderId="2" fillId="0" fontId="20" numFmtId="0" xfId="0" applyAlignment="1" applyBorder="1" applyFont="1">
      <alignment horizontal="center" readingOrder="0" vertical="center"/>
    </xf>
    <xf borderId="0" fillId="5" fontId="4" numFmtId="0" xfId="0" applyAlignment="1" applyFont="1">
      <alignment vertical="center"/>
    </xf>
    <xf borderId="0" fillId="3" fontId="4" numFmtId="0" xfId="0" applyAlignment="1" applyFont="1">
      <alignment vertical="center"/>
    </xf>
    <xf borderId="0" fillId="0" fontId="4" numFmtId="3" xfId="0" applyAlignment="1" applyFont="1" applyNumberFormat="1">
      <alignment horizontal="center" readingOrder="0" shrinkToFit="0" vertical="center" wrapText="1"/>
    </xf>
    <xf borderId="0" fillId="4" fontId="4" numFmtId="3" xfId="0" applyAlignment="1" applyFont="1" applyNumberFormat="1">
      <alignment horizontal="center" readingOrder="0" shrinkToFit="0" vertical="center" wrapText="1"/>
    </xf>
    <xf borderId="0" fillId="3" fontId="21" numFmtId="0" xfId="0" applyAlignment="1" applyFont="1">
      <alignment readingOrder="0" vertical="center"/>
    </xf>
    <xf borderId="0" fillId="0" fontId="20" numFmtId="0" xfId="0" applyAlignment="1" applyFont="1">
      <alignment horizontal="center" readingOrder="0" shrinkToFit="0" vertical="center" wrapText="1"/>
    </xf>
    <xf borderId="0" fillId="3" fontId="22" numFmtId="0" xfId="0" applyAlignment="1" applyFont="1">
      <alignment vertical="center"/>
    </xf>
    <xf borderId="0" fillId="0" fontId="7" numFmtId="0" xfId="0" applyAlignment="1" applyFont="1">
      <alignment horizontal="left" readingOrder="0" shrinkToFit="0" vertical="center" wrapText="1"/>
    </xf>
    <xf borderId="0" fillId="0" fontId="17" numFmtId="3" xfId="0" applyAlignment="1" applyFont="1" applyNumberForma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5" fontId="22" numFmtId="0" xfId="0" applyAlignment="1" applyFont="1">
      <alignment vertical="center"/>
    </xf>
    <xf borderId="0" fillId="0" fontId="16" numFmtId="0" xfId="0" applyAlignment="1" applyFont="1">
      <alignment horizontal="center" shrinkToFit="0" vertical="center" wrapText="1"/>
    </xf>
    <xf borderId="0" fillId="0" fontId="23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2" fillId="0" fontId="4" numFmtId="0" xfId="0" applyAlignment="1" applyBorder="1" applyFont="1">
      <alignment horizontal="center" vertical="center"/>
    </xf>
    <xf borderId="0" fillId="5" fontId="24" numFmtId="0" xfId="0" applyAlignment="1" applyFont="1">
      <alignment vertical="center"/>
    </xf>
    <xf borderId="0" fillId="3" fontId="25" numFmtId="0" xfId="0" applyAlignment="1" applyFont="1">
      <alignment vertical="center"/>
    </xf>
    <xf borderId="0" fillId="4" fontId="4" numFmtId="0" xfId="0" applyAlignment="1" applyFont="1">
      <alignment horizontal="center" shrinkToFit="0" vertical="center" wrapText="1"/>
    </xf>
    <xf borderId="2" fillId="0" fontId="10" numFmtId="0" xfId="0" applyAlignment="1" applyBorder="1" applyFont="1">
      <alignment horizontal="center" readingOrder="0" vertical="center"/>
    </xf>
    <xf borderId="0" fillId="2" fontId="20" numFmtId="0" xfId="0" applyAlignment="1" applyFont="1">
      <alignment horizontal="center" readingOrder="0" shrinkToFit="0" vertical="center" wrapText="1"/>
    </xf>
    <xf borderId="0" fillId="3" fontId="24" numFmtId="0" xfId="0" applyAlignment="1" applyFont="1">
      <alignment vertical="center"/>
    </xf>
    <xf borderId="0" fillId="2" fontId="20" numFmtId="0" xfId="0" applyAlignment="1" applyFont="1">
      <alignment horizontal="center" readingOrder="0" shrinkToFit="0" vertical="center" wrapText="1"/>
    </xf>
    <xf borderId="0" fillId="3" fontId="13" numFmtId="0" xfId="0" applyAlignment="1" applyFont="1">
      <alignment horizontal="left" readingOrder="0" shrinkToFit="0" vertical="center" wrapText="1"/>
    </xf>
    <xf borderId="0" fillId="3" fontId="13" numFmtId="3" xfId="0" applyAlignment="1" applyFont="1" applyNumberFormat="1">
      <alignment horizontal="center" readingOrder="0" shrinkToFit="0" vertical="center" wrapText="1"/>
    </xf>
    <xf borderId="0" fillId="3" fontId="13" numFmtId="0" xfId="0" applyAlignment="1" applyFont="1">
      <alignment horizontal="center" readingOrder="0" shrinkToFit="0" vertical="center" wrapText="1"/>
    </xf>
    <xf borderId="0" fillId="3" fontId="25" numFmtId="0" xfId="0" applyAlignment="1" applyFont="1">
      <alignment horizontal="center" readingOrder="0" shrinkToFit="0" vertical="center" wrapText="1"/>
    </xf>
    <xf borderId="0" fillId="3" fontId="25" numFmtId="0" xfId="0" applyAlignment="1" applyFont="1">
      <alignment horizontal="center" shrinkToFit="0" vertical="center" wrapText="1"/>
    </xf>
    <xf borderId="0" fillId="3" fontId="13" numFmtId="0" xfId="0" applyAlignment="1" applyFont="1">
      <alignment horizontal="center" readingOrder="0" shrinkToFit="0" vertical="center" wrapText="1"/>
    </xf>
    <xf borderId="2" fillId="0" fontId="20" numFmtId="0" xfId="0" applyAlignment="1" applyBorder="1" applyFont="1">
      <alignment horizontal="center" readingOrder="0" vertical="center"/>
    </xf>
    <xf borderId="0" fillId="3" fontId="13" numFmtId="0" xfId="0" applyAlignment="1" applyFont="1">
      <alignment horizontal="left" readingOrder="0" vertical="center"/>
    </xf>
    <xf borderId="0" fillId="3" fontId="13" numFmtId="0" xfId="0" applyAlignment="1" applyFont="1">
      <alignment horizontal="center" readingOrder="0" vertical="center"/>
    </xf>
    <xf borderId="0" fillId="3" fontId="25" numFmtId="0" xfId="0" applyAlignment="1" applyFont="1">
      <alignment horizontal="center" readingOrder="0" vertical="center"/>
    </xf>
    <xf borderId="0" fillId="3" fontId="13" numFmtId="0" xfId="0" applyAlignment="1" applyFont="1">
      <alignment horizontal="center" readingOrder="0" vertical="center"/>
    </xf>
    <xf borderId="0" fillId="0" fontId="7" numFmtId="0" xfId="0" applyAlignment="1" applyFont="1">
      <alignment horizontal="left" readingOrder="0" vertical="center"/>
    </xf>
    <xf borderId="0" fillId="0" fontId="16" numFmtId="3" xfId="0" applyAlignment="1" applyFont="1" applyNumberFormat="1">
      <alignment horizontal="center" vertical="center"/>
    </xf>
    <xf borderId="0" fillId="0" fontId="17" numFmtId="3" xfId="0" applyAlignment="1" applyFont="1" applyNumberFormat="1">
      <alignment horizontal="center" readingOrder="0" vertical="center"/>
    </xf>
    <xf borderId="0" fillId="0" fontId="17" numFmtId="0" xfId="0" applyAlignment="1" applyFont="1">
      <alignment horizontal="center" readingOrder="0" vertical="center"/>
    </xf>
    <xf borderId="0" fillId="0" fontId="26" numFmtId="3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26" numFmtId="0" xfId="0" applyAlignment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"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América Latina y Españ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1.xml"/><Relationship Id="rId10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World!$A$7:$A$149</c:f>
            </c:strRef>
          </c:cat>
          <c:val>
            <c:numRef>
              <c:f>World!$B$7:$B$149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World!$A$7:$A$149</c:f>
            </c:strRef>
          </c:cat>
          <c:val>
            <c:numRef>
              <c:f>World!$C$7:$C$150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headerRowCount="0" ref="A6:G152" displayName="Table_6" id="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Worl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5:G67" displayName="Table_4" id="4">
  <tableColumns count="7">
    <tableColumn name="UNITED STATES" id="1"/>
    <tableColumn name="Cases" id="2"/>
    <tableColumn name="Deaths" id="3"/>
    <tableColumn name="Serious" id="4"/>
    <tableColumn name="Critical" id="5"/>
    <tableColumn name="Recovered" id="6"/>
    <tableColumn name="Links" id="7"/>
  </tableColumns>
  <tableStyleInfo name="USA-style" showColumnStripes="0" showFirstColumn="1" showLastColumn="1" showRowStripes="1"/>
</table>
</file>

<file path=xl/tables/table3.xml><?xml version="1.0" encoding="utf-8"?>
<table xmlns="http://schemas.openxmlformats.org/spreadsheetml/2006/main" headerRowCount="0" ref="A5:G15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5:G19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nad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5:G18" display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ustrali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5:G21" displayName="Table_5" id="5">
  <tableColumns count="7">
    <tableColumn name="Mundo Hispano" id="1"/>
    <tableColumn name="Casos" id="2"/>
    <tableColumn name="Muertes" id="3"/>
    <tableColumn name="Serios" id="4"/>
    <tableColumn name="Criticos" id="5"/>
    <tableColumn name="Recuperados" id="6"/>
    <tableColumn name="Fuente" id="7"/>
  </tableColumns>
  <tableStyleInfo name="América Latina y Españ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2" width="9.43"/>
    <col customWidth="1" min="3" max="3" width="8.43"/>
    <col customWidth="1" min="4" max="4" width="9.71"/>
    <col customWidth="1" min="5" max="5" width="8.71"/>
    <col customWidth="1" min="6" max="6" width="12.0"/>
    <col customWidth="1" min="7" max="7" width="11.29"/>
    <col customWidth="1" min="8" max="8" width="0.71"/>
  </cols>
  <sheetData>
    <row r="1">
      <c r="A1" s="6" t="s">
        <v>0</v>
      </c>
      <c r="B1" s="8"/>
      <c r="C1" s="8"/>
      <c r="D1" s="10"/>
      <c r="E1" s="10"/>
      <c r="F1" s="12"/>
      <c r="G1" s="1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8"/>
      <c r="B2" s="8"/>
      <c r="C2" s="8"/>
      <c r="D2" s="10"/>
      <c r="E2" s="10"/>
      <c r="F2" s="12"/>
      <c r="G2" s="1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8" t="s">
        <v>2</v>
      </c>
      <c r="B3" s="8" t="s">
        <v>8</v>
      </c>
      <c r="D3" s="10" t="s">
        <v>9</v>
      </c>
      <c r="F3" s="18" t="s">
        <v>11</v>
      </c>
      <c r="H3" s="10"/>
      <c r="I3" s="2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22">
        <f t="shared" ref="A4:B4" si="1">SUM(B151, B152)</f>
        <v>199584</v>
      </c>
      <c r="B4" s="22">
        <f t="shared" si="1"/>
        <v>7975</v>
      </c>
      <c r="D4" s="23">
        <f>SUM(F151, F152)</f>
        <v>81271</v>
      </c>
      <c r="F4" s="24">
        <f>MINUS(A4,B4+D4)</f>
        <v>110338</v>
      </c>
      <c r="H4" s="23"/>
      <c r="I4" s="20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25"/>
      <c r="B5" s="14"/>
      <c r="C5" s="14"/>
      <c r="D5" s="12"/>
      <c r="E5" s="12"/>
      <c r="F5" s="12"/>
      <c r="G5" s="14"/>
      <c r="H5" s="26"/>
      <c r="I5" s="2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30.0" customHeight="1">
      <c r="A6" s="28" t="s">
        <v>3</v>
      </c>
      <c r="B6" s="30" t="s">
        <v>4</v>
      </c>
      <c r="C6" s="30" t="s">
        <v>5</v>
      </c>
      <c r="D6" s="32" t="s">
        <v>67</v>
      </c>
      <c r="E6" s="34" t="s">
        <v>77</v>
      </c>
      <c r="F6" s="34" t="s">
        <v>79</v>
      </c>
      <c r="G6" s="30"/>
      <c r="H6" s="33"/>
      <c r="I6" s="33"/>
      <c r="J6" s="33"/>
      <c r="K6" s="33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 ht="30.0" customHeight="1">
      <c r="A7" s="38" t="s">
        <v>6</v>
      </c>
      <c r="B7" s="40">
        <v>80881.0</v>
      </c>
      <c r="C7" s="40">
        <v>3226.0</v>
      </c>
      <c r="D7" s="42">
        <v>2830.0</v>
      </c>
      <c r="E7" s="44" t="s">
        <v>135</v>
      </c>
      <c r="F7" s="42">
        <v>68869.0</v>
      </c>
      <c r="G7" s="47" t="str">
        <f>HYPERLINK("http://www.nhc.gov.cn/yjb/s7860/202003/28d026a0422844969226913ee3d56d77.shtml","Source")</f>
        <v>Source</v>
      </c>
      <c r="H7" s="33"/>
      <c r="I7" s="33"/>
      <c r="J7" s="33"/>
      <c r="K7" s="33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ht="30.0" customHeight="1">
      <c r="A8" s="38" t="s">
        <v>7</v>
      </c>
      <c r="B8" s="40">
        <v>31506.0</v>
      </c>
      <c r="C8" s="40">
        <v>2503.0</v>
      </c>
      <c r="D8" s="42">
        <v>2060.0</v>
      </c>
      <c r="E8" s="44" t="s">
        <v>135</v>
      </c>
      <c r="F8" s="42">
        <v>2941.0</v>
      </c>
      <c r="G8" s="47" t="str">
        <f>HYPERLINK("https://pbs.twimg.com/media/ETU8KWKUwAE8fV6?format=jpg&amp;name=medium","Source")</f>
        <v>Source</v>
      </c>
      <c r="H8" s="50"/>
      <c r="I8" s="33"/>
      <c r="J8" s="59"/>
      <c r="K8" s="33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</row>
    <row r="9" ht="30.0" customHeight="1">
      <c r="A9" s="38" t="s">
        <v>10</v>
      </c>
      <c r="B9" s="40">
        <v>16169.0</v>
      </c>
      <c r="C9" s="62">
        <v>988.0</v>
      </c>
      <c r="D9" s="44" t="s">
        <v>135</v>
      </c>
      <c r="E9" s="44" t="s">
        <v>135</v>
      </c>
      <c r="F9" s="42">
        <v>5389.0</v>
      </c>
      <c r="G9" s="47" t="str">
        <f>HYPERLINK("https://news.trust.org/item/20200317102026-9ea3a","Source")</f>
        <v>Source</v>
      </c>
      <c r="H9" s="50"/>
      <c r="I9" s="33"/>
      <c r="J9" s="33"/>
      <c r="K9" s="33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ht="30.0" customHeight="1">
      <c r="A10" s="38" t="s">
        <v>12</v>
      </c>
      <c r="B10" s="40">
        <v>11826.0</v>
      </c>
      <c r="C10" s="62">
        <v>533.0</v>
      </c>
      <c r="D10" s="44">
        <v>563.0</v>
      </c>
      <c r="E10" s="44" t="s">
        <v>135</v>
      </c>
      <c r="F10" s="42">
        <v>1028.0</v>
      </c>
      <c r="G10" s="47" t="str">
        <f>HYPERLINK("https://www.rtve.es/noticias/20200314/mapa-del-coronavirus-espana/2004681.shtml","Source")</f>
        <v>Source</v>
      </c>
      <c r="H10" s="50"/>
      <c r="I10" s="33"/>
      <c r="J10" s="33"/>
      <c r="K10" s="33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</row>
    <row r="11" ht="30.0" customHeight="1">
      <c r="A11" s="38" t="s">
        <v>13</v>
      </c>
      <c r="B11" s="40">
        <v>8413.0</v>
      </c>
      <c r="C11" s="62">
        <v>84.0</v>
      </c>
      <c r="D11" s="44" t="s">
        <v>135</v>
      </c>
      <c r="E11" s="44" t="s">
        <v>135</v>
      </c>
      <c r="F11" s="42">
        <v>1540.0</v>
      </c>
      <c r="G11" s="47" t="str">
        <f>HYPERLINK("http://ncov.mohw.go.kr/tcmBoardView.do?brdId=&amp;brdGubun=&amp;dataGubun=&amp;ncvContSeq=353604&amp;contSeq=353604&amp;board_id=&amp;gubun=ALL","Source")</f>
        <v>Source</v>
      </c>
      <c r="H11" s="50"/>
      <c r="I11" s="33"/>
      <c r="J11" s="33"/>
      <c r="K11" s="33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</row>
    <row r="12" ht="30.0" customHeight="1">
      <c r="A12" s="38" t="s">
        <v>14</v>
      </c>
      <c r="B12" s="40">
        <v>9360.0</v>
      </c>
      <c r="C12" s="62">
        <v>26.0</v>
      </c>
      <c r="D12" s="44" t="s">
        <v>135</v>
      </c>
      <c r="E12" s="44">
        <v>2.0</v>
      </c>
      <c r="F12" s="44">
        <v>67.0</v>
      </c>
      <c r="G12" s="47" t="str">
        <f>HYPERLINK("https://interaktiv.morgenpost.de/corona-virus-karte-infektionen-deutschland-weltweit/?fbclid=IwAR04HlqzakGaNssQzbz4d8o8R3gz0C910U8tvfYlBT6P0lVJJvHfk9uS2rc","Source")</f>
        <v>Source</v>
      </c>
      <c r="H12" s="50"/>
      <c r="I12" s="33"/>
      <c r="J12" s="33"/>
      <c r="K12" s="33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ht="30.0" customHeight="1">
      <c r="A13" s="38" t="s">
        <v>15</v>
      </c>
      <c r="B13" s="40">
        <v>7730.0</v>
      </c>
      <c r="C13" s="62">
        <v>175.0</v>
      </c>
      <c r="D13" s="44">
        <v>300.0</v>
      </c>
      <c r="E13" s="44" t="s">
        <v>135</v>
      </c>
      <c r="F13" s="44">
        <v>12.0</v>
      </c>
      <c r="G13" s="47" t="str">
        <f>HYPERLINK("https://www.santepubliquefrance.fr/maladies-et-traumatismes/maladies-et-infections-respiratoires/infection-a-coronavirus/articles/infection-au-nouveau-coronavirus-sars-cov-2-covid-19-france-et-monde","Source")</f>
        <v>Source</v>
      </c>
      <c r="H13" s="50"/>
      <c r="I13" s="33"/>
      <c r="J13" s="69"/>
      <c r="K13" s="33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</row>
    <row r="14" ht="30.0" customHeight="1">
      <c r="A14" s="38" t="s">
        <v>16</v>
      </c>
      <c r="B14" s="40">
        <v>6329.0</v>
      </c>
      <c r="C14" s="62">
        <v>107.0</v>
      </c>
      <c r="D14" s="44">
        <v>60.0</v>
      </c>
      <c r="E14" s="44">
        <v>4.0</v>
      </c>
      <c r="F14" s="44">
        <v>9.0</v>
      </c>
      <c r="G14" s="70"/>
      <c r="H14" s="71"/>
      <c r="I14" s="72"/>
      <c r="J14" s="33"/>
      <c r="K14" s="33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</row>
    <row r="15" ht="30.0" customHeight="1">
      <c r="A15" s="38" t="s">
        <v>17</v>
      </c>
      <c r="B15" s="40">
        <v>2700.0</v>
      </c>
      <c r="C15" s="62">
        <v>27.0</v>
      </c>
      <c r="D15" s="44" t="s">
        <v>135</v>
      </c>
      <c r="E15" s="44" t="s">
        <v>135</v>
      </c>
      <c r="F15" s="44">
        <v>4.0</v>
      </c>
      <c r="G15" s="47" t="str">
        <f>HYPERLINK("https://www.24heures.ch/monde/direct-nouveau-cas-coronavirus-suisse/story/24581768","Source")</f>
        <v>Source</v>
      </c>
      <c r="H15" s="50"/>
      <c r="I15" s="33"/>
      <c r="J15" s="33"/>
      <c r="K15" s="33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</row>
    <row r="16" ht="30.0" customHeight="1">
      <c r="A16" s="38" t="s">
        <v>18</v>
      </c>
      <c r="B16" s="40">
        <v>1950.0</v>
      </c>
      <c r="C16" s="62">
        <v>71.0</v>
      </c>
      <c r="D16" s="44">
        <v>20.0</v>
      </c>
      <c r="E16" s="44" t="s">
        <v>135</v>
      </c>
      <c r="F16" s="44">
        <v>65.0</v>
      </c>
      <c r="G16" s="47" t="str">
        <f>HYPERLINK("https://twitter.com/PA/status/1239956869168402434","Source")</f>
        <v>Source</v>
      </c>
      <c r="H16" s="50"/>
      <c r="I16" s="33"/>
      <c r="J16" s="33"/>
      <c r="K16" s="33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</row>
    <row r="17" ht="30.0" customHeight="1">
      <c r="A17" s="38" t="s">
        <v>19</v>
      </c>
      <c r="B17" s="40">
        <v>1705.0</v>
      </c>
      <c r="C17" s="62">
        <v>43.0</v>
      </c>
      <c r="D17" s="44" t="s">
        <v>135</v>
      </c>
      <c r="E17" s="44">
        <v>45.0</v>
      </c>
      <c r="F17" s="44">
        <v>2.0</v>
      </c>
      <c r="G17" s="47" t="str">
        <f>HYPERLINK("https://www.rivm.nl/nieuws/actuele-informatie-over-coronavirus","Source")</f>
        <v>Source</v>
      </c>
      <c r="H17" s="50"/>
      <c r="I17" s="33"/>
      <c r="J17" s="33"/>
      <c r="K17" s="33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ht="30.0" customHeight="1">
      <c r="A18" s="38" t="s">
        <v>20</v>
      </c>
      <c r="B18" s="40">
        <v>1444.0</v>
      </c>
      <c r="C18" s="62">
        <v>3.0</v>
      </c>
      <c r="D18" s="44" t="s">
        <v>135</v>
      </c>
      <c r="E18" s="44" t="s">
        <v>135</v>
      </c>
      <c r="F18" s="44" t="s">
        <v>135</v>
      </c>
      <c r="G18" s="47" t="str">
        <f>HYPERLINK("https://www.vg.no/spesial/2020/corona-viruset/?utm_source=vgfront&amp;utm_content=row-1","Source")</f>
        <v>Source</v>
      </c>
      <c r="H18" s="50"/>
      <c r="I18" s="33"/>
      <c r="J18" s="75"/>
      <c r="K18" s="33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</row>
    <row r="19" ht="30.0" customHeight="1">
      <c r="A19" s="38" t="s">
        <v>23</v>
      </c>
      <c r="B19" s="40">
        <v>1332.0</v>
      </c>
      <c r="C19" s="62">
        <v>3.0</v>
      </c>
      <c r="D19" s="44" t="s">
        <v>135</v>
      </c>
      <c r="E19" s="44" t="s">
        <v>135</v>
      </c>
      <c r="F19" s="44">
        <v>9.0</v>
      </c>
      <c r="G19" s="47" t="str">
        <f>HYPERLINK("https://twitter.com/bmsgpk/status/1239915561183858692","Source")</f>
        <v>Source</v>
      </c>
      <c r="H19" s="50"/>
      <c r="I19" s="33"/>
      <c r="J19" s="33"/>
      <c r="K19" s="33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</row>
    <row r="20" ht="30.0" customHeight="1">
      <c r="A20" s="38" t="s">
        <v>21</v>
      </c>
      <c r="B20" s="40">
        <v>1243.0</v>
      </c>
      <c r="C20" s="62">
        <v>10.0</v>
      </c>
      <c r="D20" s="44">
        <v>79.0</v>
      </c>
      <c r="E20" s="44" t="s">
        <v>135</v>
      </c>
      <c r="F20" s="44">
        <v>1.0</v>
      </c>
      <c r="G20" s="47" t="str">
        <f>HYPERLINK("https://www.info-coronavirus.be/nl/2020/03/17/172-nieuwe-besmettingen-met-coronavirus-covid-19/","Source")</f>
        <v>Source</v>
      </c>
      <c r="H20" s="50"/>
      <c r="I20" s="33"/>
      <c r="J20" s="33"/>
      <c r="K20" s="33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ht="30.0" customHeight="1">
      <c r="A21" s="38" t="s">
        <v>22</v>
      </c>
      <c r="B21" s="40">
        <v>1196.0</v>
      </c>
      <c r="C21" s="62">
        <v>8.0</v>
      </c>
      <c r="D21" s="44" t="s">
        <v>135</v>
      </c>
      <c r="E21" s="44" t="s">
        <v>135</v>
      </c>
      <c r="F21" s="44" t="s">
        <v>135</v>
      </c>
      <c r="G21" s="47" t="str">
        <f>HYPERLINK("https://www.svt.se/datajournalistik/har-sprider-sig-coronaviruset/","Source")</f>
        <v>Source</v>
      </c>
      <c r="H21" s="50"/>
      <c r="I21" s="33"/>
      <c r="J21" s="33"/>
      <c r="K21" s="33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</row>
    <row r="22" ht="30.0" customHeight="1">
      <c r="A22" s="38" t="s">
        <v>24</v>
      </c>
      <c r="B22" s="62">
        <v>1024.0</v>
      </c>
      <c r="C22" s="62">
        <v>4.0</v>
      </c>
      <c r="D22" s="44" t="s">
        <v>135</v>
      </c>
      <c r="E22" s="44" t="s">
        <v>135</v>
      </c>
      <c r="F22" s="44" t="s">
        <v>135</v>
      </c>
      <c r="G22" s="47" t="str">
        <f>HYPERLINK("https://politi.dk/coronavirus-i-danmark/foelg-smittespredningen-globalt-regionalt-og-lokalt","Source")</f>
        <v>Source</v>
      </c>
      <c r="H22" s="50"/>
      <c r="I22" s="33"/>
      <c r="J22" s="33"/>
      <c r="K22" s="33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</row>
    <row r="23" ht="30.0" customHeight="1">
      <c r="A23" s="38" t="s">
        <v>25</v>
      </c>
      <c r="B23" s="62">
        <v>835.0</v>
      </c>
      <c r="C23" s="62">
        <v>29.0</v>
      </c>
      <c r="D23" s="44">
        <v>32.0</v>
      </c>
      <c r="E23" s="44" t="s">
        <v>135</v>
      </c>
      <c r="F23" s="44">
        <v>164.0</v>
      </c>
      <c r="G23" s="47" t="str">
        <f>HYPERLINK("https://www3.nhk.or.jp/news/html/20200316/k10012333121000.html?utm_int=word_contents_list-items_012&amp;word_result=%E6%96%B0%E5%9E%8B%E3%82%B3%E3%83%AD%E3%83%8A%E3%82%A6%E3%82%A4%E3%83%AB%E3%82%B9","Source")</f>
        <v>Source</v>
      </c>
      <c r="H23" s="83"/>
      <c r="I23" s="33"/>
      <c r="J23" s="33"/>
      <c r="K23" s="33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</row>
    <row r="24" ht="30.0" customHeight="1">
      <c r="A24" s="38" t="s">
        <v>26</v>
      </c>
      <c r="B24" s="62">
        <v>712.0</v>
      </c>
      <c r="C24" s="62">
        <v>7.0</v>
      </c>
      <c r="D24" s="44">
        <v>14.0</v>
      </c>
      <c r="E24" s="44" t="s">
        <v>135</v>
      </c>
      <c r="F24" s="44">
        <v>458.0</v>
      </c>
      <c r="G24" s="47" t="str">
        <f>HYPERLINK("https://www3.nhk.or.jp/nhkworld/en/news/20200316_10/","Source")</f>
        <v>Source</v>
      </c>
      <c r="H24" s="50"/>
      <c r="I24" s="33"/>
      <c r="J24" s="33"/>
      <c r="K24" s="33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</row>
    <row r="25" ht="30.0" customHeight="1">
      <c r="A25" s="38" t="s">
        <v>27</v>
      </c>
      <c r="B25" s="62">
        <v>673.0</v>
      </c>
      <c r="C25" s="62">
        <v>2.0</v>
      </c>
      <c r="D25" s="44">
        <v>12.0</v>
      </c>
      <c r="E25" s="44" t="s">
        <v>135</v>
      </c>
      <c r="F25" s="44">
        <v>49.0</v>
      </c>
      <c r="G25" s="47" t="str">
        <f>HYPERLINK("https://twitter.com/KKMPutrajaya/status/1239851011503566848","Source")</f>
        <v>Source</v>
      </c>
      <c r="H25" s="50"/>
      <c r="I25" s="33"/>
      <c r="J25" s="33"/>
      <c r="K25" s="33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</row>
    <row r="26" ht="30.0" customHeight="1">
      <c r="A26" s="38" t="s">
        <v>29</v>
      </c>
      <c r="B26" s="62">
        <v>592.0</v>
      </c>
      <c r="C26" s="62">
        <v>8.0</v>
      </c>
      <c r="D26" s="44" t="s">
        <v>135</v>
      </c>
      <c r="E26" s="44">
        <v>1.0</v>
      </c>
      <c r="F26" s="44">
        <v>11.0</v>
      </c>
      <c r="G26" s="70"/>
      <c r="H26" s="50"/>
      <c r="I26" s="33"/>
      <c r="J26" s="33"/>
      <c r="K26" s="33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</row>
    <row r="27" ht="30.0" customHeight="1">
      <c r="A27" s="38" t="s">
        <v>30</v>
      </c>
      <c r="B27" s="62">
        <v>456.0</v>
      </c>
      <c r="C27" s="62">
        <v>5.0</v>
      </c>
      <c r="D27" s="44" t="s">
        <v>135</v>
      </c>
      <c r="E27" s="44" t="s">
        <v>135</v>
      </c>
      <c r="F27" s="44">
        <v>27.0</v>
      </c>
      <c r="G27" s="70"/>
      <c r="H27" s="50"/>
      <c r="I27" s="33"/>
      <c r="J27" s="33"/>
      <c r="K27" s="33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</row>
    <row r="28" ht="30.0" customHeight="1">
      <c r="A28" s="38" t="s">
        <v>32</v>
      </c>
      <c r="B28" s="62">
        <v>448.0</v>
      </c>
      <c r="C28" s="62">
        <v>1.0</v>
      </c>
      <c r="D28" s="44">
        <v>18.0</v>
      </c>
      <c r="E28" s="89"/>
      <c r="F28" s="44">
        <v>3.0</v>
      </c>
      <c r="G28" s="47" t="str">
        <f>HYPERLINK("https://covid19.min-saude.pt/ponto-de-situacao-atual-em-portugal/","Source")</f>
        <v>Source</v>
      </c>
      <c r="H28" s="50"/>
      <c r="I28" s="33"/>
      <c r="J28" s="33"/>
      <c r="K28" s="33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ht="30.0" customHeight="1">
      <c r="A29" s="38" t="s">
        <v>28</v>
      </c>
      <c r="B29" s="62">
        <v>442.0</v>
      </c>
      <c r="C29" s="62">
        <v>0.0</v>
      </c>
      <c r="D29" s="44" t="s">
        <v>135</v>
      </c>
      <c r="E29" s="44" t="s">
        <v>135</v>
      </c>
      <c r="F29" s="44">
        <v>4.0</v>
      </c>
      <c r="G29" s="47" t="str">
        <f>HYPERLINK("https://english.alarabiya.net/en/News/middle-east/2020/03/17/Qatar-announces-three-new-coronavirus-cases-total-at-442.html","Source")</f>
        <v>Source</v>
      </c>
      <c r="H29" s="50"/>
      <c r="I29" s="33"/>
      <c r="J29" s="33"/>
      <c r="K29" s="33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</row>
    <row r="30" ht="30.0" customHeight="1">
      <c r="A30" s="38" t="s">
        <v>33</v>
      </c>
      <c r="B30" s="62">
        <v>434.0</v>
      </c>
      <c r="C30" s="62">
        <v>0.0</v>
      </c>
      <c r="D30" s="44">
        <v>2.0</v>
      </c>
      <c r="E30" s="44">
        <v>0.0</v>
      </c>
      <c r="F30" s="44">
        <v>3.0</v>
      </c>
      <c r="G30" s="47" t="str">
        <f>HYPERLINK("https://onemocneni-aktualne.mzcr.cz/covid-19","Source")</f>
        <v>Source</v>
      </c>
      <c r="H30" s="50"/>
      <c r="I30" s="33"/>
      <c r="J30" s="33"/>
      <c r="K30" s="33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</row>
    <row r="31" ht="30.0" customHeight="1">
      <c r="A31" s="38" t="s">
        <v>31</v>
      </c>
      <c r="B31" s="62">
        <v>387.0</v>
      </c>
      <c r="C31" s="62">
        <v>5.0</v>
      </c>
      <c r="D31" s="44">
        <v>5.0</v>
      </c>
      <c r="E31" s="44" t="s">
        <v>135</v>
      </c>
      <c r="F31" s="44">
        <v>10.0</v>
      </c>
      <c r="G31" s="47" t="str">
        <f>HYPERLINK("https://www.nytimes.com/reuters/2020/03/17/world/europe/17reuters-health-coronavirus-greece.html","Source")</f>
        <v>Source</v>
      </c>
      <c r="H31" s="50"/>
      <c r="I31" s="33"/>
      <c r="J31" s="33"/>
      <c r="K31" s="33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2" ht="30.0" customHeight="1">
      <c r="A32" s="38" t="s">
        <v>36</v>
      </c>
      <c r="B32" s="62">
        <v>346.0</v>
      </c>
      <c r="C32" s="62">
        <v>1.0</v>
      </c>
      <c r="D32" s="44" t="s">
        <v>135</v>
      </c>
      <c r="E32" s="44" t="s">
        <v>135</v>
      </c>
      <c r="F32" s="44">
        <v>1.0</v>
      </c>
      <c r="G32" s="47" t="str">
        <f>HYPERLINK("https://g1.globo.com/resumo-do-dia/noticia/2020/03/17/terca-feira-17-de-marco.ghtml","Source")</f>
        <v>Source</v>
      </c>
      <c r="H32" s="50"/>
      <c r="I32" s="33"/>
      <c r="J32" s="33"/>
      <c r="K32" s="33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</row>
    <row r="33" ht="30.0" customHeight="1">
      <c r="A33" s="38" t="s">
        <v>34</v>
      </c>
      <c r="B33" s="62">
        <v>337.0</v>
      </c>
      <c r="C33" s="62">
        <v>0.0</v>
      </c>
      <c r="D33" s="44">
        <v>4.0</v>
      </c>
      <c r="E33" s="44" t="s">
        <v>135</v>
      </c>
      <c r="F33" s="44">
        <v>5.0</v>
      </c>
      <c r="G33" s="47" t="str">
        <f>HYPERLINK("https://www.jpost.com/Breaking-News/Israelis-with-coronavirus-Health-Ministry-reports-304-patients-621258","Source")</f>
        <v>Source</v>
      </c>
      <c r="H33" s="50"/>
      <c r="I33" s="33"/>
      <c r="J33" s="33"/>
      <c r="K33" s="33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</row>
    <row r="34" ht="30.0" customHeight="1">
      <c r="A34" s="38" t="s">
        <v>35</v>
      </c>
      <c r="B34" s="62">
        <v>319.0</v>
      </c>
      <c r="C34" s="62">
        <v>0.0</v>
      </c>
      <c r="D34" s="44" t="s">
        <v>135</v>
      </c>
      <c r="E34" s="44" t="s">
        <v>135</v>
      </c>
      <c r="F34" s="44">
        <v>1.0</v>
      </c>
      <c r="G34" s="47" t="str">
        <f>HYPERLINK("https://thl.fi/en/web/infectious-diseases/what-s-new/coronavirus-covid-19-latest-updates","Source")</f>
        <v>Source</v>
      </c>
      <c r="H34" s="50"/>
      <c r="I34" s="33"/>
      <c r="J34" s="33"/>
      <c r="K34" s="33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</row>
    <row r="35" ht="27.75" customHeight="1">
      <c r="A35" s="38" t="s">
        <v>40</v>
      </c>
      <c r="B35" s="62">
        <v>275.0</v>
      </c>
      <c r="C35" s="62">
        <v>1.0</v>
      </c>
      <c r="D35" s="44">
        <v>0.0</v>
      </c>
      <c r="E35" s="44">
        <v>0.0</v>
      </c>
      <c r="F35" s="44">
        <v>0.0</v>
      </c>
      <c r="G35" s="47" t="str">
        <f>HYPERLINK("https://www.gov.si/en/topics/coronavirus-disease-covid-19/","Source")</f>
        <v>Source</v>
      </c>
      <c r="H35" s="50"/>
      <c r="I35" s="33"/>
      <c r="J35" s="33"/>
      <c r="K35" s="33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</row>
    <row r="36" ht="30.0" customHeight="1">
      <c r="A36" s="38" t="s">
        <v>37</v>
      </c>
      <c r="B36" s="62">
        <v>266.0</v>
      </c>
      <c r="C36" s="62">
        <v>0.0</v>
      </c>
      <c r="D36" s="44" t="s">
        <v>135</v>
      </c>
      <c r="E36" s="44">
        <v>14.0</v>
      </c>
      <c r="F36" s="44">
        <v>114.0</v>
      </c>
      <c r="G36" s="47" t="str">
        <f>HYPERLINK("https://www.moh.gov.sg/news-highlights/details/five-more-cases-discharged-23-new-cases-of-covid-19-infection-confirmed","Source")</f>
        <v>Source</v>
      </c>
      <c r="H36" s="50"/>
      <c r="I36" s="33"/>
      <c r="J36" s="33"/>
      <c r="K36" s="33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ht="30.0" customHeight="1">
      <c r="A37" s="38" t="s">
        <v>41</v>
      </c>
      <c r="B37" s="62">
        <v>247.0</v>
      </c>
      <c r="C37" s="62">
        <v>0.0</v>
      </c>
      <c r="D37" s="44">
        <v>1.0</v>
      </c>
      <c r="E37" s="44" t="s">
        <v>135</v>
      </c>
      <c r="F37" s="44">
        <v>5.0</v>
      </c>
      <c r="G37" s="47" t="str">
        <f>HYPERLINK("https://www.ruv.is/frett/43-smit-greind-i-dag","Source")</f>
        <v>Source</v>
      </c>
      <c r="H37" s="90"/>
      <c r="I37" s="33"/>
      <c r="J37" s="33"/>
      <c r="K37" s="33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</row>
    <row r="38" ht="30.0" customHeight="1">
      <c r="A38" s="38" t="s">
        <v>39</v>
      </c>
      <c r="B38" s="62">
        <v>242.0</v>
      </c>
      <c r="C38" s="62">
        <v>1.0</v>
      </c>
      <c r="D38" s="44" t="s">
        <v>135</v>
      </c>
      <c r="E38" s="44">
        <v>3.0</v>
      </c>
      <c r="F38" s="44">
        <v>88.0</v>
      </c>
      <c r="G38" s="47" t="str">
        <f>HYPERLINK("https://www.moh.gov.bh/COVID19","Source")</f>
        <v>Source</v>
      </c>
      <c r="H38" s="83"/>
      <c r="I38" s="33"/>
      <c r="J38" s="33"/>
      <c r="K38" s="33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</row>
    <row r="39" ht="30.0" customHeight="1">
      <c r="A39" s="38" t="s">
        <v>38</v>
      </c>
      <c r="B39" s="62">
        <v>292.0</v>
      </c>
      <c r="C39" s="62">
        <v>2.0</v>
      </c>
      <c r="D39" s="89"/>
      <c r="E39" s="89"/>
      <c r="F39" s="89"/>
      <c r="G39" s="47" t="str">
        <f>HYPERLINK("https://www.gov.ie/en/press-release/30c47b-statement-from-the-national-public-health-emergency-team-tuesday-17-m/","Source")</f>
        <v>Source</v>
      </c>
      <c r="H39" s="83"/>
      <c r="I39" s="33"/>
      <c r="J39" s="33"/>
      <c r="K39" s="33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</row>
    <row r="40" ht="27.75" customHeight="1">
      <c r="A40" s="38" t="s">
        <v>43</v>
      </c>
      <c r="B40" s="62">
        <v>221.0</v>
      </c>
      <c r="C40" s="62">
        <v>5.0</v>
      </c>
      <c r="D40" s="44">
        <v>2.0</v>
      </c>
      <c r="E40" s="44">
        <v>0.0</v>
      </c>
      <c r="F40" s="44">
        <v>0.0</v>
      </c>
      <c r="G40" s="47" t="str">
        <f>HYPERLINK("https://twitter.com/MZ_GOV_PL/status/1239895596447805443","Source")</f>
        <v>Source</v>
      </c>
      <c r="H40" s="33"/>
      <c r="I40" s="33"/>
      <c r="J40" s="33"/>
      <c r="K40" s="33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</row>
    <row r="41" ht="30.0" customHeight="1">
      <c r="A41" s="38" t="s">
        <v>45</v>
      </c>
      <c r="B41" s="62">
        <v>217.0</v>
      </c>
      <c r="C41" s="62">
        <v>0.0</v>
      </c>
      <c r="D41" s="44" t="s">
        <v>135</v>
      </c>
      <c r="E41" s="44" t="s">
        <v>135</v>
      </c>
      <c r="F41" s="44">
        <v>19.0</v>
      </c>
      <c r="G41" s="47" t="str">
        <f>HYPERLINK("http://www.ms.ro/2020/03/17/buletin-informativ-17-03-2020-ora-1800/","Source")</f>
        <v>Source</v>
      </c>
      <c r="H41" s="50"/>
      <c r="I41" s="33"/>
      <c r="J41" s="33"/>
      <c r="K41" s="33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</row>
    <row r="42" ht="30.0" customHeight="1">
      <c r="A42" s="38" t="s">
        <v>42</v>
      </c>
      <c r="B42" s="62">
        <v>212.0</v>
      </c>
      <c r="C42" s="62">
        <v>0.0</v>
      </c>
      <c r="D42" s="44" t="s">
        <v>135</v>
      </c>
      <c r="E42" s="44" t="s">
        <v>135</v>
      </c>
      <c r="F42" s="44">
        <v>4.0</v>
      </c>
      <c r="G42" s="47" t="str">
        <f>HYPERLINK("https://www.thenews.com.pk/latest/630526-nationwide-tally-of-coronavirus-rises-to-188-after-sindh-reports-five-new-cases","Source")</f>
        <v>Source</v>
      </c>
      <c r="H42" s="33"/>
      <c r="I42" s="33"/>
      <c r="J42" s="33"/>
      <c r="K42" s="33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</row>
    <row r="43" ht="30.0" customHeight="1">
      <c r="A43" s="38" t="s">
        <v>44</v>
      </c>
      <c r="B43" s="62">
        <v>205.0</v>
      </c>
      <c r="C43" s="62">
        <v>0.0</v>
      </c>
      <c r="D43" s="44" t="s">
        <v>135</v>
      </c>
      <c r="E43" s="44" t="s">
        <v>135</v>
      </c>
      <c r="F43" s="44">
        <v>1.0</v>
      </c>
      <c r="G43" s="47" t="str">
        <f>HYPERLINK("https://www.terviseamet.ee/et/uudised/enim-koroonaviiruse-juhte-parinevad-harju-ja-saaremaalt","Source")</f>
        <v>Source</v>
      </c>
      <c r="H43" s="33"/>
      <c r="I43" s="33"/>
      <c r="J43" s="33"/>
      <c r="K43" s="33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</row>
    <row r="44" ht="30.0" customHeight="1">
      <c r="A44" s="38" t="s">
        <v>47</v>
      </c>
      <c r="B44" s="62">
        <v>201.0</v>
      </c>
      <c r="C44" s="62">
        <v>0.0</v>
      </c>
      <c r="D44" s="89"/>
      <c r="E44" s="89"/>
      <c r="F44" s="89"/>
      <c r="G44" s="47" t="str">
        <f>HYPERLINK("https://www.minsal.cl/wp-content/uploads/2020/03/2020-03-16-Casos-Confirmados.pdf","Source")</f>
        <v>Source</v>
      </c>
      <c r="H44" s="33"/>
      <c r="I44" s="33"/>
      <c r="J44" s="33"/>
      <c r="K44" s="33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</row>
    <row r="45" ht="30.0" customHeight="1">
      <c r="A45" s="38" t="s">
        <v>51</v>
      </c>
      <c r="B45" s="62">
        <v>187.0</v>
      </c>
      <c r="C45" s="62">
        <v>14.0</v>
      </c>
      <c r="D45" s="44">
        <v>1.0</v>
      </c>
      <c r="E45" s="44" t="s">
        <v>135</v>
      </c>
      <c r="F45" s="44">
        <v>4.0</v>
      </c>
      <c r="G45" s="47" t="str">
        <f>HYPERLINK("https://www.doh.gov.ph/2019-nCoV","Source")</f>
        <v>Source</v>
      </c>
      <c r="H45" s="33"/>
      <c r="I45" s="33"/>
      <c r="J45" s="33"/>
      <c r="K45" s="33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</row>
    <row r="46" ht="30.0" customHeight="1">
      <c r="A46" s="38" t="s">
        <v>50</v>
      </c>
      <c r="B46" s="62">
        <v>177.0</v>
      </c>
      <c r="C46" s="62">
        <v>1.0</v>
      </c>
      <c r="D46" s="44">
        <v>1.0</v>
      </c>
      <c r="E46" s="44" t="s">
        <v>135</v>
      </c>
      <c r="F46" s="44">
        <v>38.0</v>
      </c>
      <c r="G46" s="47" t="str">
        <f>HYPERLINK("https://www.bangkokpost.com/thailand/general/1880525/thailand-reports-30-new-coronavirus-cases","Source")</f>
        <v>Source</v>
      </c>
      <c r="H46" s="33"/>
      <c r="I46" s="33"/>
      <c r="J46" s="33"/>
      <c r="K46" s="33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</row>
    <row r="47" ht="30.0" customHeight="1">
      <c r="A47" s="38" t="s">
        <v>52</v>
      </c>
      <c r="B47" s="62">
        <v>172.0</v>
      </c>
      <c r="C47" s="62">
        <v>7.0</v>
      </c>
      <c r="D47" s="89"/>
      <c r="E47" s="89"/>
      <c r="F47" s="44">
        <v>9.0</v>
      </c>
      <c r="G47" s="47" t="str">
        <f>HYPERLINK("https://news.detik.com/berita/d-4943315/pasien-positif-corona-yang-meninggal-dunia-di-ri-bertambah-jadi-7-orang?tag_from=wp_hl_terkait","Source")</f>
        <v>Source</v>
      </c>
      <c r="H47" s="50"/>
      <c r="I47" s="33"/>
      <c r="J47" s="33"/>
      <c r="K47" s="33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</row>
    <row r="48" ht="30.0" customHeight="1">
      <c r="A48" s="38" t="s">
        <v>53</v>
      </c>
      <c r="B48" s="62">
        <v>171.0</v>
      </c>
      <c r="C48" s="62">
        <v>0.0</v>
      </c>
      <c r="D48" s="89"/>
      <c r="E48" s="89"/>
      <c r="F48" s="44">
        <v>6.0</v>
      </c>
      <c r="G48" s="47" t="str">
        <f>HYPERLINK("https://twitter.com/SaudiMOH/status/1239953541105471489","Source")</f>
        <v>Source</v>
      </c>
      <c r="H48" s="50"/>
      <c r="I48" s="33"/>
      <c r="J48" s="33"/>
      <c r="K48" s="33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</row>
    <row r="49" ht="30.0" customHeight="1">
      <c r="A49" s="38" t="s">
        <v>46</v>
      </c>
      <c r="B49" s="62">
        <v>196.0</v>
      </c>
      <c r="C49" s="62">
        <v>6.0</v>
      </c>
      <c r="D49" s="44" t="s">
        <v>135</v>
      </c>
      <c r="E49" s="44" t="s">
        <v>135</v>
      </c>
      <c r="F49" s="44">
        <v>26.0</v>
      </c>
      <c r="G49" s="47" t="str">
        <f>HYPERLINK("https://www.facebook.com/EgyMohpSpokes/photos/a.526422597694914/1124539884549846/?type=3&amp;__xts__%5B0%5D=68.ARBNC0I27lhIVhtg3RBRh2jDlkxZUm5WLhzytgbuX5SVB--bMUo9aUZTafE3qhcvS7SaNrsw6dgiPjvVbpyT4IZpR0caVWPUFZJWucIctaEeUfx6-n81QMyNoZzYfPnSkwZVQky_o0T-oApcsGbh"&amp;"wyEqM7l-9ZVukou_PvWPwibg8l_eezi5B9cAluod_oLQWCNLgGzvIqaTpzP5jxaC74KCj9ZeDt_JWXcowbdDdVch7VQm2cGAT7JSi-eINgJdx2SOAsjO0-tPXlXxsN0kQiGYWwVemN2sSs19ymf5E4-m4Dh99JiwllNLoaZ1sXlrsr1G4qX-NBfgBYx0zQFn_LGBVw&amp;__tn__=-R","Source")</f>
        <v>Source</v>
      </c>
      <c r="H49" s="50"/>
      <c r="I49" s="33"/>
      <c r="J49" s="33"/>
      <c r="K49" s="33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</row>
    <row r="50" ht="30.0" customHeight="1">
      <c r="A50" s="38" t="s">
        <v>48</v>
      </c>
      <c r="B50" s="62">
        <v>158.0</v>
      </c>
      <c r="C50" s="62">
        <v>4.0</v>
      </c>
      <c r="D50" s="44">
        <v>2.0</v>
      </c>
      <c r="E50" s="44">
        <v>2.0</v>
      </c>
      <c r="F50" s="44">
        <v>88.0</v>
      </c>
      <c r="G50" s="47" t="str">
        <f>HYPERLINK("https://www.info.gov.hk/gia/general/202003/16/P2020031600812.htm","Source")</f>
        <v>Source</v>
      </c>
      <c r="H50" s="33"/>
      <c r="I50" s="33"/>
      <c r="J50" s="33"/>
      <c r="K50" s="33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</row>
    <row r="51" ht="30.0" customHeight="1">
      <c r="A51" s="38" t="s">
        <v>54</v>
      </c>
      <c r="B51" s="62">
        <v>154.0</v>
      </c>
      <c r="C51" s="62">
        <v>11.0</v>
      </c>
      <c r="D51" s="44" t="s">
        <v>135</v>
      </c>
      <c r="E51" s="44" t="s">
        <v>135</v>
      </c>
      <c r="F51" s="44">
        <v>41.0</v>
      </c>
      <c r="G51" s="47" t="str">
        <f>HYPERLINK("https://www.facebook.com/MOH.GOV.IQ/photos/a.156698297717910/2806379979416382/?type=3&amp;__xts__%5B0%5D=68.ARA8xLxlhuuTW5DjDH0tRuj-M7jaau2GM4bQOjjw2kzmB3fAPUxy8pN4CbEXtL7YgREi8V5wXAZlXu44LOF1OA5MJACER4oXJbq4KsxeFu88DlHlCtRDkmhPyufiGevZRxzSh7nRU-VobIcV8QyLRN-"&amp;"0hPUjAgZXQlL_zsyGjoxTdkNGJMUzNKZVHT8gecJWn19lWKx8ATx62Wz1Tvg1WhZ_94cIJwBxUaOh7a6D3-t1juOkXYkmtff1eycjr3momTjD6aBJE05F5SgvXmF2EIJDuUc4N2CR_qzswFbrQP7XglQbUr6xujHCxTaNT5XWPrW5EIB5yKXkvYkizbftza2T5w&amp;__tn__=-R","Source")</f>
        <v>Source</v>
      </c>
      <c r="H51" s="50"/>
      <c r="I51" s="33"/>
      <c r="J51" s="33"/>
      <c r="K51" s="33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</row>
    <row r="52" ht="30.0" customHeight="1">
      <c r="A52" s="38" t="s">
        <v>62</v>
      </c>
      <c r="B52" s="62">
        <v>140.0</v>
      </c>
      <c r="C52" s="62">
        <v>1.0</v>
      </c>
      <c r="D52" s="89"/>
      <c r="E52" s="89"/>
      <c r="F52" s="89"/>
      <c r="G52" s="93" t="str">
        <f>HYPERLINK("https://gouvernement.lu/fr/dossiers.gouv_msan+fr+dossiers+2020+corona-virus.html","Source")</f>
        <v>Source</v>
      </c>
      <c r="H52" s="50"/>
      <c r="I52" s="33"/>
      <c r="J52" s="33"/>
      <c r="K52" s="33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</row>
    <row r="53" ht="30.0" customHeight="1">
      <c r="A53" s="38" t="s">
        <v>55</v>
      </c>
      <c r="B53" s="62">
        <v>137.0</v>
      </c>
      <c r="C53" s="62">
        <v>3.0</v>
      </c>
      <c r="D53" s="44" t="s">
        <v>135</v>
      </c>
      <c r="E53" s="44" t="s">
        <v>135</v>
      </c>
      <c r="F53" s="44">
        <v>14.0</v>
      </c>
      <c r="G53" s="47" t="str">
        <f>HYPERLINK("https://www.mohfw.gov.in/","Source")</f>
        <v>Source</v>
      </c>
      <c r="H53" s="50"/>
      <c r="I53" s="33"/>
      <c r="J53" s="33"/>
      <c r="K53" s="33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</row>
    <row r="54" ht="30.0" customHeight="1">
      <c r="A54" s="38" t="s">
        <v>56</v>
      </c>
      <c r="B54" s="62">
        <v>123.0</v>
      </c>
      <c r="C54" s="62">
        <v>0.0</v>
      </c>
      <c r="D54" s="44">
        <v>4.0</v>
      </c>
      <c r="E54" s="44" t="s">
        <v>135</v>
      </c>
      <c r="F54" s="44">
        <v>12.0</v>
      </c>
      <c r="G54" s="47" t="str">
        <f>HYPERLINK("https://twitter.com/KUWAIT_MOH/status/1239459230651998208","Source")</f>
        <v>Source</v>
      </c>
      <c r="H54" s="33"/>
      <c r="I54" s="33"/>
      <c r="J54" s="33"/>
      <c r="K54" s="33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</row>
    <row r="55" ht="30.0" customHeight="1">
      <c r="A55" s="38" t="s">
        <v>61</v>
      </c>
      <c r="B55" s="62">
        <v>117.0</v>
      </c>
      <c r="C55" s="62">
        <v>0.0</v>
      </c>
      <c r="D55" s="44">
        <v>16.0</v>
      </c>
      <c r="E55" s="44"/>
      <c r="F55" s="44">
        <v>1.0</v>
      </c>
      <c r="G55" s="47" t="str">
        <f>HYPERLINK("https://twitter.com/Minsa_Peru/status/1239916327948693504","Source")</f>
        <v>Source</v>
      </c>
      <c r="H55" s="33"/>
      <c r="I55" s="33"/>
      <c r="J55" s="33"/>
      <c r="K55" s="33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</row>
    <row r="56" ht="30.0" customHeight="1">
      <c r="A56" s="38" t="s">
        <v>57</v>
      </c>
      <c r="B56" s="62">
        <v>115.0</v>
      </c>
      <c r="C56" s="62">
        <v>9.0</v>
      </c>
      <c r="D56" s="44">
        <v>11.0</v>
      </c>
      <c r="E56" s="44" t="s">
        <v>135</v>
      </c>
      <c r="F56" s="44">
        <v>4.0</v>
      </c>
      <c r="G56" s="47" t="str">
        <f>HYPERLINK("http://www.iss.sm/on-line/home/articolo49014122.html","Source")</f>
        <v>Source</v>
      </c>
      <c r="H56" s="95"/>
      <c r="I56" s="33"/>
      <c r="J56" s="33"/>
      <c r="K56" s="33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</row>
    <row r="57" ht="30.0" customHeight="1">
      <c r="A57" s="38" t="s">
        <v>60</v>
      </c>
      <c r="B57" s="62">
        <v>114.0</v>
      </c>
      <c r="C57" s="62">
        <v>0.0</v>
      </c>
      <c r="D57" s="44" t="s">
        <v>135</v>
      </c>
      <c r="E57" s="44" t="s">
        <v>135</v>
      </c>
      <c r="F57" s="44">
        <v>5.0</v>
      </c>
      <c r="G57" s="47" t="str">
        <f>HYPERLINK("https://tass.com/society/1131353","Source")</f>
        <v>Source</v>
      </c>
      <c r="H57" s="33"/>
      <c r="I57" s="33"/>
      <c r="J57" s="33"/>
      <c r="K57" s="33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</row>
    <row r="58" ht="30.0" customHeight="1">
      <c r="A58" s="38" t="s">
        <v>58</v>
      </c>
      <c r="B58" s="62">
        <v>109.0</v>
      </c>
      <c r="C58" s="62">
        <v>3.0</v>
      </c>
      <c r="D58" s="44" t="s">
        <v>135</v>
      </c>
      <c r="E58" s="44">
        <v>2.0</v>
      </c>
      <c r="F58" s="44" t="s">
        <v>135</v>
      </c>
      <c r="G58" s="47" t="str">
        <f>HYPERLINK("https://www.facebook.com/mophleb/posts/2270518079924517?__xts__%5B0%5D=68.ARD4KkhZYd8W5iS0FKmi5kTqqdSrtag974bPQqyhKo36jdDeGjz4gGA2PKHmWdM3sxaRJ44eRS-6KIXBWJchiLbeevuPQaNl20C3KX82tnrW2ihXTsYIMuvjnnl5ykS4M98yrNT6JI_YXpXz0DgheaW1ECB7ZT5P0B8gbllza_N6aW6YHnHCv"&amp;"4p7sbAnyJ58tM9cXxjUXRJgSOQr8dMYpYiX6lH8Gk4kFD_h6z6JN72mdFdhuObWKp7xzQ0l1saKUw08h4omBQNJ7Tcnbb7vvcdO6fKR_eVALWKxe6D_zdahfFYcHfquwVQeImpmWII-5Im0v7U0MoRmxxyZdPqjdopDwdan&amp;__tn__=-R","Source")</f>
        <v>Source</v>
      </c>
      <c r="H58" s="33"/>
      <c r="I58" s="33"/>
      <c r="J58" s="33"/>
      <c r="K58" s="33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</row>
    <row r="59" ht="27.75" customHeight="1">
      <c r="A59" s="38" t="s">
        <v>76</v>
      </c>
      <c r="B59" s="62">
        <v>98.0</v>
      </c>
      <c r="C59" s="62">
        <v>1.0</v>
      </c>
      <c r="D59" s="44"/>
      <c r="E59" s="44"/>
      <c r="F59" s="44"/>
      <c r="G59" s="47" t="str">
        <f>HYPERLINK("https://news.trust.org/item/20200317203817-78c6n","Source")</f>
        <v>Source</v>
      </c>
      <c r="H59" s="33"/>
      <c r="I59" s="33"/>
      <c r="J59" s="33"/>
      <c r="K59" s="33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</row>
    <row r="60" ht="30.0" customHeight="1">
      <c r="A60" s="38" t="s">
        <v>59</v>
      </c>
      <c r="B60" s="62">
        <v>98.0</v>
      </c>
      <c r="C60" s="62">
        <v>0.0</v>
      </c>
      <c r="D60" s="44" t="s">
        <v>135</v>
      </c>
      <c r="E60" s="44" t="s">
        <v>135</v>
      </c>
      <c r="F60" s="44">
        <v>26.0</v>
      </c>
      <c r="G60" s="47" t="str">
        <f>HYPERLINK("https://twitter.com/mohapuae/status/1239225533893947395","Source")</f>
        <v>Source</v>
      </c>
      <c r="H60" s="33"/>
      <c r="I60" s="33"/>
      <c r="J60" s="33"/>
      <c r="K60" s="33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</row>
    <row r="61" ht="27.75" customHeight="1">
      <c r="A61" s="38" t="s">
        <v>64</v>
      </c>
      <c r="B61" s="62">
        <v>85.0</v>
      </c>
      <c r="C61" s="62">
        <v>0.0</v>
      </c>
      <c r="D61" s="44"/>
      <c r="E61" s="44"/>
      <c r="F61" s="44"/>
      <c r="G61" s="47" t="str">
        <f>HYPERLINK("https://twitter.com/ewnreporter/status/1240030710255308800","Source")</f>
        <v>Source</v>
      </c>
      <c r="H61" s="33"/>
      <c r="I61" s="33"/>
      <c r="J61" s="33"/>
      <c r="K61" s="33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</row>
    <row r="62" ht="30.0" customHeight="1">
      <c r="A62" s="38" t="s">
        <v>73</v>
      </c>
      <c r="B62" s="62">
        <v>82.0</v>
      </c>
      <c r="C62" s="62">
        <v>0.0</v>
      </c>
      <c r="D62" s="44" t="s">
        <v>135</v>
      </c>
      <c r="E62" s="44">
        <v>1.0</v>
      </c>
      <c r="F62" s="44">
        <v>3.0</v>
      </c>
      <c r="G62" s="47" t="str">
        <f>HYPERLINK("https://twitter.com/SSalud_mx/status/1239735052537389056","Source")</f>
        <v>Source</v>
      </c>
      <c r="H62" s="33"/>
      <c r="I62" s="33"/>
      <c r="J62" s="33"/>
      <c r="K62" s="33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</row>
    <row r="63" ht="30.0" customHeight="1">
      <c r="A63" s="38" t="s">
        <v>63</v>
      </c>
      <c r="B63" s="62">
        <v>77.0</v>
      </c>
      <c r="C63" s="62">
        <v>1.0</v>
      </c>
      <c r="D63" s="44">
        <v>0.0</v>
      </c>
      <c r="E63" s="44">
        <v>0.0</v>
      </c>
      <c r="F63" s="44">
        <v>22.0</v>
      </c>
      <c r="G63" s="47" t="str">
        <f>HYPERLINK("https://www.cdc.gov.tw/Bulletin/Detail/mD_ARv0TjuvSQOwuH6DONA?typeid=9","Source")</f>
        <v>Source</v>
      </c>
      <c r="H63" s="33"/>
      <c r="I63" s="33"/>
      <c r="J63" s="33"/>
      <c r="K63" s="33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</row>
    <row r="64" ht="30.0" customHeight="1">
      <c r="A64" s="38" t="s">
        <v>98</v>
      </c>
      <c r="B64" s="62">
        <v>73.0</v>
      </c>
      <c r="C64" s="62">
        <v>0.0</v>
      </c>
      <c r="D64" s="44" t="s">
        <v>135</v>
      </c>
      <c r="E64" s="44" t="s">
        <v>135</v>
      </c>
      <c r="F64" s="44" t="s">
        <v>135</v>
      </c>
      <c r="G64" s="47" t="str">
        <f>HYPERLINK("https://www.humanitarianresponse.info/sites/www.humanitarianresponse.info/files/documents/files/20200316-sitrep-covid-19.pdf","Source")</f>
        <v>Source</v>
      </c>
      <c r="H64" s="33"/>
      <c r="I64" s="33"/>
      <c r="J64" s="33"/>
      <c r="K64" s="33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</row>
    <row r="65" ht="30.0" customHeight="1">
      <c r="A65" s="38" t="s">
        <v>65</v>
      </c>
      <c r="B65" s="62">
        <v>72.0</v>
      </c>
      <c r="C65" s="62">
        <v>0.0</v>
      </c>
      <c r="D65" s="89"/>
      <c r="E65" s="89"/>
      <c r="F65" s="89"/>
      <c r="G65" s="47" t="str">
        <f>HYPERLINK("https://www.health.gov.sk/Clanok?koronavirus-covid-19-16-3-2020","Source")</f>
        <v>Source</v>
      </c>
      <c r="H65" s="33"/>
      <c r="I65" s="33"/>
      <c r="J65" s="33"/>
      <c r="K65" s="33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</row>
    <row r="66" ht="27.75" customHeight="1">
      <c r="A66" s="38" t="s">
        <v>72</v>
      </c>
      <c r="B66" s="62">
        <v>69.0</v>
      </c>
      <c r="C66" s="62">
        <v>1.0</v>
      </c>
      <c r="D66" s="44">
        <v>7.0</v>
      </c>
      <c r="E66" s="44"/>
      <c r="F66" s="44"/>
      <c r="G66" s="47" t="str">
        <f>HYPERLINK("http://www.minsa.gob.pa/noticia/comunicado-no11","Source")</f>
        <v>Source</v>
      </c>
      <c r="H66" s="33"/>
      <c r="I66" s="33"/>
      <c r="J66" s="33"/>
      <c r="K66" s="33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</row>
    <row r="67" ht="30.0" customHeight="1">
      <c r="A67" s="38" t="s">
        <v>74</v>
      </c>
      <c r="B67" s="62">
        <v>67.0</v>
      </c>
      <c r="C67" s="62">
        <v>2.0</v>
      </c>
      <c r="D67" s="44"/>
      <c r="E67" s="44"/>
      <c r="F67" s="44"/>
      <c r="G67" s="47" t="str">
        <f>HYPERLINK("http://www.mh.government.bg/bg/novini/aktualno/pet-novi-sluchaya-na-covid-19-sa-dokazani-u-nas/","Source")</f>
        <v>Source</v>
      </c>
      <c r="H67" s="33"/>
      <c r="I67" s="33"/>
      <c r="J67" s="33"/>
      <c r="K67" s="33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</row>
    <row r="68" ht="27.75" customHeight="1">
      <c r="A68" s="38" t="s">
        <v>71</v>
      </c>
      <c r="B68" s="62">
        <v>72.0</v>
      </c>
      <c r="C68" s="62">
        <v>0.0</v>
      </c>
      <c r="D68" s="44">
        <v>1.0</v>
      </c>
      <c r="E68" s="44"/>
      <c r="F68" s="44"/>
      <c r="G68" s="47" t="str">
        <f>HYPERLINK("https://www.zdravlje.gov.rs/vest/346552/informacije-o-novom-korona-virusu-1703-u-8-casova.php","Source")</f>
        <v>Source</v>
      </c>
      <c r="H68" s="33"/>
      <c r="I68" s="33"/>
      <c r="J68" s="33"/>
      <c r="K68" s="33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</row>
    <row r="69" ht="27.75" customHeight="1">
      <c r="A69" s="38" t="s">
        <v>69</v>
      </c>
      <c r="B69" s="62">
        <v>65.0</v>
      </c>
      <c r="C69" s="62">
        <v>2.0</v>
      </c>
      <c r="D69" s="89"/>
      <c r="E69" s="89"/>
      <c r="F69" s="89"/>
      <c r="G69" s="47" t="str">
        <f>HYPERLINK("https://www.argentina.gob.ar/sites/default/files/16-03-20-reporte-diario-covid-19.pdf","Source")</f>
        <v>Source</v>
      </c>
      <c r="H69" s="33"/>
      <c r="I69" s="33"/>
      <c r="J69" s="33"/>
      <c r="K69" s="33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</row>
    <row r="70" ht="30.0" customHeight="1">
      <c r="A70" s="38" t="s">
        <v>70</v>
      </c>
      <c r="B70" s="62">
        <v>65.0</v>
      </c>
      <c r="C70" s="62">
        <v>0.0</v>
      </c>
      <c r="D70" s="44" t="s">
        <v>135</v>
      </c>
      <c r="E70" s="44" t="s">
        <v>135</v>
      </c>
      <c r="F70" s="44">
        <v>1.0</v>
      </c>
      <c r="G70" s="47" t="str">
        <f>HYPERLINK("https://vijesti.hrt.hr/592033/covid-19-posljednje-informacije","Source")</f>
        <v>Source</v>
      </c>
      <c r="H70" s="77"/>
      <c r="I70" s="33"/>
      <c r="J70" s="33"/>
      <c r="K70" s="33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</row>
    <row r="71" ht="30.0" customHeight="1">
      <c r="A71" s="38" t="s">
        <v>68</v>
      </c>
      <c r="B71" s="62">
        <v>61.0</v>
      </c>
      <c r="C71" s="62">
        <v>0.0</v>
      </c>
      <c r="D71" s="44" t="s">
        <v>135</v>
      </c>
      <c r="E71" s="44" t="s">
        <v>135</v>
      </c>
      <c r="F71" s="44">
        <v>16.0</v>
      </c>
      <c r="G71" s="47" t="str">
        <f>HYPERLINK("http://news.chinhphu.vn/Home/Health-ministry-confirms-61st-COVID19-infection-case/20203/39222.vgp","Source")</f>
        <v>Source</v>
      </c>
      <c r="H71" s="33"/>
      <c r="I71" s="33"/>
      <c r="J71" s="33"/>
      <c r="K71" s="33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</row>
    <row r="72" ht="30.0" customHeight="1">
      <c r="A72" s="38" t="s">
        <v>66</v>
      </c>
      <c r="B72" s="62">
        <v>60.0</v>
      </c>
      <c r="C72" s="62">
        <v>4.0</v>
      </c>
      <c r="D72" s="44" t="s">
        <v>135</v>
      </c>
      <c r="E72" s="44" t="s">
        <v>135</v>
      </c>
      <c r="F72" s="44">
        <v>10.0</v>
      </c>
      <c r="G72" s="47" t="str">
        <f>HYPERLINK("http://www.aps.dz/en/health-science-technology/33631-covid-19-six-new-confirmed-cases-total-hits-60","Source")</f>
        <v>Source</v>
      </c>
      <c r="H72" s="33"/>
      <c r="I72" s="33"/>
      <c r="J72" s="33"/>
      <c r="K72" s="33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</row>
    <row r="73" ht="30.0" customHeight="1">
      <c r="A73" s="38" t="s">
        <v>83</v>
      </c>
      <c r="B73" s="62">
        <v>58.0</v>
      </c>
      <c r="C73" s="62">
        <v>2.0</v>
      </c>
      <c r="D73" s="44">
        <v>2.0</v>
      </c>
      <c r="E73" s="44"/>
      <c r="F73" s="44" t="s">
        <v>135</v>
      </c>
      <c r="G73" s="47" t="str">
        <f>HYPERLINK("https://www.salud.gob.ec/actualizacion-de-casos-de-coronavirus-en-ecuador/","Source")</f>
        <v>Source</v>
      </c>
      <c r="H73" s="33"/>
      <c r="I73" s="33"/>
      <c r="J73" s="33"/>
      <c r="K73" s="33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</row>
    <row r="74" ht="27.75" customHeight="1">
      <c r="A74" s="38" t="s">
        <v>78</v>
      </c>
      <c r="B74" s="62">
        <v>57.0</v>
      </c>
      <c r="C74" s="62">
        <v>0.0</v>
      </c>
      <c r="D74" s="44"/>
      <c r="E74" s="44"/>
      <c r="F74" s="44"/>
      <c r="G74" s="47" t="str">
        <f>HYPERLINK("https://twitter.com/MinSaludCol/status/1239710654417731584","Source")</f>
        <v>Source</v>
      </c>
      <c r="H74" s="33"/>
      <c r="I74" s="33"/>
      <c r="J74" s="33"/>
      <c r="K74" s="33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</row>
    <row r="75" ht="30.0" customHeight="1">
      <c r="A75" s="38" t="s">
        <v>75</v>
      </c>
      <c r="B75" s="62">
        <v>54.0</v>
      </c>
      <c r="C75" s="62">
        <v>0.0</v>
      </c>
      <c r="D75" s="44"/>
      <c r="E75" s="44"/>
      <c r="F75" s="44"/>
      <c r="G75" s="47" t="str">
        <f>HYPERLINK("http://moh.gov.bn/Shared%20Documents/2019%20ncov/press%20releases/FINAL_ENG_MEDIA%20STATEMENT%20COVID-19%2016.03.2020.pdf","Source")</f>
        <v>Source</v>
      </c>
      <c r="H75" s="33"/>
      <c r="I75" s="33"/>
      <c r="J75" s="33"/>
      <c r="K75" s="33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</row>
    <row r="76" ht="30.0" customHeight="1">
      <c r="A76" s="38" t="s">
        <v>90</v>
      </c>
      <c r="B76" s="62">
        <v>52.0</v>
      </c>
      <c r="C76" s="62">
        <v>0.0</v>
      </c>
      <c r="D76" s="89"/>
      <c r="E76" s="89"/>
      <c r="F76" s="44">
        <v>1.0</v>
      </c>
      <c r="G76" s="47" t="str">
        <f>HYPERLINK("https://www.panarmenian.net/eng/news/279110/","Source")</f>
        <v>Source</v>
      </c>
      <c r="H76" s="33"/>
      <c r="I76" s="33"/>
      <c r="J76" s="33"/>
      <c r="K76" s="33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</row>
    <row r="77" ht="30.0" customHeight="1">
      <c r="A77" s="38" t="s">
        <v>81</v>
      </c>
      <c r="B77" s="62">
        <v>51.0</v>
      </c>
      <c r="C77" s="62">
        <v>1.0</v>
      </c>
      <c r="D77" s="44">
        <v>3.0</v>
      </c>
      <c r="E77" s="89"/>
      <c r="F77" s="44">
        <v>0.0</v>
      </c>
      <c r="G77" s="47" t="str">
        <f>HYPERLINK("https://shendetesia.gov.al/16-mars-2020-informacion-i-perditesuar-per-koronavirusin-covid-19/","Source")</f>
        <v>Source</v>
      </c>
      <c r="H77" s="33"/>
      <c r="I77" s="33"/>
      <c r="J77" s="33"/>
      <c r="K77" s="33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</row>
    <row r="78" ht="30.0" customHeight="1">
      <c r="A78" s="38" t="s">
        <v>87</v>
      </c>
      <c r="B78" s="62">
        <v>50.0</v>
      </c>
      <c r="C78" s="62">
        <v>1.0</v>
      </c>
      <c r="D78" s="44" t="s">
        <v>135</v>
      </c>
      <c r="E78" s="44" t="s">
        <v>135</v>
      </c>
      <c r="F78" s="44">
        <v>2.0</v>
      </c>
      <c r="G78" s="47" t="str">
        <f>HYPERLINK("https://koronavirus.gov.hu/cikkek/50-re-nott-az-uj-koronavirussal-fertozott-betegek-szama","Source")</f>
        <v>Source</v>
      </c>
      <c r="H78" s="33"/>
      <c r="I78" s="33"/>
      <c r="J78" s="33"/>
      <c r="K78" s="33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</row>
    <row r="79" ht="30.0" customHeight="1">
      <c r="A79" s="38" t="s">
        <v>89</v>
      </c>
      <c r="B79" s="62">
        <v>49.0</v>
      </c>
      <c r="C79" s="62">
        <v>0.0</v>
      </c>
      <c r="D79" s="89"/>
      <c r="E79" s="89"/>
      <c r="F79" s="89"/>
      <c r="G79" s="47" t="str">
        <f>HYPERLINK("https://twitter.com/SPKCentrs/status/1239824512696418304","Source")</f>
        <v>Source</v>
      </c>
      <c r="H79" s="33"/>
      <c r="I79" s="33"/>
      <c r="J79" s="33"/>
      <c r="K79" s="33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</row>
    <row r="80" ht="30.0" customHeight="1">
      <c r="A80" s="38" t="s">
        <v>91</v>
      </c>
      <c r="B80" s="62">
        <v>48.0</v>
      </c>
      <c r="C80" s="62">
        <v>0.0</v>
      </c>
      <c r="D80" s="89"/>
      <c r="E80" s="89"/>
      <c r="F80" s="44">
        <v>1.0</v>
      </c>
      <c r="G80" s="47" t="str">
        <f>HYPERLINK("https://www.almamlakatv.com/news/48-%D8%A5%D8%B5%D8%A7%D8%A8%D8%A9-%D8%A8%D8%A7%D9%84%D9%81%D9%8A%D8%B1%D9%88%D8%B3-%D9%81%D9%8A-%D8%A7%D9%84%D8%A3%D8%B1%D8%AF%D9%86-%D9%85%D9%86-%D8%B6%D9%85%D9%86%D9%87%D8%A7-%D8%AD%D8%A7%D9%84%D8%A9-%D8%B4%D9%81%D8%A7%D"&amp;"8%A1-35857","Source")</f>
        <v>Source</v>
      </c>
      <c r="H80" s="50"/>
      <c r="I80" s="33"/>
      <c r="J80" s="33"/>
      <c r="K80" s="33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</row>
    <row r="81" ht="30.0" customHeight="1">
      <c r="A81" s="38" t="s">
        <v>88</v>
      </c>
      <c r="B81" s="62">
        <v>46.0</v>
      </c>
      <c r="C81" s="62">
        <v>0.0</v>
      </c>
      <c r="D81" s="44"/>
      <c r="E81" s="44"/>
      <c r="F81" s="44"/>
      <c r="G81" s="47" t="str">
        <f>HYPERLINK("http://www.cna.org.cy/WebNews-en.aspx?a=5b7445d602bf4df095f080fcfdceac85","Source")</f>
        <v>Source</v>
      </c>
      <c r="H81" s="33"/>
      <c r="I81" s="33"/>
      <c r="J81" s="33"/>
      <c r="K81" s="33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</row>
    <row r="82" ht="30.0" customHeight="1">
      <c r="A82" s="38" t="s">
        <v>102</v>
      </c>
      <c r="B82" s="62">
        <v>44.0</v>
      </c>
      <c r="C82" s="62">
        <v>0.0</v>
      </c>
      <c r="D82" s="44" t="s">
        <v>135</v>
      </c>
      <c r="E82" s="44" t="s">
        <v>135</v>
      </c>
      <c r="F82" s="44">
        <v>1.0</v>
      </c>
      <c r="G82" s="47" t="str">
        <f>HYPERLINK("https://news.lk/news/political-current-affairs/item/29760-nine-more-persons-have-tested-positive-for-coronavirus","Source")</f>
        <v>Source</v>
      </c>
      <c r="H82" s="50"/>
      <c r="I82" s="33"/>
      <c r="J82" s="33"/>
      <c r="K82" s="33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</row>
    <row r="83" ht="30.0" customHeight="1">
      <c r="A83" s="38" t="s">
        <v>85</v>
      </c>
      <c r="B83" s="62">
        <v>41.0</v>
      </c>
      <c r="C83" s="62">
        <v>0.0</v>
      </c>
      <c r="D83" s="44">
        <v>1.0</v>
      </c>
      <c r="E83" s="89"/>
      <c r="F83" s="89"/>
      <c r="G83" s="47" t="str">
        <f>HYPERLINK("https://twitter.com/msaludcr/status/1239654195646644230","Source")</f>
        <v>Source</v>
      </c>
      <c r="H83" s="33"/>
      <c r="I83" s="33"/>
      <c r="J83" s="33"/>
      <c r="K83" s="33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</row>
    <row r="84" ht="30.0" customHeight="1">
      <c r="A84" s="38" t="s">
        <v>82</v>
      </c>
      <c r="B84" s="62">
        <v>39.0</v>
      </c>
      <c r="C84" s="62">
        <v>0.0</v>
      </c>
      <c r="D84" s="44">
        <v>0.0</v>
      </c>
      <c r="E84" s="44">
        <v>0.0</v>
      </c>
      <c r="F84" s="44">
        <v>0.0</v>
      </c>
      <c r="G84" s="47" t="str">
        <f>HYPERLINK("https://www.facebook.com/mohps/photos/a.269235766535642/2685682508224277/?type=3&amp;__xts__%5B0%5D=68.ARAiBf9ffAViv2NZ98G01nN84JWCaGbe4VwDztxmFQr7eFP3_yN-wTYpWAYkeV_-jFn038mE2I4Jgd5UEs4XcvDX3YSPumAXNRUBi1yMFI0uWg1hijyO9S2Ot77ocy6SL794juOs8ejMAQl3QovD5HMcn9nG"&amp;"i6P1gOE9_2o20t5sEhAvWUd4iq_79TgWQ0HG5NyBrp8ajKZXsJZ33l_mDaNFwiY3pYuruQs2J1dJWfnHQFskPb9YRv4IUQr_uhk1sqfxAvMAxOIt8W9xE72hSQq8XETCrpB5zWs4I0z-pyapUL8PK82nc7Z3OTTegmGfD4DJNtNDrRAY3fU4Q44zDFUeGA&amp;__tn__=-R","Source")</f>
        <v>Source</v>
      </c>
      <c r="H84" s="33"/>
      <c r="I84" s="33"/>
      <c r="J84" s="33"/>
      <c r="K84" s="33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</row>
    <row r="85" ht="30.0" customHeight="1">
      <c r="A85" s="38" t="s">
        <v>84</v>
      </c>
      <c r="B85" s="62">
        <v>37.0</v>
      </c>
      <c r="C85" s="62">
        <v>1.0</v>
      </c>
      <c r="D85" s="89"/>
      <c r="E85" s="89"/>
      <c r="F85" s="89"/>
      <c r="G85" s="47" t="str">
        <f>HYPERLINK("https://twitter.com/MAP_Information/status/1239665985692602369","Source")</f>
        <v>Source</v>
      </c>
      <c r="H85" s="33"/>
      <c r="I85" s="33"/>
      <c r="J85" s="33"/>
      <c r="K85" s="33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</row>
    <row r="86" ht="30.0" customHeight="1">
      <c r="A86" s="38" t="s">
        <v>92</v>
      </c>
      <c r="B86" s="62">
        <v>36.0</v>
      </c>
      <c r="C86" s="62">
        <v>0.0</v>
      </c>
      <c r="D86" s="44" t="s">
        <v>135</v>
      </c>
      <c r="E86" s="44" t="s">
        <v>135</v>
      </c>
      <c r="F86" s="44">
        <v>3.0</v>
      </c>
      <c r="G86" s="47" t="str">
        <f>HYPERLINK("http://minzdrav.gov.by/ru/sobytiya/covid-19-o-sostoyanii-patsientov/","Source")</f>
        <v>Source</v>
      </c>
      <c r="H86" s="33"/>
      <c r="I86" s="33"/>
      <c r="J86" s="33"/>
      <c r="K86" s="33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</row>
    <row r="87" ht="30.0" customHeight="1">
      <c r="A87" s="38" t="s">
        <v>86</v>
      </c>
      <c r="B87" s="62">
        <v>35.0</v>
      </c>
      <c r="C87" s="62">
        <v>0.0</v>
      </c>
      <c r="D87" s="44">
        <v>1.0</v>
      </c>
      <c r="E87" s="44" t="s">
        <v>135</v>
      </c>
      <c r="F87" s="44">
        <v>1.0</v>
      </c>
      <c r="G87" s="47" t="str">
        <f>HYPERLINK("https://www.kvirispalitra.ge/public/62134-saqarthveloshi-koronavirusith-inficirebultha-raodenoba-35-mde-gaizarda.html","Source")</f>
        <v>Source</v>
      </c>
      <c r="H87" s="33"/>
      <c r="I87" s="33"/>
      <c r="J87" s="33"/>
      <c r="K87" s="33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</row>
    <row r="88" ht="30.0" customHeight="1">
      <c r="A88" s="38" t="s">
        <v>103</v>
      </c>
      <c r="B88" s="62">
        <v>33.0</v>
      </c>
      <c r="C88" s="62">
        <v>0.0</v>
      </c>
      <c r="D88" s="89"/>
      <c r="E88" s="89"/>
      <c r="F88" s="89"/>
      <c r="G88" s="47" t="str">
        <f>HYPERLINK("https://www.elnacional.com/sociedad/maduro-anuncia-que-hay-16-nuevos-casos-positivos-en-venezuela/","Source")</f>
        <v>Source</v>
      </c>
      <c r="H88" s="33"/>
      <c r="I88" s="33"/>
      <c r="J88" s="33"/>
      <c r="K88" s="33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</row>
    <row r="89" ht="30.0" customHeight="1">
      <c r="A89" s="38" t="s">
        <v>109</v>
      </c>
      <c r="B89" s="62">
        <v>33.0</v>
      </c>
      <c r="C89" s="62">
        <v>0.0</v>
      </c>
      <c r="D89" s="44" t="s">
        <v>135</v>
      </c>
      <c r="E89" s="44" t="s">
        <v>135</v>
      </c>
      <c r="F89" s="44">
        <v>1.0</v>
      </c>
      <c r="G89" s="47" t="str">
        <f>HYPERLINK("https://news.trust.org/item/20200317141705-umix5","Source")</f>
        <v>Source</v>
      </c>
      <c r="H89" s="33"/>
      <c r="I89" s="33"/>
      <c r="J89" s="33"/>
      <c r="K89" s="33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</row>
    <row r="90" ht="27.75" customHeight="1">
      <c r="A90" s="38" t="s">
        <v>97</v>
      </c>
      <c r="B90" s="62">
        <v>30.0</v>
      </c>
      <c r="C90" s="62">
        <v>0.0</v>
      </c>
      <c r="D90" s="44"/>
      <c r="E90" s="44">
        <v>1.0</v>
      </c>
      <c r="F90" s="44">
        <v>1.0</v>
      </c>
      <c r="G90" s="47" t="str">
        <f>HYPERLINK("https://msmps.gov.md/ro/content/noi-detalii-cu-privire-la-persoanele-infectate-cu-noul-tip-de-coronavirus","Source")</f>
        <v>Source</v>
      </c>
      <c r="H90" s="33"/>
      <c r="I90" s="33"/>
      <c r="J90" s="33"/>
      <c r="K90" s="33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</row>
    <row r="91" ht="27.75" customHeight="1">
      <c r="A91" s="38" t="s">
        <v>99</v>
      </c>
      <c r="B91" s="62">
        <v>30.0</v>
      </c>
      <c r="C91" s="62">
        <v>0.0</v>
      </c>
      <c r="D91" s="44"/>
      <c r="E91" s="44"/>
      <c r="F91" s="44">
        <v>2.0</v>
      </c>
      <c r="G91" s="47" t="str">
        <f>HYPERLINK("https://timesofmalta.com/articles/view/first-cases-of-coronavirus-community-transmission-in-malta-confirmed.778565","Source")</f>
        <v>Source</v>
      </c>
      <c r="H91" s="33"/>
      <c r="I91" s="33"/>
      <c r="J91" s="33"/>
      <c r="K91" s="33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</row>
    <row r="92" ht="30.0" customHeight="1">
      <c r="A92" s="38" t="s">
        <v>263</v>
      </c>
      <c r="B92" s="62">
        <v>29.0</v>
      </c>
      <c r="C92" s="62">
        <v>0.0</v>
      </c>
      <c r="D92" s="89"/>
      <c r="E92" s="89"/>
      <c r="F92" s="44"/>
      <c r="G92" s="47" t="str">
        <f>HYPERLINK("https://twitter.com/EFEnoticias/status/1239694928684474368","Source")</f>
        <v>Source</v>
      </c>
      <c r="H92" s="33"/>
      <c r="I92" s="33"/>
      <c r="J92" s="33"/>
      <c r="K92" s="33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</row>
    <row r="93" ht="30.0" customHeight="1">
      <c r="A93" s="38" t="s">
        <v>94</v>
      </c>
      <c r="B93" s="62">
        <v>28.0</v>
      </c>
      <c r="C93" s="62">
        <v>1.0</v>
      </c>
      <c r="D93" s="44" t="s">
        <v>135</v>
      </c>
      <c r="E93" s="44" t="s">
        <v>135</v>
      </c>
      <c r="F93" s="44">
        <v>3.0</v>
      </c>
      <c r="G93" s="47" t="str">
        <f>HYPERLINK("https://cabmin.gov.az/az/article/739/","Source")</f>
        <v>Source</v>
      </c>
      <c r="H93" s="77"/>
      <c r="I93" s="33"/>
      <c r="J93" s="33"/>
      <c r="K93" s="33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</row>
    <row r="94" ht="30.0" customHeight="1">
      <c r="A94" s="38" t="s">
        <v>93</v>
      </c>
      <c r="B94" s="62">
        <v>27.0</v>
      </c>
      <c r="C94" s="62">
        <v>0.0</v>
      </c>
      <c r="D94" s="44" t="s">
        <v>135</v>
      </c>
      <c r="E94" s="44" t="s">
        <v>135</v>
      </c>
      <c r="F94" s="44">
        <v>0.0</v>
      </c>
      <c r="G94" s="47" t="str">
        <f>HYPERLINK("https://twitter.com/MinisteredelaS1/status/1239614264991776768","Source")</f>
        <v>Source</v>
      </c>
      <c r="H94" s="33"/>
      <c r="I94" s="33"/>
      <c r="J94" s="33"/>
      <c r="K94" s="33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</row>
    <row r="95" ht="30.0" customHeight="1">
      <c r="A95" s="38" t="s">
        <v>114</v>
      </c>
      <c r="B95" s="62">
        <v>27.0</v>
      </c>
      <c r="C95" s="62">
        <v>0.0</v>
      </c>
      <c r="D95" s="44"/>
      <c r="E95" s="44"/>
      <c r="F95" s="44"/>
      <c r="G95" s="47" t="str">
        <f>HYPERLINK("https://www.facebook.com/MinzdravRK/photos/a.205080056336531/1432730236904834/?type=3&amp;__xts__%5B0%5D=68.ARB26HtgjMTkOT7j9boYSPY9aohZp8XS_kyFXrk4hbyCgrbVcYC2CLHBF06ku9LTNKtWd7rRCTZX6j_TQODHxW4CivKjx3UXkEmudT9Xrs9pgQXsJ21QJlLIxfV3zHtY21AfGK_ohVCCJj8QgtZBCVu"&amp;"x69fBvTV0D0xD26rNtLwIfoRYCGG8qvVQX6LPpaue4dwil1oUN_HELukDCU1Y6_l1UZMbBCMt5DPjGN6XgOkk-JDWdR-op0amjoabmKiDxjpejNUqZuMJNPvTD1klrNRFId8xEn73CYf4EUwuFzLZR7hJpjxsHykjzdu0Mnkthjtei8a65ewKdJ2aHmDd_ZwLYQ&amp;__tn__=-R","Source")</f>
        <v>Source</v>
      </c>
      <c r="H95" s="33"/>
      <c r="I95" s="33"/>
      <c r="J95" s="33"/>
      <c r="K95" s="33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</row>
    <row r="96" ht="27.75" customHeight="1">
      <c r="A96" s="38" t="s">
        <v>96</v>
      </c>
      <c r="B96" s="62">
        <v>26.0</v>
      </c>
      <c r="C96" s="62">
        <v>0.0</v>
      </c>
      <c r="D96" s="44"/>
      <c r="E96" s="44"/>
      <c r="F96" s="44"/>
      <c r="G96" s="47" t="str">
        <f>HYPERLINK("http://www.fena.ba/article/1141356/another-case-of-coronavirus-infection-confirmed-in-bih","Source")</f>
        <v>Source</v>
      </c>
      <c r="H96" s="33"/>
      <c r="I96" s="33"/>
      <c r="J96" s="33"/>
      <c r="K96" s="33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</row>
    <row r="97" ht="30.0" customHeight="1">
      <c r="A97" s="38" t="s">
        <v>95</v>
      </c>
      <c r="B97" s="62">
        <v>24.0</v>
      </c>
      <c r="C97" s="62">
        <v>0.0</v>
      </c>
      <c r="D97" s="44">
        <v>0.0</v>
      </c>
      <c r="E97" s="44">
        <v>0.0</v>
      </c>
      <c r="F97" s="44">
        <v>12.0</v>
      </c>
      <c r="G97" s="47" t="str">
        <f>HYPERLINK("https://twitter.com/OmaniMOH/status/1239627621710868480","Source")</f>
        <v>Source</v>
      </c>
      <c r="H97" s="77"/>
      <c r="I97" s="33"/>
      <c r="J97" s="33"/>
      <c r="K97" s="33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</row>
    <row r="98" ht="30.0" customHeight="1">
      <c r="A98" s="38" t="s">
        <v>100</v>
      </c>
      <c r="B98" s="62">
        <v>24.0</v>
      </c>
      <c r="C98" s="62">
        <v>0.0</v>
      </c>
      <c r="D98" s="89"/>
      <c r="E98" s="89"/>
      <c r="F98" s="89"/>
      <c r="G98" s="47" t="str">
        <f>HYPERLINK("https://www.aa.com.tr/en/latest-on-coronavirus-outbreak/coronavirus-cases-rise-to-24-in-tunisia/1768550","Source")</f>
        <v>Source</v>
      </c>
      <c r="H98" s="33"/>
      <c r="I98" s="33"/>
      <c r="J98" s="33"/>
      <c r="K98" s="33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</row>
    <row r="99" ht="30.0" customHeight="1">
      <c r="A99" s="38" t="s">
        <v>101</v>
      </c>
      <c r="B99" s="62">
        <v>24.0</v>
      </c>
      <c r="C99" s="62">
        <v>0.0</v>
      </c>
      <c r="D99" s="44">
        <v>0.0</v>
      </c>
      <c r="E99" s="44">
        <v>0.0</v>
      </c>
      <c r="F99" s="44">
        <v>1.0</v>
      </c>
      <c r="G99" s="47" t="str">
        <f>HYPERLINK("https://www.iph.mk/covid19-vo-svetot-16-03-2020/","Source")</f>
        <v>Source</v>
      </c>
      <c r="H99" s="33"/>
      <c r="I99" s="33"/>
      <c r="J99" s="33"/>
      <c r="K99" s="33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</row>
    <row r="100" ht="30.0" customHeight="1">
      <c r="A100" s="38" t="s">
        <v>110</v>
      </c>
      <c r="B100" s="62">
        <v>21.0</v>
      </c>
      <c r="C100" s="62">
        <v>1.0</v>
      </c>
      <c r="D100" s="89"/>
      <c r="E100" s="89"/>
      <c r="F100" s="89"/>
      <c r="G100" s="47" t="str">
        <f>HYPERLINK("https://listindiario.com/la-republica/2020/03/17/608857/el-pais-registra-primera-muerte-y-un-contagio-local-por-covid-19","Source")</f>
        <v>Source</v>
      </c>
      <c r="H100" s="33"/>
      <c r="I100" s="33"/>
      <c r="J100" s="33"/>
      <c r="K100" s="33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</row>
    <row r="101" ht="27.75" customHeight="1">
      <c r="A101" s="38" t="s">
        <v>118</v>
      </c>
      <c r="B101" s="62">
        <v>20.0</v>
      </c>
      <c r="C101" s="62">
        <v>0.0</v>
      </c>
      <c r="D101" s="89"/>
      <c r="E101" s="89"/>
      <c r="F101" s="89"/>
      <c r="G101" s="47" t="str">
        <f>HYPERLINK("https://lefaso.net/spip.php?article95510","Source")</f>
        <v>Source</v>
      </c>
      <c r="H101" s="33"/>
      <c r="I101" s="33"/>
      <c r="J101" s="33"/>
      <c r="K101" s="33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</row>
    <row r="102" ht="30.0" customHeight="1">
      <c r="A102" s="38" t="s">
        <v>105</v>
      </c>
      <c r="B102" s="62">
        <v>18.0</v>
      </c>
      <c r="C102" s="62">
        <v>0.0</v>
      </c>
      <c r="D102" s="44" t="s">
        <v>135</v>
      </c>
      <c r="E102" s="44" t="s">
        <v>135</v>
      </c>
      <c r="F102" s="44">
        <v>1.0</v>
      </c>
      <c r="G102" s="47" t="str">
        <f>HYPERLINK("https://urm.lt/default/en/important-covid19","Source")</f>
        <v>Source</v>
      </c>
      <c r="H102" s="33"/>
      <c r="I102" s="33"/>
      <c r="J102" s="33"/>
      <c r="K102" s="33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</row>
    <row r="103" ht="30.0" customHeight="1">
      <c r="A103" s="38" t="s">
        <v>264</v>
      </c>
      <c r="B103" s="62">
        <v>16.0</v>
      </c>
      <c r="C103" s="62">
        <v>0.0</v>
      </c>
      <c r="D103" s="44"/>
      <c r="E103" s="44"/>
      <c r="F103" s="44"/>
      <c r="G103" s="47" t="str">
        <f>HYPERLINK("https://www.aa.com.tr/ba/balkan/kosovo-korona-virusom-zara%C5%BEeno-16-osoba/1768816","Source")</f>
        <v>Source</v>
      </c>
      <c r="H103" s="33"/>
      <c r="I103" s="33"/>
      <c r="J103" s="33"/>
      <c r="K103" s="33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</row>
    <row r="104" ht="30.0" customHeight="1">
      <c r="A104" s="38" t="s">
        <v>107</v>
      </c>
      <c r="B104" s="62">
        <v>14.0</v>
      </c>
      <c r="C104" s="62">
        <v>0.0</v>
      </c>
      <c r="D104" s="89"/>
      <c r="E104" s="89"/>
      <c r="F104" s="89"/>
      <c r="G104" s="47" t="str">
        <f>HYPERLINK("https://twitter.com/GovernAndorra/status/1239514311959199747","Source")</f>
        <v>Source</v>
      </c>
      <c r="H104" s="33"/>
      <c r="I104" s="33"/>
      <c r="J104" s="33"/>
      <c r="K104" s="33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</row>
    <row r="105" ht="27.75" customHeight="1">
      <c r="A105" s="38" t="s">
        <v>108</v>
      </c>
      <c r="B105" s="62">
        <v>13.0</v>
      </c>
      <c r="C105" s="62">
        <v>0.0</v>
      </c>
      <c r="D105" s="44"/>
      <c r="E105" s="44"/>
      <c r="F105" s="44"/>
      <c r="G105" s="47" t="str">
        <f>HYPERLINK("https://covid19.health.gov.mv/en/","Source")</f>
        <v>Source</v>
      </c>
      <c r="H105" s="33"/>
      <c r="I105" s="33"/>
      <c r="J105" s="33"/>
      <c r="K105" s="33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</row>
    <row r="106" ht="30.0" customHeight="1">
      <c r="A106" s="38" t="s">
        <v>106</v>
      </c>
      <c r="B106" s="62">
        <v>12.0</v>
      </c>
      <c r="C106" s="62">
        <v>0.0</v>
      </c>
      <c r="D106" s="44"/>
      <c r="E106" s="44"/>
      <c r="F106" s="44"/>
      <c r="G106" s="47" t="str">
        <f>HYPERLINK("https://twitter.com/christufton/status/1239689969180041217","Source")</f>
        <v>Source</v>
      </c>
      <c r="H106" s="33"/>
      <c r="I106" s="33"/>
      <c r="J106" s="33"/>
      <c r="K106" s="33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</row>
    <row r="107" ht="30.0" customHeight="1">
      <c r="A107" s="38" t="s">
        <v>111</v>
      </c>
      <c r="B107" s="62">
        <v>12.0</v>
      </c>
      <c r="C107" s="62">
        <v>0.0</v>
      </c>
      <c r="D107" s="44" t="s">
        <v>135</v>
      </c>
      <c r="E107" s="44" t="s">
        <v>135</v>
      </c>
      <c r="F107" s="44">
        <v>10.0</v>
      </c>
      <c r="G107" s="47" t="str">
        <f>HYPERLINK("https://news.gov.mo/detail/en/N20CQb3QPO?3","Source")</f>
        <v>Source</v>
      </c>
      <c r="H107" s="33"/>
      <c r="I107" s="33"/>
      <c r="J107" s="33"/>
      <c r="K107" s="33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</row>
    <row r="108" ht="30.0" customHeight="1">
      <c r="A108" s="38" t="s">
        <v>112</v>
      </c>
      <c r="B108" s="62">
        <v>11.0</v>
      </c>
      <c r="C108" s="62">
        <v>0.0</v>
      </c>
      <c r="D108" s="44"/>
      <c r="E108" s="44"/>
      <c r="F108" s="44"/>
      <c r="G108" s="47" t="str">
        <f>HYPERLINK("http://www.la-razon.com/sociedad/examenes-descartan-coronavirus-ministros-bolivia_0_3331466876.html","Source")</f>
        <v>Source</v>
      </c>
      <c r="H108" s="33"/>
      <c r="I108" s="33"/>
      <c r="J108" s="33"/>
      <c r="K108" s="33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</row>
    <row r="109" ht="30.0" customHeight="1">
      <c r="A109" s="38" t="s">
        <v>113</v>
      </c>
      <c r="B109" s="62">
        <v>11.0</v>
      </c>
      <c r="C109" s="62">
        <v>0.0</v>
      </c>
      <c r="D109" s="44" t="s">
        <v>135</v>
      </c>
      <c r="E109" s="44" t="s">
        <v>135</v>
      </c>
      <c r="F109" s="44" t="s">
        <v>135</v>
      </c>
      <c r="G109" s="47" t="str">
        <f>HYPERLINK("https://www.health.govt.nz/news-media/media-releases/covid-19-three-new-cases-linked-overseas","Source")</f>
        <v>Source</v>
      </c>
      <c r="H109" s="33"/>
      <c r="I109" s="33"/>
      <c r="J109" s="33"/>
      <c r="K109" s="33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</row>
    <row r="110" ht="30.0" customHeight="1">
      <c r="A110" s="38" t="s">
        <v>121</v>
      </c>
      <c r="B110" s="62">
        <v>10.0</v>
      </c>
      <c r="C110" s="62">
        <v>0.0</v>
      </c>
      <c r="D110" s="44"/>
      <c r="E110" s="44"/>
      <c r="F110" s="44"/>
      <c r="G110" s="47" t="str">
        <f>HYPERLINK("https://upl.uz/obshestvo/14799-news.html","Source")</f>
        <v>Source</v>
      </c>
      <c r="H110" s="33"/>
      <c r="I110" s="33"/>
      <c r="J110" s="33"/>
      <c r="K110" s="33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</row>
    <row r="111" ht="27.75" customHeight="1">
      <c r="A111" s="38" t="s">
        <v>116</v>
      </c>
      <c r="B111" s="62">
        <v>10.0</v>
      </c>
      <c r="C111" s="62">
        <v>0.0</v>
      </c>
      <c r="D111" s="44"/>
      <c r="E111" s="44"/>
      <c r="F111" s="44"/>
      <c r="G111" s="47" t="str">
        <f>HYPERLINK("http://www.china.org.cn/world/Off_the_Wire/2020-03/17/content_75825855.htm","Source")</f>
        <v>Source</v>
      </c>
      <c r="H111" s="33"/>
      <c r="I111" s="33"/>
      <c r="J111" s="33"/>
      <c r="K111" s="33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</row>
    <row r="112" ht="30.0" customHeight="1">
      <c r="A112" s="38" t="s">
        <v>133</v>
      </c>
      <c r="B112" s="62">
        <v>9.0</v>
      </c>
      <c r="C112" s="62">
        <v>0.0</v>
      </c>
      <c r="D112" s="44" t="s">
        <v>135</v>
      </c>
      <c r="E112" s="44" t="s">
        <v>135</v>
      </c>
      <c r="F112" s="44" t="s">
        <v>135</v>
      </c>
      <c r="G112" s="47" t="str">
        <f>HYPERLINK("https://en.gouv.mc/Policy-Practice/Social-Affairs-and-Health/News/CORONAVIRUS-un-neuvieme-cas-positif-revele-a-Monaco","Source")</f>
        <v>Source</v>
      </c>
      <c r="H112" s="33"/>
      <c r="I112" s="33"/>
      <c r="J112" s="33"/>
      <c r="K112" s="33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</row>
    <row r="113" ht="27.75" customHeight="1">
      <c r="A113" s="38" t="s">
        <v>115</v>
      </c>
      <c r="B113" s="62">
        <v>9.0</v>
      </c>
      <c r="C113" s="62">
        <v>0.0</v>
      </c>
      <c r="D113" s="44">
        <v>1.0</v>
      </c>
      <c r="E113" s="44"/>
      <c r="F113" s="44"/>
      <c r="G113" s="47" t="str">
        <f>HYPERLINK("https://twitter.com/msaludpy/status/1239683195345547266","Source")</f>
        <v>Source</v>
      </c>
      <c r="H113" s="33"/>
      <c r="I113" s="33"/>
      <c r="J113" s="33"/>
      <c r="K113" s="33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</row>
    <row r="114" ht="27.75" customHeight="1">
      <c r="A114" s="38" t="s">
        <v>122</v>
      </c>
      <c r="B114" s="62">
        <v>8.0</v>
      </c>
      <c r="C114" s="62">
        <v>0.0</v>
      </c>
      <c r="D114" s="44"/>
      <c r="E114" s="44"/>
      <c r="F114" s="44"/>
      <c r="G114" s="47" t="str">
        <f>HYPERLINK("https://covid19honduras.org/","Source")</f>
        <v>Source</v>
      </c>
      <c r="H114" s="33"/>
      <c r="I114" s="33"/>
      <c r="J114" s="33"/>
      <c r="K114" s="33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</row>
    <row r="115" ht="27.75" customHeight="1">
      <c r="A115" s="38" t="s">
        <v>265</v>
      </c>
      <c r="B115" s="62">
        <v>7.0</v>
      </c>
      <c r="C115" s="62">
        <v>0.0</v>
      </c>
      <c r="D115" s="44"/>
      <c r="E115" s="44"/>
      <c r="F115" s="44"/>
      <c r="G115" s="47" t="str">
        <f>HYPERLINK("https://www.kibrisgazetesi.com/kibris/kktcde-vaka-sayisi-7-oldu-h85119.html","Source")</f>
        <v>Source</v>
      </c>
      <c r="H115" s="33"/>
      <c r="I115" s="33"/>
      <c r="J115" s="33"/>
      <c r="K115" s="33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</row>
    <row r="116" ht="27.75" customHeight="1">
      <c r="A116" s="38" t="s">
        <v>117</v>
      </c>
      <c r="B116" s="62">
        <v>7.0</v>
      </c>
      <c r="C116" s="62">
        <v>0.0</v>
      </c>
      <c r="D116" s="89"/>
      <c r="E116" s="89"/>
      <c r="F116" s="89"/>
      <c r="G116" s="47" t="str">
        <f>HYPERLINK("https://www.volksblatt.li/nachrichten/Liechtenstein/Politik/vb/247958/jetzt-wirds-ernst-corona-massnahmen-werden-am-montag-verscharft","Source")</f>
        <v>Source</v>
      </c>
      <c r="H116" s="33"/>
      <c r="I116" s="33"/>
      <c r="J116" s="33"/>
      <c r="K116" s="33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</row>
    <row r="117" ht="30.0" customHeight="1">
      <c r="A117" s="38" t="s">
        <v>119</v>
      </c>
      <c r="B117" s="62">
        <v>7.0</v>
      </c>
      <c r="C117" s="62">
        <v>0.0</v>
      </c>
      <c r="D117" s="44"/>
      <c r="E117" s="44"/>
      <c r="F117" s="44"/>
      <c r="G117" s="47" t="str">
        <f>HYPERLINK("https://twitter.com/RwandaHealth/status/1239642984704081920/photo/2","Source")</f>
        <v>Source</v>
      </c>
      <c r="H117" s="33"/>
      <c r="I117" s="33"/>
      <c r="J117" s="33"/>
      <c r="K117" s="33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</row>
    <row r="118" ht="30.0" customHeight="1">
      <c r="A118" s="38" t="s">
        <v>127</v>
      </c>
      <c r="B118" s="62">
        <v>7.0</v>
      </c>
      <c r="C118" s="62">
        <v>1.0</v>
      </c>
      <c r="D118" s="89"/>
      <c r="E118" s="89"/>
      <c r="F118" s="89"/>
      <c r="G118" s="47" t="str">
        <f>HYPERLINK("https://moz.gov.ua/article/news/operativna-informacija-pro-poshirennja-koronavirusnoi-infekcii-2019-ncov-","Source")</f>
        <v>Source</v>
      </c>
      <c r="H118" s="33"/>
      <c r="I118" s="33"/>
      <c r="J118" s="33"/>
      <c r="K118" s="33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</row>
    <row r="119" ht="30.0" customHeight="1">
      <c r="A119" s="38" t="s">
        <v>120</v>
      </c>
      <c r="B119" s="62">
        <v>6.0</v>
      </c>
      <c r="C119" s="62">
        <v>0.0</v>
      </c>
      <c r="D119" s="44"/>
      <c r="E119" s="44"/>
      <c r="F119" s="44"/>
      <c r="G119" s="47" t="str">
        <f>HYPERLINK("https://www.bbc.com/pidgin/tori-51898661","Source")</f>
        <v>Source</v>
      </c>
      <c r="H119" s="33"/>
      <c r="I119" s="33"/>
      <c r="J119" s="33"/>
      <c r="K119" s="33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</row>
    <row r="120" ht="27.75" customHeight="1">
      <c r="A120" s="38" t="s">
        <v>123</v>
      </c>
      <c r="B120" s="62">
        <v>6.0</v>
      </c>
      <c r="C120" s="62">
        <v>1.0</v>
      </c>
      <c r="D120" s="44"/>
      <c r="E120" s="44"/>
      <c r="F120" s="44"/>
      <c r="G120" s="47" t="str">
        <f>HYPERLINK("https://twitter.com/DrGiammattei/status/1239609858967642113","Source")</f>
        <v>Source</v>
      </c>
      <c r="H120" s="33"/>
      <c r="I120" s="33"/>
      <c r="J120" s="33"/>
      <c r="K120" s="33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</row>
    <row r="121" ht="27.75" customHeight="1">
      <c r="A121" s="38" t="s">
        <v>125</v>
      </c>
      <c r="B121" s="62">
        <v>6.0</v>
      </c>
      <c r="C121" s="62">
        <v>0.0</v>
      </c>
      <c r="D121" s="44"/>
      <c r="E121" s="44"/>
      <c r="F121" s="44"/>
      <c r="G121" s="47" t="str">
        <f>HYPERLINK("https://twitter.com/OmsCotedivoire/status/1239825825618374657","Source")</f>
        <v>Source</v>
      </c>
      <c r="H121" s="33"/>
      <c r="I121" s="33"/>
      <c r="J121" s="33"/>
      <c r="K121" s="33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</row>
    <row r="122" ht="27.75" customHeight="1">
      <c r="A122" s="38" t="s">
        <v>262</v>
      </c>
      <c r="B122" s="62">
        <v>5.0</v>
      </c>
      <c r="C122" s="62">
        <v>0.0</v>
      </c>
      <c r="D122" s="44"/>
      <c r="E122" s="44"/>
      <c r="F122" s="44"/>
      <c r="G122" s="47" t="str">
        <f>HYPERLINK("https://twitter.com/CNN_Oppmann/status/1239705187536814080","Source")</f>
        <v>Source</v>
      </c>
      <c r="H122" s="33"/>
      <c r="I122" s="33"/>
      <c r="J122" s="33"/>
      <c r="K122" s="33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</row>
    <row r="123" ht="27.75" customHeight="1">
      <c r="A123" s="38" t="s">
        <v>124</v>
      </c>
      <c r="B123" s="62">
        <v>5.0</v>
      </c>
      <c r="C123" s="62">
        <v>0.0</v>
      </c>
      <c r="D123" s="44"/>
      <c r="E123" s="44"/>
      <c r="F123" s="44"/>
      <c r="G123" s="47" t="str">
        <f>HYPERLINK("https://www.facebook.com/MINSANTE.PageOfficielle/photos/a.1480278031987670/3383764394972348/?type=3","Source")</f>
        <v>Source</v>
      </c>
      <c r="H123" s="33"/>
      <c r="I123" s="33"/>
      <c r="J123" s="33"/>
      <c r="K123" s="33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</row>
    <row r="124" ht="30.0" customHeight="1">
      <c r="A124" s="38" t="s">
        <v>126</v>
      </c>
      <c r="B124" s="62">
        <v>5.0</v>
      </c>
      <c r="C124" s="62">
        <v>0.0</v>
      </c>
      <c r="D124" s="44"/>
      <c r="E124" s="44"/>
      <c r="F124" s="44"/>
      <c r="G124" s="47" t="str">
        <f>HYPERLINK("https://twitter.com/lia_tadesse/status/1239494668909412352","Source")</f>
        <v>Source</v>
      </c>
      <c r="H124" s="33"/>
      <c r="I124" s="33"/>
      <c r="J124" s="33"/>
      <c r="K124" s="33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</row>
    <row r="125" ht="30.0" customHeight="1">
      <c r="A125" s="38" t="s">
        <v>131</v>
      </c>
      <c r="B125" s="62">
        <v>4.0</v>
      </c>
      <c r="C125" s="62">
        <v>0.0</v>
      </c>
      <c r="D125" s="44"/>
      <c r="E125" s="44"/>
      <c r="F125" s="44"/>
      <c r="G125" s="47" t="str">
        <f>HYPERLINK("https://twitter.com/cgtnafrica/status/1239901841791606784","Source")</f>
        <v>Source</v>
      </c>
      <c r="H125" s="33"/>
      <c r="I125" s="33"/>
      <c r="J125" s="33"/>
      <c r="K125" s="33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</row>
    <row r="126" ht="30.0" customHeight="1">
      <c r="A126" s="38" t="s">
        <v>128</v>
      </c>
      <c r="B126" s="62">
        <v>3.0</v>
      </c>
      <c r="C126" s="62">
        <v>0.0</v>
      </c>
      <c r="D126" s="44"/>
      <c r="E126" s="44"/>
      <c r="F126" s="44"/>
      <c r="G126" s="47" t="str">
        <f>HYPERLINK("https://newsaf.cgtn.com/news/2020-03-15/Seychelles-confirms-two-coronavirus-cases-health-commissioner-ORGr6wjvLW/index.html","Source")</f>
        <v>Source</v>
      </c>
      <c r="H126" s="33"/>
      <c r="I126" s="33"/>
      <c r="J126" s="33"/>
      <c r="K126" s="33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</row>
    <row r="127" ht="30.0" customHeight="1">
      <c r="A127" s="38" t="s">
        <v>129</v>
      </c>
      <c r="B127" s="62">
        <v>3.0</v>
      </c>
      <c r="C127" s="62">
        <v>0.0</v>
      </c>
      <c r="D127" s="44"/>
      <c r="E127" s="44"/>
      <c r="F127" s="44"/>
      <c r="G127" s="47" t="str">
        <f>HYPERLINK("https://twitter.com/WHOAFRO/status/1239482557101674496","Source")</f>
        <v>Source</v>
      </c>
      <c r="H127" s="33"/>
      <c r="I127" s="33"/>
      <c r="J127" s="33"/>
      <c r="K127" s="33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</row>
    <row r="128" ht="27.75" customHeight="1">
      <c r="A128" s="38" t="s">
        <v>130</v>
      </c>
      <c r="B128" s="62">
        <v>3.0</v>
      </c>
      <c r="C128" s="62">
        <v>0.0</v>
      </c>
      <c r="D128" s="44">
        <v>1.0</v>
      </c>
      <c r="E128" s="44"/>
      <c r="F128" s="44">
        <v>1.0</v>
      </c>
      <c r="G128" s="47" t="str">
        <f>HYPERLINK("https://twitter.com/GibraltarGov/status/1239614840240570368","Source")</f>
        <v>Source</v>
      </c>
      <c r="H128" s="33"/>
      <c r="I128" s="33"/>
      <c r="J128" s="33"/>
      <c r="K128" s="33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</row>
    <row r="129" ht="30.0" customHeight="1">
      <c r="A129" s="38" t="s">
        <v>132</v>
      </c>
      <c r="B129" s="62">
        <v>3.0</v>
      </c>
      <c r="C129" s="62">
        <v>0.0</v>
      </c>
      <c r="D129" s="44">
        <v>0.0</v>
      </c>
      <c r="E129" s="44">
        <v>0.0</v>
      </c>
      <c r="F129" s="44">
        <v>0.0</v>
      </c>
      <c r="G129" s="47" t="str">
        <f>HYPERLINK("https://www.ncdc.gov.ng/news/242/17th-march-2020--third-case-of-coronavirus-disease-%28covid-19%29-confirmed-in-nigeria","Source")</f>
        <v>Source</v>
      </c>
      <c r="H129" s="50"/>
      <c r="I129" s="33"/>
      <c r="J129" s="33"/>
      <c r="K129" s="33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</row>
    <row r="130" ht="30.0" customHeight="1">
      <c r="A130" s="38" t="s">
        <v>134</v>
      </c>
      <c r="B130" s="62">
        <v>2.0</v>
      </c>
      <c r="C130" s="62">
        <v>0.0</v>
      </c>
      <c r="D130" s="44"/>
      <c r="E130" s="44"/>
      <c r="F130" s="44"/>
      <c r="G130" s="47" t="str">
        <f>HYPERLINK("https://news.trust.org/item/20200314105045-1u9ll","Source")</f>
        <v>Source</v>
      </c>
      <c r="H130" s="33"/>
      <c r="I130" s="33"/>
      <c r="J130" s="33"/>
      <c r="K130" s="33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</row>
    <row r="131" ht="30.0" customHeight="1">
      <c r="A131" s="38" t="s">
        <v>137</v>
      </c>
      <c r="B131" s="62">
        <v>2.0</v>
      </c>
      <c r="C131" s="62">
        <v>0.0</v>
      </c>
      <c r="D131" s="44"/>
      <c r="E131" s="44"/>
      <c r="F131" s="44"/>
      <c r="G131" s="47" t="str">
        <f>HYPERLINK("https://www.facebook.com/executivemansionliberia/photos/a.622167858131996/1204504093231700/?type=3&amp;__xts__%5B0%5D=68.ARCtlVuQ5CP9UA-z9lP5oiw3WCuQWZ0a8XBkOsG4q5XebUlDOk8KTii15DXdRDbLNtUDbopIxpJBG1Fm75PhJsOPuM6hM-GDAX1Vx82A8CrCveTYseTCrhoVLCqwXcuXL1YyAfjleC"&amp;"iByj2VZHj80Y4kiJ_gLbP9RNuKroaQLiYG3nCz2lxrnavK4dYEEOApAJH0xOQ9L9ydxLo-Aiga8W5g7LG5eKgooGW30Aybv2D_k5CtqySqqwF8L-B0vi6TFD-KoIdyz6dKyI2ifA7dRpBV3v6wCXYMVx-D2ic5dvLoX9oM8De_RGsydA5oxLj8dEj5_RtKK5axTw6T490f8GPoHg&amp;__tn__=-R","Source")</f>
        <v>Source</v>
      </c>
      <c r="H131" s="33"/>
      <c r="I131" s="33"/>
      <c r="J131" s="33"/>
      <c r="K131" s="33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</row>
    <row r="132" ht="30.0" customHeight="1">
      <c r="A132" s="38" t="s">
        <v>266</v>
      </c>
      <c r="B132" s="62">
        <v>1.0</v>
      </c>
      <c r="C132" s="62">
        <v>0.0</v>
      </c>
      <c r="D132" s="44"/>
      <c r="E132" s="44"/>
      <c r="F132" s="44"/>
      <c r="G132" s="47" t="str">
        <f>HYPERLINK("https://twitter.com/MohGambia/status/1240024648785571841","Source")</f>
        <v>Source</v>
      </c>
      <c r="H132" s="33"/>
      <c r="I132" s="33"/>
      <c r="J132" s="33"/>
      <c r="K132" s="33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</row>
    <row r="133" ht="30.0" customHeight="1">
      <c r="A133" s="38" t="s">
        <v>267</v>
      </c>
      <c r="B133" s="62">
        <v>1.0</v>
      </c>
      <c r="C133" s="62">
        <v>0.0</v>
      </c>
      <c r="D133" s="44"/>
      <c r="E133" s="44"/>
      <c r="F133" s="44"/>
      <c r="G133" s="47" t="str">
        <f>HYPERLINK("https://twitter.com/MeGovernment/status/1239992049350447104","Source")</f>
        <v>Source</v>
      </c>
      <c r="H133" s="33"/>
      <c r="I133" s="33"/>
      <c r="J133" s="33"/>
      <c r="K133" s="33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</row>
    <row r="134" ht="30.0" customHeight="1">
      <c r="A134" s="38" t="s">
        <v>268</v>
      </c>
      <c r="B134" s="62">
        <v>1.0</v>
      </c>
      <c r="C134" s="62">
        <v>0.0</v>
      </c>
      <c r="D134" s="44"/>
      <c r="E134" s="44"/>
      <c r="F134" s="44"/>
      <c r="G134" s="47" t="str">
        <f t="shared" ref="G134:G135" si="2">HYPERLINK("https://news.trust.org/item/20200316134048-5il6b","Source")</f>
        <v>Source</v>
      </c>
      <c r="H134" s="33"/>
      <c r="I134" s="33"/>
      <c r="J134" s="33"/>
      <c r="K134" s="33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</row>
    <row r="135" ht="30.0" customHeight="1">
      <c r="A135" s="38" t="s">
        <v>269</v>
      </c>
      <c r="B135" s="62">
        <v>1.0</v>
      </c>
      <c r="C135" s="62">
        <v>0.0</v>
      </c>
      <c r="D135" s="44"/>
      <c r="E135" s="44"/>
      <c r="F135" s="44"/>
      <c r="G135" s="47" t="str">
        <f t="shared" si="2"/>
        <v>Source</v>
      </c>
      <c r="H135" s="33"/>
      <c r="I135" s="33"/>
      <c r="J135" s="33"/>
      <c r="K135" s="33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</row>
    <row r="136" ht="30.0" customHeight="1">
      <c r="A136" s="38" t="s">
        <v>270</v>
      </c>
      <c r="B136" s="62">
        <v>1.0</v>
      </c>
      <c r="C136" s="62">
        <v>0.0</v>
      </c>
      <c r="D136" s="44"/>
      <c r="E136" s="44"/>
      <c r="F136" s="44"/>
      <c r="G136" s="47" t="str">
        <f>HYPERLINK("https://twitter.com/WHOAFRO/status/1239642714192465922","Source")</f>
        <v>Source</v>
      </c>
      <c r="H136" s="33"/>
      <c r="I136" s="33"/>
      <c r="J136" s="33"/>
      <c r="K136" s="33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</row>
    <row r="137" ht="30.0" customHeight="1">
      <c r="A137" s="38" t="s">
        <v>136</v>
      </c>
      <c r="B137" s="62">
        <v>1.0</v>
      </c>
      <c r="C137" s="62">
        <v>0.0</v>
      </c>
      <c r="D137" s="44"/>
      <c r="E137" s="44"/>
      <c r="F137" s="44"/>
      <c r="G137" s="47" t="str">
        <f>HYPERLINK("https://opmbahamas.com/national-address-update-covid-19/","Source")</f>
        <v>Source</v>
      </c>
      <c r="H137" s="33"/>
      <c r="I137" s="33"/>
      <c r="J137" s="33"/>
      <c r="K137" s="33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</row>
    <row r="138" ht="30.0" customHeight="1">
      <c r="A138" s="38" t="s">
        <v>138</v>
      </c>
      <c r="B138" s="62">
        <v>1.0</v>
      </c>
      <c r="C138" s="62">
        <v>0.0</v>
      </c>
      <c r="D138" s="44"/>
      <c r="E138" s="44"/>
      <c r="F138" s="44"/>
      <c r="G138" s="47" t="str">
        <f t="shared" ref="G138:G140" si="3">HYPERLINK("https://twitter.com/WHOAFRO/status/1239482557101674496","Source")</f>
        <v>Source</v>
      </c>
      <c r="H138" s="33"/>
      <c r="I138" s="33"/>
      <c r="J138" s="33"/>
      <c r="K138" s="33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</row>
    <row r="139" ht="30.0" customHeight="1">
      <c r="A139" s="38" t="s">
        <v>139</v>
      </c>
      <c r="B139" s="62">
        <v>1.0</v>
      </c>
      <c r="C139" s="62">
        <v>0.0</v>
      </c>
      <c r="D139" s="44"/>
      <c r="E139" s="44"/>
      <c r="F139" s="44"/>
      <c r="G139" s="47" t="str">
        <f t="shared" si="3"/>
        <v>Source</v>
      </c>
      <c r="H139" s="33"/>
      <c r="I139" s="33"/>
      <c r="J139" s="33"/>
      <c r="K139" s="33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</row>
    <row r="140" ht="30.0" customHeight="1">
      <c r="A140" s="38" t="s">
        <v>140</v>
      </c>
      <c r="B140" s="62">
        <v>1.0</v>
      </c>
      <c r="C140" s="62">
        <v>0.0</v>
      </c>
      <c r="D140" s="44"/>
      <c r="E140" s="44"/>
      <c r="F140" s="44"/>
      <c r="G140" s="47" t="str">
        <f t="shared" si="3"/>
        <v>Source</v>
      </c>
      <c r="H140" s="33"/>
      <c r="I140" s="33"/>
      <c r="J140" s="33"/>
      <c r="K140" s="33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</row>
    <row r="141" ht="30.0" customHeight="1">
      <c r="A141" s="38" t="s">
        <v>141</v>
      </c>
      <c r="B141" s="62">
        <v>1.0</v>
      </c>
      <c r="C141" s="62">
        <v>0.0</v>
      </c>
      <c r="D141" s="44"/>
      <c r="E141" s="44"/>
      <c r="F141" s="44"/>
      <c r="G141" s="47" t="str">
        <f>HYPERLINK("https://news.trust.org/item/20200314231524-ebs0t","Source")</f>
        <v>Source</v>
      </c>
      <c r="H141" s="33"/>
      <c r="I141" s="33"/>
      <c r="J141" s="33"/>
      <c r="K141" s="33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</row>
    <row r="142" ht="30.0" customHeight="1">
      <c r="A142" s="38" t="s">
        <v>142</v>
      </c>
      <c r="B142" s="62">
        <v>1.0</v>
      </c>
      <c r="C142" s="62">
        <v>0.0</v>
      </c>
      <c r="D142" s="44"/>
      <c r="E142" s="44"/>
      <c r="F142" s="44"/>
      <c r="G142" s="47" t="str">
        <f>HYPERLINK("https://twitter.com/WHOAFRO/status/1239482557101674496","Source")</f>
        <v>Source</v>
      </c>
      <c r="H142" s="33"/>
      <c r="I142" s="33"/>
      <c r="J142" s="33"/>
      <c r="K142" s="33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</row>
    <row r="143" ht="30.0" customHeight="1">
      <c r="A143" s="38" t="s">
        <v>143</v>
      </c>
      <c r="B143" s="62">
        <v>1.0</v>
      </c>
      <c r="C143" s="62">
        <v>0.0</v>
      </c>
      <c r="D143" s="44"/>
      <c r="E143" s="44"/>
      <c r="F143" s="44"/>
      <c r="G143" s="47" t="str">
        <f>HYPERLINK("https://news.trust.org/item/20200313230939-l5lk1","Source")</f>
        <v>Source</v>
      </c>
      <c r="H143" s="33"/>
      <c r="I143" s="33"/>
      <c r="J143" s="33"/>
      <c r="K143" s="33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</row>
    <row r="144" ht="30.0" customHeight="1">
      <c r="A144" s="38" t="s">
        <v>144</v>
      </c>
      <c r="B144" s="62">
        <v>1.0</v>
      </c>
      <c r="C144" s="62">
        <v>0.0</v>
      </c>
      <c r="D144" s="44"/>
      <c r="E144" s="44"/>
      <c r="F144" s="44"/>
      <c r="G144" s="47" t="str">
        <f>HYPERLINK("https://news.trust.org/item/20200314193058-yce0v","Source")</f>
        <v>Source</v>
      </c>
      <c r="H144" s="33"/>
      <c r="I144" s="33"/>
      <c r="J144" s="33"/>
      <c r="K144" s="33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</row>
    <row r="145" ht="30.0" customHeight="1">
      <c r="A145" s="38" t="s">
        <v>145</v>
      </c>
      <c r="B145" s="62">
        <v>1.0</v>
      </c>
      <c r="C145" s="62">
        <v>0.0</v>
      </c>
      <c r="D145" s="44"/>
      <c r="E145" s="44"/>
      <c r="F145" s="44"/>
      <c r="G145" s="47" t="str">
        <f>HYPERLINK("https://twitter.com/WHOAFRO/status/1239482557101674496","Source")</f>
        <v>Source</v>
      </c>
      <c r="H145" s="33"/>
      <c r="I145" s="33"/>
      <c r="J145" s="33"/>
      <c r="K145" s="33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</row>
    <row r="146" ht="27.75" customHeight="1">
      <c r="A146" s="38" t="s">
        <v>146</v>
      </c>
      <c r="B146" s="62">
        <v>1.0</v>
      </c>
      <c r="C146" s="62">
        <v>0.0</v>
      </c>
      <c r="D146" s="44"/>
      <c r="E146" s="44"/>
      <c r="F146" s="44"/>
      <c r="G146" s="47" t="str">
        <f>HYPERLINK("https://news.trust.org/item/20200306140422-lxn7v","Source")</f>
        <v>Source</v>
      </c>
      <c r="H146" s="33"/>
      <c r="I146" s="33"/>
      <c r="J146" s="33"/>
      <c r="K146" s="33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</row>
    <row r="147" ht="30.0" customHeight="1">
      <c r="A147" s="38" t="s">
        <v>147</v>
      </c>
      <c r="B147" s="62">
        <v>1.0</v>
      </c>
      <c r="C147" s="62">
        <v>0.0</v>
      </c>
      <c r="D147" s="44" t="s">
        <v>135</v>
      </c>
      <c r="E147" s="44" t="s">
        <v>135</v>
      </c>
      <c r="F147" s="44">
        <v>1.0</v>
      </c>
      <c r="G147" s="103"/>
      <c r="H147" s="33"/>
      <c r="I147" s="33"/>
      <c r="J147" s="33"/>
      <c r="K147" s="33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</row>
    <row r="148" ht="27.75" customHeight="1">
      <c r="A148" s="38" t="s">
        <v>148</v>
      </c>
      <c r="B148" s="62">
        <v>1.0</v>
      </c>
      <c r="C148" s="62">
        <v>0.0</v>
      </c>
      <c r="D148" s="44"/>
      <c r="E148" s="44"/>
      <c r="F148" s="44"/>
      <c r="G148" s="47" t="str">
        <f>HYPERLINK("https://www.facebook.com/MoHBhutan/posts/2974352729292990","Source")</f>
        <v>Source</v>
      </c>
      <c r="H148" s="33"/>
      <c r="I148" s="33"/>
      <c r="J148" s="33"/>
      <c r="K148" s="33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</row>
    <row r="149" ht="27.75" customHeight="1">
      <c r="A149" s="38" t="s">
        <v>149</v>
      </c>
      <c r="B149" s="62">
        <v>1.0</v>
      </c>
      <c r="C149" s="62">
        <v>0.0</v>
      </c>
      <c r="D149" s="44"/>
      <c r="E149" s="44"/>
      <c r="F149" s="44"/>
      <c r="G149" s="47" t="str">
        <f>HYPERLINK("https://news.trust.org/item/20200306084828-6r4o6","Source")</f>
        <v>Source</v>
      </c>
      <c r="H149" s="33"/>
      <c r="I149" s="33"/>
      <c r="J149" s="33"/>
      <c r="K149" s="33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</row>
    <row r="150" ht="27.75" customHeight="1">
      <c r="A150" s="104" t="s">
        <v>150</v>
      </c>
      <c r="B150" s="105">
        <v>1978.0</v>
      </c>
      <c r="C150" s="105">
        <v>18.0</v>
      </c>
      <c r="D150" s="106"/>
      <c r="E150" s="106"/>
      <c r="F150" s="106"/>
      <c r="G150" s="107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</row>
    <row r="151" ht="30.0" customHeight="1">
      <c r="A151" s="108" t="s">
        <v>152</v>
      </c>
      <c r="B151" s="109">
        <f t="shared" ref="B151:C151" si="4">sum(B7:B150)</f>
        <v>199584</v>
      </c>
      <c r="C151" s="110">
        <f t="shared" si="4"/>
        <v>7975</v>
      </c>
      <c r="D151" s="110">
        <f t="shared" ref="D151:F151" si="5">sum(D7:D149)</f>
        <v>6054</v>
      </c>
      <c r="E151" s="111">
        <f t="shared" si="5"/>
        <v>75</v>
      </c>
      <c r="F151" s="112">
        <f t="shared" si="5"/>
        <v>81271</v>
      </c>
      <c r="G151" s="113"/>
      <c r="H151" s="33"/>
      <c r="I151" s="33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</row>
    <row r="152" ht="30.0" customHeight="1">
      <c r="A152" s="108"/>
      <c r="B152" s="114"/>
      <c r="C152" s="111"/>
      <c r="D152" s="111"/>
      <c r="E152" s="111"/>
      <c r="F152" s="115"/>
      <c r="G152" s="113"/>
      <c r="H152" s="33"/>
      <c r="I152" s="33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</row>
  </sheetData>
  <mergeCells count="6">
    <mergeCell ref="B3:C3"/>
    <mergeCell ref="D3:E3"/>
    <mergeCell ref="F3:G3"/>
    <mergeCell ref="B4:C4"/>
    <mergeCell ref="D4:E4"/>
    <mergeCell ref="F4:G4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4.0"/>
    <col customWidth="1" min="8" max="8" width="0.86"/>
  </cols>
  <sheetData>
    <row r="1" ht="27.75" customHeight="1">
      <c r="A1" s="2" t="s">
        <v>1</v>
      </c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8" t="s">
        <v>2</v>
      </c>
      <c r="B2" s="8" t="s">
        <v>8</v>
      </c>
      <c r="D2" s="10" t="s">
        <v>9</v>
      </c>
      <c r="F2" s="12"/>
      <c r="G2" s="1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22">
        <f t="shared" ref="A3:B3" si="1">SUM(B66, B67)</f>
        <v>6329</v>
      </c>
      <c r="B3" s="22">
        <f t="shared" si="1"/>
        <v>107</v>
      </c>
      <c r="D3" s="23">
        <f>SUM(F66, F67)</f>
        <v>8</v>
      </c>
      <c r="F3" s="12"/>
      <c r="G3" s="1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25"/>
      <c r="B4" s="14"/>
      <c r="C4" s="14"/>
      <c r="D4" s="12"/>
      <c r="E4" s="12"/>
      <c r="F4" s="12"/>
      <c r="G4" s="1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30.0" customHeight="1">
      <c r="A5" s="27" t="s">
        <v>49</v>
      </c>
      <c r="B5" s="29" t="s">
        <v>4</v>
      </c>
      <c r="C5" s="29" t="s">
        <v>5</v>
      </c>
      <c r="D5" s="31" t="s">
        <v>67</v>
      </c>
      <c r="E5" s="31" t="s">
        <v>77</v>
      </c>
      <c r="F5" s="31" t="s">
        <v>79</v>
      </c>
      <c r="G5" s="29" t="s">
        <v>80</v>
      </c>
      <c r="H5" s="33"/>
      <c r="I5" s="33"/>
      <c r="J5" s="35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6" ht="30.0" customHeight="1">
      <c r="A6" s="37" t="s">
        <v>104</v>
      </c>
      <c r="B6" s="41">
        <v>1653.0</v>
      </c>
      <c r="C6" s="43">
        <v>12.0</v>
      </c>
      <c r="D6" s="45">
        <v>60.0</v>
      </c>
      <c r="E6" s="45"/>
      <c r="F6" s="45"/>
      <c r="G6" s="48" t="str">
        <f>HYPERLINK("https://twitter.com/MSNBC/status/1240099337595768834","Source")</f>
        <v>Source</v>
      </c>
      <c r="H6" s="50"/>
      <c r="I6" s="33"/>
      <c r="J6" s="33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 ht="30.0" customHeight="1">
      <c r="A7" s="52" t="s">
        <v>151</v>
      </c>
      <c r="B7" s="54">
        <v>1012.0</v>
      </c>
      <c r="C7" s="56">
        <v>54.0</v>
      </c>
      <c r="D7" s="58"/>
      <c r="E7" s="58"/>
      <c r="F7" s="60">
        <v>1.0</v>
      </c>
      <c r="G7" s="61" t="str">
        <f>HYPERLINK("https://www.doh.wa.gov/Emergencies/Coronavirus","Source")</f>
        <v>Source</v>
      </c>
      <c r="H7" s="50"/>
      <c r="I7" s="33"/>
      <c r="J7" s="33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ht="30.0" customHeight="1">
      <c r="A8" s="63" t="s">
        <v>153</v>
      </c>
      <c r="B8" s="64">
        <v>636.0</v>
      </c>
      <c r="C8" s="65">
        <v>11.0</v>
      </c>
      <c r="D8" s="66"/>
      <c r="E8" s="66">
        <v>1.0</v>
      </c>
      <c r="F8" s="66">
        <v>1.0</v>
      </c>
      <c r="G8" s="67" t="str">
        <f>HYPERLINK("https://www.nytimes.com/interactive/2020/us/coronavirus-us-cases.html?action=click&amp;module=Spotlight&amp;pgtype=Homepage","Source")</f>
        <v>Source</v>
      </c>
      <c r="H8" s="50"/>
      <c r="I8" s="33"/>
      <c r="J8" s="33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</row>
    <row r="9" ht="27.75" customHeight="1">
      <c r="A9" s="52" t="s">
        <v>154</v>
      </c>
      <c r="B9" s="54">
        <v>267.0</v>
      </c>
      <c r="C9" s="56">
        <v>3.0</v>
      </c>
      <c r="D9" s="60"/>
      <c r="E9" s="58"/>
      <c r="F9" s="58"/>
      <c r="G9" s="61" t="str">
        <f>HYPERLINK("https://twitter.com/GovMurphy/status/1239707859597828097","Source")</f>
        <v>Source</v>
      </c>
      <c r="H9" s="50"/>
      <c r="I9" s="33"/>
      <c r="J9" s="33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ht="27.75" customHeight="1">
      <c r="A10" s="52" t="s">
        <v>155</v>
      </c>
      <c r="B10" s="54">
        <v>218.0</v>
      </c>
      <c r="C10" s="56">
        <v>0.0</v>
      </c>
      <c r="D10" s="60"/>
      <c r="E10" s="58"/>
      <c r="F10" s="58"/>
      <c r="G10" s="61" t="str">
        <f>HYPERLINK("https://www.mass.gov/info-details/covid-19-cases-quarantine-and-monitoring#covid-19-cases-in-massachusetts-","Source")</f>
        <v>Source</v>
      </c>
      <c r="H10" s="50"/>
      <c r="I10" s="33"/>
      <c r="J10" s="33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</row>
    <row r="11" ht="30.0" customHeight="1">
      <c r="A11" s="63" t="s">
        <v>156</v>
      </c>
      <c r="B11" s="65">
        <v>216.0</v>
      </c>
      <c r="C11" s="65">
        <v>7.0</v>
      </c>
      <c r="D11" s="66"/>
      <c r="E11" s="68"/>
      <c r="F11" s="68"/>
      <c r="G11" s="67" t="str">
        <f>HYPERLINK("https://twitter.com/WFLARyan/status/1239927843141926913","Source")</f>
        <v>Source</v>
      </c>
      <c r="H11" s="50"/>
      <c r="I11" s="33"/>
      <c r="J11" s="33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</row>
    <row r="12" ht="27.75" customHeight="1">
      <c r="A12" s="52" t="s">
        <v>157</v>
      </c>
      <c r="B12" s="54">
        <v>196.0</v>
      </c>
      <c r="C12" s="56">
        <v>4.0</v>
      </c>
      <c r="D12" s="60"/>
      <c r="E12" s="58"/>
      <c r="F12" s="58"/>
      <c r="G12" s="61" t="str">
        <f>HYPERLINK("http://ldh.la.gov/coronavirus/","Source")</f>
        <v>Source</v>
      </c>
      <c r="H12" s="50"/>
      <c r="I12" s="33"/>
      <c r="J12" s="33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ht="27.75" customHeight="1">
      <c r="A13" s="52" t="s">
        <v>158</v>
      </c>
      <c r="B13" s="54">
        <v>183.0</v>
      </c>
      <c r="C13" s="56">
        <v>2.0</v>
      </c>
      <c r="D13" s="60"/>
      <c r="E13" s="58"/>
      <c r="F13" s="58"/>
      <c r="G13" s="61" t="str">
        <f>HYPERLINK("https://covid19.colorado.gov/data","Source")</f>
        <v>Source</v>
      </c>
      <c r="H13" s="50"/>
      <c r="I13" s="33"/>
      <c r="J13" s="33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</row>
    <row r="14" ht="27.75" customHeight="1">
      <c r="A14" s="52" t="s">
        <v>160</v>
      </c>
      <c r="B14" s="54">
        <v>160.0</v>
      </c>
      <c r="C14" s="56">
        <v>1.0</v>
      </c>
      <c r="D14" s="60"/>
      <c r="E14" s="60"/>
      <c r="F14" s="60">
        <v>2.0</v>
      </c>
      <c r="G14" s="61" t="str">
        <f>HYPERLINK("http://www.dph.illinois.gov/news/public-health-officials-announce-first-illinois-coronavirus-disease-death","Source")</f>
        <v>Source</v>
      </c>
      <c r="H14" s="50"/>
      <c r="I14" s="33"/>
      <c r="J14" s="33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</row>
    <row r="15" ht="30.0" customHeight="1">
      <c r="A15" s="52" t="s">
        <v>86</v>
      </c>
      <c r="B15" s="54">
        <v>146.0</v>
      </c>
      <c r="C15" s="56">
        <v>1.0</v>
      </c>
      <c r="D15" s="60"/>
      <c r="E15" s="60"/>
      <c r="F15" s="58"/>
      <c r="G15" s="61" t="str">
        <f>HYPERLINK("https://dph.georgia.gov/covid-19-daily-status-report","Source")</f>
        <v>Source</v>
      </c>
      <c r="H15" s="50"/>
      <c r="I15" s="33"/>
      <c r="J15" s="33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</row>
    <row r="16" ht="27.75" customHeight="1">
      <c r="A16" s="52" t="s">
        <v>163</v>
      </c>
      <c r="B16" s="54">
        <v>96.0</v>
      </c>
      <c r="C16" s="56">
        <v>0.0</v>
      </c>
      <c r="D16" s="60"/>
      <c r="E16" s="60">
        <v>1.0</v>
      </c>
      <c r="F16" s="58"/>
      <c r="G16" s="61" t="str">
        <f>HYPERLINK("https://www.health.pa.gov/topics/disease/Pages/Coronavirus.aspx","Source")</f>
        <v>Source</v>
      </c>
      <c r="H16" s="50"/>
      <c r="I16" s="33"/>
      <c r="J16" s="33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</row>
    <row r="17" ht="27.75" customHeight="1">
      <c r="A17" s="52" t="s">
        <v>165</v>
      </c>
      <c r="B17" s="54">
        <v>73.0</v>
      </c>
      <c r="C17" s="56">
        <v>0.0</v>
      </c>
      <c r="D17" s="60"/>
      <c r="E17" s="58"/>
      <c r="F17" s="58"/>
      <c r="G17" s="61" t="str">
        <f>HYPERLINK("https://twitter.com/TNDeptofHealth/status/1239989894207987712","Source")</f>
        <v>Source</v>
      </c>
      <c r="H17" s="50"/>
      <c r="I17" s="33"/>
      <c r="J17" s="33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ht="27.75" customHeight="1">
      <c r="A18" s="52" t="s">
        <v>168</v>
      </c>
      <c r="B18" s="54">
        <v>72.0</v>
      </c>
      <c r="C18" s="56">
        <v>0.0</v>
      </c>
      <c r="D18" s="60"/>
      <c r="E18" s="58"/>
      <c r="F18" s="60">
        <v>1.0</v>
      </c>
      <c r="G18" s="61" t="str">
        <f>HYPERLINK("https://www.dhs.wisconsin.gov/outbreaks/index.htm","Source")</f>
        <v>Source</v>
      </c>
      <c r="H18" s="50"/>
      <c r="I18" s="33"/>
      <c r="J18" s="33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</row>
    <row r="19" ht="27.75" customHeight="1">
      <c r="A19" s="52" t="s">
        <v>171</v>
      </c>
      <c r="B19" s="54">
        <v>68.0</v>
      </c>
      <c r="C19" s="56">
        <v>0.0</v>
      </c>
      <c r="D19" s="60"/>
      <c r="E19" s="58"/>
      <c r="F19" s="58"/>
      <c r="G19" s="61" t="str">
        <f>HYPERLINK("https://portal.ct.gov/Coronavirus","Source")</f>
        <v>Source</v>
      </c>
      <c r="H19" s="50"/>
      <c r="I19" s="33"/>
      <c r="J19" s="33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</row>
    <row r="20" ht="27.75" customHeight="1">
      <c r="A20" s="52" t="s">
        <v>174</v>
      </c>
      <c r="B20" s="54">
        <v>67.0</v>
      </c>
      <c r="C20" s="56">
        <v>0.0</v>
      </c>
      <c r="D20" s="60"/>
      <c r="E20" s="58"/>
      <c r="F20" s="58"/>
      <c r="G20" s="61" t="str">
        <f>HYPERLINK("https://twitter.com/GovMikeDeWine/status/1239612658212573184","Source")</f>
        <v>Source</v>
      </c>
      <c r="H20" s="50"/>
      <c r="I20" s="33"/>
      <c r="J20" s="33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ht="30.0" customHeight="1">
      <c r="A21" s="63" t="s">
        <v>175</v>
      </c>
      <c r="B21" s="64">
        <v>67.0</v>
      </c>
      <c r="C21" s="64">
        <v>2.0</v>
      </c>
      <c r="D21" s="73"/>
      <c r="E21" s="68"/>
      <c r="F21" s="68"/>
      <c r="G21" s="67" t="str">
        <f>HYPERLINK("https://twitter.com/GovernorVA/status/1239628486303723525","Source")</f>
        <v>Source</v>
      </c>
      <c r="H21" s="50"/>
      <c r="I21" s="33"/>
      <c r="J21" s="33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</row>
    <row r="22" ht="27.75" customHeight="1">
      <c r="A22" s="52" t="s">
        <v>176</v>
      </c>
      <c r="B22" s="54">
        <v>65.0</v>
      </c>
      <c r="C22" s="56">
        <v>0.0</v>
      </c>
      <c r="D22" s="60"/>
      <c r="E22" s="58"/>
      <c r="F22" s="58"/>
      <c r="G22" s="61" t="str">
        <f>HYPERLINK("https://www.michigan.gov/coronavirus/0,9753,7-406-98163-520743--,00.html","Source")</f>
        <v>Source</v>
      </c>
      <c r="H22" s="50"/>
      <c r="I22" s="33"/>
      <c r="J22" s="33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</row>
    <row r="23" ht="27.75" customHeight="1">
      <c r="A23" s="52" t="s">
        <v>177</v>
      </c>
      <c r="B23" s="54">
        <v>65.0</v>
      </c>
      <c r="C23" s="56">
        <v>1.0</v>
      </c>
      <c r="D23" s="60"/>
      <c r="E23" s="58"/>
      <c r="F23" s="58"/>
      <c r="G23" s="61" t="str">
        <f>HYPERLINK("https://www.oregon.gov/oha/PH/DISEASESCONDITIONS/DISEASESAZ/Pages/emerging-respiratory-infections.aspx","Source")</f>
        <v>Source</v>
      </c>
      <c r="H23" s="50"/>
      <c r="I23" s="33"/>
      <c r="J23" s="33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</row>
    <row r="24" ht="30.0" customHeight="1">
      <c r="A24" s="63" t="s">
        <v>178</v>
      </c>
      <c r="B24" s="65">
        <v>64.0</v>
      </c>
      <c r="C24" s="65">
        <v>2.0</v>
      </c>
      <c r="D24" s="66"/>
      <c r="E24" s="66">
        <v>1.0</v>
      </c>
      <c r="F24" s="68"/>
      <c r="G24" s="67" t="str">
        <f>HYPERLINK("https://twitter.com/TarrantCountyTX/status/1240085721966350339","Source")</f>
        <v>Source</v>
      </c>
      <c r="H24" s="50"/>
      <c r="I24" s="33"/>
      <c r="J24" s="33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</row>
    <row r="25" ht="30.0" customHeight="1">
      <c r="A25" s="63" t="s">
        <v>179</v>
      </c>
      <c r="B25" s="64">
        <v>60.0</v>
      </c>
      <c r="C25" s="64">
        <v>0.0</v>
      </c>
      <c r="D25" s="73"/>
      <c r="E25" s="66">
        <v>1.0</v>
      </c>
      <c r="F25" s="66"/>
      <c r="G25" s="67" t="str">
        <f>HYPERLINK("https://www.health.state.mn.us/diseases/coronavirus/situation.html","Source")</f>
        <v>Source</v>
      </c>
      <c r="H25" s="50"/>
      <c r="I25" s="33"/>
      <c r="J25" s="33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</row>
    <row r="26" ht="27.75" customHeight="1">
      <c r="A26" s="52" t="s">
        <v>180</v>
      </c>
      <c r="B26" s="54">
        <v>57.0</v>
      </c>
      <c r="C26" s="56">
        <v>0.0</v>
      </c>
      <c r="D26" s="60"/>
      <c r="E26" s="60"/>
      <c r="F26" s="60">
        <v>0.0</v>
      </c>
      <c r="G26" s="61" t="str">
        <f>HYPERLINK("https://coronavirus.maryland.gov/","Source")</f>
        <v>Source</v>
      </c>
      <c r="H26" s="50"/>
      <c r="I26" s="33"/>
      <c r="J26" s="33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</row>
    <row r="27" ht="33.0" customHeight="1">
      <c r="A27" s="52" t="s">
        <v>181</v>
      </c>
      <c r="B27" s="54">
        <v>46.0</v>
      </c>
      <c r="C27" s="56">
        <v>0.0</v>
      </c>
      <c r="D27" s="60"/>
      <c r="E27" s="58"/>
      <c r="F27" s="60">
        <v>2.0</v>
      </c>
      <c r="G27" s="61" t="str">
        <f>HYPERLINK("https://www.cdc.gov/coronavirus/2019-ncov/cases-in-us.html","Source")</f>
        <v>Source</v>
      </c>
      <c r="H27" s="50"/>
      <c r="I27" s="33"/>
      <c r="J27" s="33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</row>
    <row r="28" ht="27.75" customHeight="1">
      <c r="A28" s="52" t="s">
        <v>182</v>
      </c>
      <c r="B28" s="54">
        <v>55.0</v>
      </c>
      <c r="C28" s="56">
        <v>1.0</v>
      </c>
      <c r="D28" s="60"/>
      <c r="E28" s="58"/>
      <c r="F28" s="58"/>
      <c r="G28" s="61" t="str">
        <f>HYPERLINK("https://thenevadaindependent.com/article/live-blog-no-more-coronavirus-cases-in-washoe-reported-as-health-officials-identify-test-close-contacts","Source")</f>
        <v>Source</v>
      </c>
      <c r="H28" s="50"/>
      <c r="I28" s="33"/>
      <c r="J28" s="33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ht="30.0" customHeight="1">
      <c r="A29" s="63" t="s">
        <v>183</v>
      </c>
      <c r="B29" s="64">
        <v>51.0</v>
      </c>
      <c r="C29" s="64">
        <v>0.0</v>
      </c>
      <c r="D29" s="73"/>
      <c r="E29" s="68"/>
      <c r="F29" s="68"/>
      <c r="G29" s="67" t="str">
        <f>HYPERLINK("https://coronavirus.utah.gov/latest/","Source")</f>
        <v>Source</v>
      </c>
      <c r="H29" s="50"/>
      <c r="I29" s="33"/>
      <c r="J29" s="33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</row>
    <row r="30" ht="30.0" customHeight="1">
      <c r="A30" s="63" t="s">
        <v>184</v>
      </c>
      <c r="B30" s="64">
        <v>47.0</v>
      </c>
      <c r="C30" s="64">
        <v>1.0</v>
      </c>
      <c r="D30" s="73"/>
      <c r="E30" s="68"/>
      <c r="F30" s="68"/>
      <c r="G30" s="67" t="str">
        <f>HYPERLINK("https://www.scdhec.gov/news-releases/dhec-announces-additional-14-cases-2019-novel-coronavirus-south-carolina","Source")</f>
        <v>Source</v>
      </c>
      <c r="H30" s="50"/>
      <c r="I30" s="33"/>
      <c r="J30" s="33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</row>
    <row r="31" ht="30.0" customHeight="1">
      <c r="A31" s="63" t="s">
        <v>185</v>
      </c>
      <c r="B31" s="64">
        <v>40.0</v>
      </c>
      <c r="C31" s="64">
        <v>0.0</v>
      </c>
      <c r="D31" s="73"/>
      <c r="E31" s="68"/>
      <c r="F31" s="68"/>
      <c r="G31" s="67" t="str">
        <f>HYPERLINK("https://www.ncdhhs.gov/covid-19-case-count-nc","Source")</f>
        <v>Source</v>
      </c>
      <c r="H31" s="50"/>
      <c r="I31" s="33"/>
      <c r="J31" s="33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2" ht="27.75" customHeight="1">
      <c r="A32" s="52" t="s">
        <v>186</v>
      </c>
      <c r="B32" s="54">
        <v>39.0</v>
      </c>
      <c r="C32" s="56">
        <v>0.0</v>
      </c>
      <c r="D32" s="60"/>
      <c r="E32" s="58"/>
      <c r="F32" s="58"/>
      <c r="G32" s="61" t="str">
        <f>HYPERLINK("http://alabamapublichealth.gov/infectiousdiseases/2019-coronavirus.html","Source")</f>
        <v>Source</v>
      </c>
      <c r="H32" s="50"/>
      <c r="I32" s="33"/>
      <c r="J32" s="33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</row>
    <row r="33" ht="27.75" customHeight="1">
      <c r="A33" s="52" t="s">
        <v>187</v>
      </c>
      <c r="B33" s="54">
        <v>32.0</v>
      </c>
      <c r="C33" s="56">
        <v>0.0</v>
      </c>
      <c r="D33" s="60"/>
      <c r="E33" s="58"/>
      <c r="F33" s="58"/>
      <c r="G33" s="61" t="str">
        <f>HYPERLINK("https://www.maine.gov/dhhs/mecdc/infectious-disease/epi/airborne/coronavirus.shtml","Source")</f>
        <v>Source</v>
      </c>
      <c r="H33" s="50"/>
      <c r="I33" s="33"/>
      <c r="J33" s="33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</row>
    <row r="34" ht="27.75" customHeight="1">
      <c r="A34" s="52" t="s">
        <v>188</v>
      </c>
      <c r="B34" s="54">
        <v>31.0</v>
      </c>
      <c r="C34" s="56">
        <v>0.0</v>
      </c>
      <c r="D34" s="60"/>
      <c r="E34" s="58"/>
      <c r="F34" s="58"/>
      <c r="G34" s="61" t="str">
        <f>HYPERLINK("https://twitter.com/MayorBowser/status/1240057350884667392","Source")</f>
        <v>Source</v>
      </c>
      <c r="H34" s="50"/>
      <c r="I34" s="33"/>
      <c r="J34" s="33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</row>
    <row r="35" ht="30.0" customHeight="1">
      <c r="A35" s="63" t="s">
        <v>190</v>
      </c>
      <c r="B35" s="64">
        <v>30.0</v>
      </c>
      <c r="C35" s="64">
        <v>2.0</v>
      </c>
      <c r="D35" s="73"/>
      <c r="E35" s="68"/>
      <c r="F35" s="68"/>
      <c r="G35" s="67" t="str">
        <f>HYPERLINK("https://twitter.com/DWilliamsTV/status/1239911445145493505","Source")</f>
        <v>Source</v>
      </c>
      <c r="H35" s="50"/>
      <c r="I35" s="33"/>
      <c r="J35" s="33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</row>
    <row r="36" ht="27.75" customHeight="1">
      <c r="A36" s="52" t="s">
        <v>192</v>
      </c>
      <c r="B36" s="54">
        <v>29.0</v>
      </c>
      <c r="C36" s="56">
        <v>0.0</v>
      </c>
      <c r="D36" s="60"/>
      <c r="E36" s="58"/>
      <c r="F36" s="58"/>
      <c r="G36" s="61" t="str">
        <f>HYPERLINK("https://idph.iowa.gov/News/ArtMID/646/ArticleID/158310/Additional-COVID-19-Cases-in-Iowa#.XnFkAygATqA.twitter","Source")</f>
        <v>Source</v>
      </c>
      <c r="H36" s="50"/>
      <c r="I36" s="33"/>
      <c r="J36" s="33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ht="27.75" customHeight="1">
      <c r="A37" s="52" t="s">
        <v>194</v>
      </c>
      <c r="B37" s="54">
        <v>26.0</v>
      </c>
      <c r="C37" s="56">
        <v>1.0</v>
      </c>
      <c r="D37" s="60"/>
      <c r="E37" s="58"/>
      <c r="F37" s="58"/>
      <c r="G37" s="61" t="str">
        <f>HYPERLINK("https://govstatus.egov.com/kycovid19","Source")</f>
        <v>Source</v>
      </c>
      <c r="H37" s="50"/>
      <c r="I37" s="33"/>
      <c r="J37" s="33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</row>
    <row r="38" ht="30.0" customHeight="1">
      <c r="A38" s="63" t="s">
        <v>197</v>
      </c>
      <c r="B38" s="64">
        <v>26.0</v>
      </c>
      <c r="C38" s="65">
        <v>0.0</v>
      </c>
      <c r="D38" s="66"/>
      <c r="E38" s="68"/>
      <c r="F38" s="68"/>
      <c r="G38" s="67" t="str">
        <f>HYPERLINK("https://www.dhhs.nh.gov/media/pr/2020/03172020-covid19-cases.htm","Source")</f>
        <v>Source</v>
      </c>
      <c r="H38" s="50"/>
      <c r="I38" s="33"/>
      <c r="J38" s="33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</row>
    <row r="39" ht="27.75" customHeight="1">
      <c r="A39" s="52" t="s">
        <v>199</v>
      </c>
      <c r="B39" s="54">
        <v>23.0</v>
      </c>
      <c r="C39" s="56">
        <v>0.0</v>
      </c>
      <c r="D39" s="60"/>
      <c r="E39" s="58"/>
      <c r="F39" s="58"/>
      <c r="G39" s="61" t="str">
        <f>HYPERLINK("https://cv.nmhealth.org/","Source")</f>
        <v>Source</v>
      </c>
      <c r="H39" s="50"/>
      <c r="I39" s="33"/>
      <c r="J39" s="33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</row>
    <row r="40" ht="27.75" customHeight="1">
      <c r="A40" s="52" t="s">
        <v>202</v>
      </c>
      <c r="B40" s="54">
        <v>22.0</v>
      </c>
      <c r="C40" s="56">
        <v>0.0</v>
      </c>
      <c r="D40" s="60"/>
      <c r="E40" s="58"/>
      <c r="F40" s="58"/>
      <c r="G40" s="61" t="str">
        <f>HYPERLINK("https://www.healthy.arkansas.gov/programs-services/topics/novel-coronaviru","Source")</f>
        <v>Source</v>
      </c>
      <c r="H40" s="50"/>
      <c r="I40" s="33"/>
      <c r="J40" s="33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</row>
    <row r="41" ht="27.75" customHeight="1">
      <c r="A41" s="52" t="s">
        <v>204</v>
      </c>
      <c r="B41" s="54">
        <v>21.0</v>
      </c>
      <c r="C41" s="56">
        <v>0.0</v>
      </c>
      <c r="D41" s="60"/>
      <c r="E41" s="58"/>
      <c r="F41" s="58"/>
      <c r="G41" s="61" t="str">
        <f>HYPERLINK("https://www.youtube.com/watch?v=pAsq7-_3XTI","Source")</f>
        <v>Source</v>
      </c>
      <c r="H41" s="50"/>
      <c r="I41" s="33"/>
      <c r="J41" s="33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</row>
    <row r="42" ht="27.75" customHeight="1">
      <c r="A42" s="52" t="s">
        <v>207</v>
      </c>
      <c r="B42" s="54">
        <v>21.0</v>
      </c>
      <c r="C42" s="56">
        <v>0.0</v>
      </c>
      <c r="D42" s="60"/>
      <c r="E42" s="58"/>
      <c r="F42" s="58"/>
      <c r="G42" s="61" t="str">
        <f>HYPERLINK("https://twitter.com/plittletvguy/status/1239564563869323264","Source")</f>
        <v>Source</v>
      </c>
      <c r="H42" s="50"/>
      <c r="I42" s="33"/>
      <c r="J42" s="33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</row>
    <row r="43" ht="27.75" customHeight="1">
      <c r="A43" s="52" t="s">
        <v>210</v>
      </c>
      <c r="B43" s="54">
        <v>21.0</v>
      </c>
      <c r="C43" s="56">
        <v>0.0</v>
      </c>
      <c r="D43" s="60"/>
      <c r="E43" s="58"/>
      <c r="F43" s="58"/>
      <c r="G43" s="61" t="str">
        <f>HYPERLINK("https://twitter.com/NEDHHS/status/1239357790478622721","Source")</f>
        <v>Source</v>
      </c>
      <c r="H43" s="50"/>
      <c r="I43" s="33"/>
      <c r="J43" s="33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</row>
    <row r="44" ht="27.75" customHeight="1">
      <c r="A44" s="52" t="s">
        <v>212</v>
      </c>
      <c r="B44" s="54">
        <v>21.0</v>
      </c>
      <c r="C44" s="56">
        <v>0.0</v>
      </c>
      <c r="D44" s="60"/>
      <c r="E44" s="58"/>
      <c r="F44" s="58"/>
      <c r="G44" s="61" t="str">
        <f>HYPERLINK("https://msdh.ms.gov/msdhsite/_static/14,0,420.html","Source")</f>
        <v>Source</v>
      </c>
      <c r="H44" s="50"/>
      <c r="I44" s="33"/>
      <c r="J44" s="33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</row>
    <row r="45" ht="27.75" customHeight="1">
      <c r="A45" s="52" t="s">
        <v>213</v>
      </c>
      <c r="B45" s="54">
        <v>20.0</v>
      </c>
      <c r="C45" s="56">
        <v>0.0</v>
      </c>
      <c r="D45" s="60"/>
      <c r="E45" s="58"/>
      <c r="F45" s="60">
        <v>1.0</v>
      </c>
      <c r="G45" s="61" t="str">
        <f>HYPERLINK("https://www.azdhs.gov/preparedness/epidemiology-disease-control/infectious-disease-epidemiology/index.php#novel-coronavirus-home","Source")</f>
        <v>Source</v>
      </c>
      <c r="H45" s="50"/>
      <c r="I45" s="33"/>
      <c r="J45" s="33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</row>
    <row r="46" ht="30.0" customHeight="1">
      <c r="A46" s="63" t="s">
        <v>214</v>
      </c>
      <c r="B46" s="64">
        <v>17.0</v>
      </c>
      <c r="C46" s="64">
        <v>0.0</v>
      </c>
      <c r="D46" s="73"/>
      <c r="E46" s="68"/>
      <c r="F46" s="68"/>
      <c r="G46" s="67" t="str">
        <f>HYPERLINK("https://www.healthvermont.gov/media/newsroom/vermont-reports-additional-four-cases-new-coronavirus-covid-19","Source")</f>
        <v>Source</v>
      </c>
      <c r="H46" s="50"/>
      <c r="I46" s="33"/>
      <c r="J46" s="33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</row>
    <row r="47" ht="30.0" customHeight="1">
      <c r="A47" s="63" t="s">
        <v>215</v>
      </c>
      <c r="B47" s="64">
        <v>17.0</v>
      </c>
      <c r="C47" s="64">
        <v>0.0</v>
      </c>
      <c r="D47" s="73"/>
      <c r="E47" s="68"/>
      <c r="F47" s="68"/>
      <c r="G47" s="67" t="str">
        <f>HYPERLINK("https://coronavirus.health.ok.gov/articles/situation-update-covid-19-03172020","Source")</f>
        <v>Source</v>
      </c>
      <c r="H47" s="50"/>
      <c r="I47" s="33"/>
      <c r="J47" s="33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</row>
    <row r="48" ht="30.0" customHeight="1">
      <c r="A48" s="63" t="s">
        <v>216</v>
      </c>
      <c r="B48" s="64">
        <v>16.0</v>
      </c>
      <c r="C48" s="64">
        <v>1.0</v>
      </c>
      <c r="D48" s="73"/>
      <c r="E48" s="68"/>
      <c r="F48" s="68"/>
      <c r="G48" s="67" t="str">
        <f>HYPERLINK("https://www.kansas.com/news/coronavirus/article241263346.html","Source")</f>
        <v>Source</v>
      </c>
      <c r="H48" s="50"/>
      <c r="I48" s="33"/>
      <c r="J48" s="33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</row>
    <row r="49" ht="27.75" customHeight="1">
      <c r="A49" s="52" t="s">
        <v>217</v>
      </c>
      <c r="B49" s="54">
        <v>16.0</v>
      </c>
      <c r="C49" s="56">
        <v>0.0</v>
      </c>
      <c r="D49" s="60"/>
      <c r="E49" s="58"/>
      <c r="F49" s="58"/>
      <c r="G49" s="61" t="str">
        <f>HYPERLINK("https://dhss.delaware.gov/dhss/dph/epi/2019novelcoronavirus.html","Source")</f>
        <v>Source</v>
      </c>
      <c r="H49" s="50"/>
      <c r="I49" s="33"/>
      <c r="J49" s="33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</row>
    <row r="50" ht="27.75" customHeight="1">
      <c r="A50" s="52" t="s">
        <v>218</v>
      </c>
      <c r="B50" s="54">
        <v>14.0</v>
      </c>
      <c r="C50" s="56">
        <v>0.0</v>
      </c>
      <c r="D50" s="60"/>
      <c r="E50" s="58"/>
      <c r="F50" s="58"/>
      <c r="G50" s="61" t="str">
        <f>HYPERLINK("https://www.staradvertiser.com/2020/03/17/breaking-news/hawaii-records-4-more-cases-of-coronavirus-including-big-islands-first-case/","Source")</f>
        <v>Source</v>
      </c>
      <c r="H50" s="50"/>
      <c r="I50" s="33"/>
      <c r="J50" s="33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</row>
    <row r="51" ht="30.0" customHeight="1">
      <c r="A51" s="63" t="s">
        <v>219</v>
      </c>
      <c r="B51" s="64">
        <v>13.0</v>
      </c>
      <c r="C51" s="64">
        <v>0.0</v>
      </c>
      <c r="D51" s="73"/>
      <c r="E51" s="68"/>
      <c r="F51" s="68"/>
      <c r="G51" s="67" t="str">
        <f>HYPERLINK("https://health.mo.gov/living/healthcondiseases/communicable/novel-coronavirus/","Source")</f>
        <v>Source</v>
      </c>
      <c r="H51" s="50"/>
      <c r="I51" s="33"/>
      <c r="J51" s="33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</row>
    <row r="52" ht="27.75" customHeight="1">
      <c r="A52" s="52" t="s">
        <v>222</v>
      </c>
      <c r="B52" s="54">
        <v>11.0</v>
      </c>
      <c r="C52" s="56">
        <v>1.0</v>
      </c>
      <c r="D52" s="60"/>
      <c r="E52" s="58"/>
      <c r="F52" s="58"/>
      <c r="G52" s="61" t="str">
        <f>HYPERLINK("https://doh.sd.gov/news/coronavirus.aspx","Source")</f>
        <v>Source</v>
      </c>
      <c r="H52" s="50"/>
      <c r="I52" s="33"/>
      <c r="J52" s="33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</row>
    <row r="53" ht="27.75" customHeight="1">
      <c r="A53" s="52" t="s">
        <v>224</v>
      </c>
      <c r="B53" s="54">
        <v>11.0</v>
      </c>
      <c r="C53" s="56">
        <v>0.0</v>
      </c>
      <c r="D53" s="60"/>
      <c r="E53" s="58"/>
      <c r="F53" s="58"/>
      <c r="G53" s="61" t="str">
        <f>HYPERLINK("https://health.wyo.gov/wyomings-coronavirus-case-count-goes-up/","Source")</f>
        <v>Source</v>
      </c>
      <c r="H53" s="50"/>
      <c r="I53" s="33"/>
      <c r="J53" s="33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</row>
    <row r="54" ht="27.75" customHeight="1">
      <c r="A54" s="52" t="s">
        <v>226</v>
      </c>
      <c r="B54" s="54">
        <v>9.0</v>
      </c>
      <c r="C54" s="56">
        <v>0.0</v>
      </c>
      <c r="D54" s="60"/>
      <c r="E54" s="58"/>
      <c r="F54" s="58"/>
      <c r="G54" s="61" t="str">
        <f>HYPERLINK("https://dphhs.mt.gov/publichealth/cdepi/diseases/coronavirusmt","Source")</f>
        <v>Source</v>
      </c>
      <c r="H54" s="50"/>
      <c r="I54" s="33"/>
      <c r="J54" s="33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</row>
    <row r="55" ht="27.75" customHeight="1">
      <c r="A55" s="52" t="s">
        <v>228</v>
      </c>
      <c r="B55" s="54">
        <v>9.0</v>
      </c>
      <c r="C55" s="56">
        <v>0.0</v>
      </c>
      <c r="D55" s="60"/>
      <c r="E55" s="58"/>
      <c r="F55" s="58"/>
      <c r="G55" s="61" t="str">
        <f>HYPERLINK("https://coronavirus.idaho.gov/","Source")</f>
        <v>Source</v>
      </c>
      <c r="H55" s="50"/>
      <c r="I55" s="33"/>
      <c r="J55" s="33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</row>
    <row r="56" ht="27.75" customHeight="1">
      <c r="A56" s="52" t="s">
        <v>231</v>
      </c>
      <c r="B56" s="54">
        <v>5.0</v>
      </c>
      <c r="C56" s="56">
        <v>0.0</v>
      </c>
      <c r="D56" s="60"/>
      <c r="E56" s="58"/>
      <c r="F56" s="58"/>
      <c r="G56" s="61" t="str">
        <f>HYPERLINK("https://twitter.com/DeptSaludPR/status/1239581678860939267","Source")</f>
        <v>Source</v>
      </c>
      <c r="H56" s="50"/>
      <c r="I56" s="33"/>
      <c r="J56" s="33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</row>
    <row r="57" ht="27.75" customHeight="1">
      <c r="A57" s="52" t="s">
        <v>233</v>
      </c>
      <c r="B57" s="54">
        <v>5.0</v>
      </c>
      <c r="C57" s="56">
        <v>0.0</v>
      </c>
      <c r="D57" s="60"/>
      <c r="E57" s="58"/>
      <c r="F57" s="58"/>
      <c r="G57" s="61" t="str">
        <f>HYPERLINK("https://www.kuam.com/story/41903331/two-new-confirmed-cases-of-covid19-on-guam","Source")</f>
        <v>Source</v>
      </c>
      <c r="H57" s="50"/>
      <c r="I57" s="33"/>
      <c r="J57" s="33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</row>
    <row r="58" ht="27.75" customHeight="1">
      <c r="A58" s="52" t="s">
        <v>236</v>
      </c>
      <c r="B58" s="54">
        <v>5.0</v>
      </c>
      <c r="C58" s="56">
        <v>0.0</v>
      </c>
      <c r="D58" s="60"/>
      <c r="E58" s="58"/>
      <c r="F58" s="58"/>
      <c r="G58" s="61" t="str">
        <f>HYPERLINK("https://www.health.nd.gov/diseases-conditions/coronavirus/north-dakota-coronavirus-cases","Source")</f>
        <v>Source</v>
      </c>
      <c r="H58" s="50"/>
      <c r="I58" s="33"/>
      <c r="J58" s="33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</row>
    <row r="59" ht="27.75" customHeight="1">
      <c r="A59" s="52" t="s">
        <v>239</v>
      </c>
      <c r="B59" s="54">
        <v>3.0</v>
      </c>
      <c r="C59" s="56">
        <v>0.0</v>
      </c>
      <c r="D59" s="60"/>
      <c r="E59" s="58"/>
      <c r="F59" s="58"/>
      <c r="G59" s="94"/>
      <c r="H59" s="50"/>
      <c r="I59" s="33"/>
      <c r="J59" s="33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</row>
    <row r="60" ht="27.75" customHeight="1">
      <c r="A60" s="52" t="s">
        <v>240</v>
      </c>
      <c r="B60" s="54">
        <v>3.0</v>
      </c>
      <c r="C60" s="56">
        <v>0.0</v>
      </c>
      <c r="D60" s="60"/>
      <c r="E60" s="58"/>
      <c r="F60" s="58"/>
      <c r="G60" s="61" t="str">
        <f>HYPERLINK("https://bnonews.com/wp-content/uploads/2020/03/3172020AKCases.png","Source")</f>
        <v>Source</v>
      </c>
      <c r="H60" s="50"/>
      <c r="I60" s="33"/>
      <c r="J60" s="33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</row>
    <row r="61" ht="27.75" customHeight="1">
      <c r="A61" s="52" t="s">
        <v>241</v>
      </c>
      <c r="B61" s="54">
        <v>2.0</v>
      </c>
      <c r="C61" s="56">
        <v>0.0</v>
      </c>
      <c r="D61" s="60"/>
      <c r="E61" s="58"/>
      <c r="F61" s="58"/>
      <c r="G61" s="61" t="str">
        <f>HYPERLINK("https://doh.vi.gov/news/second-positive-corona-virus-case-virgin-islands","Source")</f>
        <v>Source</v>
      </c>
      <c r="H61" s="50"/>
      <c r="I61" s="33"/>
      <c r="J61" s="33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</row>
    <row r="62" ht="27.75" customHeight="1">
      <c r="A62" s="52" t="s">
        <v>242</v>
      </c>
      <c r="B62" s="54">
        <v>1.0</v>
      </c>
      <c r="C62" s="56">
        <v>0.0</v>
      </c>
      <c r="D62" s="60"/>
      <c r="E62" s="58"/>
      <c r="F62" s="58"/>
      <c r="G62" s="61" t="str">
        <f>HYPERLINK("https://www.youtube.com/watch?v=XnDZGccKTaw","Source")</f>
        <v>Source</v>
      </c>
      <c r="H62" s="50"/>
      <c r="I62" s="33"/>
      <c r="J62" s="33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</row>
    <row r="63" ht="27.75" customHeight="1">
      <c r="A63" s="52" t="s">
        <v>243</v>
      </c>
      <c r="B63" s="54">
        <v>0.0</v>
      </c>
      <c r="C63" s="56">
        <v>0.0</v>
      </c>
      <c r="D63" s="60"/>
      <c r="E63" s="58"/>
      <c r="F63" s="58"/>
      <c r="G63" s="96"/>
      <c r="H63" s="50"/>
      <c r="I63" s="33"/>
      <c r="J63" s="33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</row>
    <row r="64" ht="27.75" customHeight="1">
      <c r="A64" s="52" t="s">
        <v>244</v>
      </c>
      <c r="B64" s="54">
        <v>0.0</v>
      </c>
      <c r="C64" s="56">
        <v>0.0</v>
      </c>
      <c r="D64" s="60"/>
      <c r="E64" s="58"/>
      <c r="F64" s="58"/>
      <c r="G64" s="96"/>
      <c r="H64" s="50"/>
      <c r="I64" s="33"/>
      <c r="J64" s="33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</row>
    <row r="65" ht="27.75" customHeight="1">
      <c r="A65" s="97"/>
      <c r="B65" s="98">
        <v>130.0</v>
      </c>
      <c r="C65" s="99"/>
      <c r="D65" s="100"/>
      <c r="E65" s="101"/>
      <c r="F65" s="101"/>
      <c r="G65" s="102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</row>
    <row r="66" ht="30.0" customHeight="1">
      <c r="A66" s="78" t="s">
        <v>258</v>
      </c>
      <c r="B66" s="79">
        <f t="shared" ref="B66:C66" si="2">SUM(B6:B65)</f>
        <v>6329</v>
      </c>
      <c r="C66" s="79">
        <f t="shared" si="2"/>
        <v>107</v>
      </c>
      <c r="D66" s="79">
        <f t="shared" ref="D66:F66" si="3">SUM(D6:D64)</f>
        <v>60</v>
      </c>
      <c r="E66" s="79">
        <f t="shared" si="3"/>
        <v>4</v>
      </c>
      <c r="F66" s="79">
        <f t="shared" si="3"/>
        <v>8</v>
      </c>
      <c r="G66" s="80"/>
      <c r="H66" s="33"/>
      <c r="I66" s="33"/>
      <c r="J66" s="33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</row>
    <row r="67">
      <c r="A67" s="78"/>
      <c r="B67" s="81"/>
      <c r="C67" s="81"/>
      <c r="D67" s="81"/>
      <c r="E67" s="81"/>
      <c r="F67" s="81"/>
      <c r="G67" s="80"/>
      <c r="H67" s="26"/>
      <c r="I67" s="26"/>
      <c r="J67" s="26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85"/>
      <c r="B68" s="86"/>
      <c r="C68" s="87"/>
      <c r="D68" s="87"/>
      <c r="E68" s="87"/>
      <c r="F68" s="87"/>
      <c r="G68" s="4"/>
      <c r="H68" s="26"/>
      <c r="I68" s="26"/>
      <c r="J68" s="26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88"/>
      <c r="B69" s="87"/>
      <c r="C69" s="87"/>
      <c r="D69" s="87"/>
      <c r="E69" s="87"/>
      <c r="F69" s="87"/>
      <c r="G69" s="4"/>
      <c r="H69" s="26"/>
      <c r="I69" s="26"/>
      <c r="J69" s="26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88"/>
      <c r="B70" s="87"/>
      <c r="C70" s="87"/>
      <c r="D70" s="87"/>
      <c r="E70" s="87"/>
      <c r="F70" s="8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</sheetData>
  <mergeCells count="5">
    <mergeCell ref="A1:F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</cols>
  <sheetData>
    <row r="1">
      <c r="A1" s="1"/>
      <c r="B1" s="3"/>
      <c r="C1" s="3"/>
    </row>
    <row r="2">
      <c r="A2" s="3"/>
      <c r="B2" s="3"/>
      <c r="C2" s="3"/>
    </row>
    <row r="3">
      <c r="A3" s="5"/>
      <c r="B3" s="3"/>
      <c r="C3" s="3"/>
    </row>
    <row r="4">
      <c r="A4" s="7"/>
      <c r="B4" s="3"/>
      <c r="C4" s="3"/>
    </row>
    <row r="5">
      <c r="A5" s="3"/>
      <c r="B5" s="3"/>
      <c r="C5" s="3"/>
    </row>
    <row r="6">
      <c r="A6" s="9" t="s">
        <v>3</v>
      </c>
      <c r="B6" s="11" t="s">
        <v>4</v>
      </c>
      <c r="C6" s="11" t="s">
        <v>5</v>
      </c>
    </row>
    <row r="7">
      <c r="A7" s="13" t="s">
        <v>6</v>
      </c>
      <c r="B7" s="15">
        <v>81860.0</v>
      </c>
      <c r="C7" s="15">
        <v>3213.0</v>
      </c>
    </row>
    <row r="8">
      <c r="A8" s="16" t="s">
        <v>7</v>
      </c>
      <c r="B8" s="17">
        <v>29980.0</v>
      </c>
      <c r="C8" s="17">
        <v>2158.0</v>
      </c>
    </row>
    <row r="9">
      <c r="A9" s="13" t="s">
        <v>10</v>
      </c>
      <c r="B9" s="15">
        <v>14991.0</v>
      </c>
      <c r="C9" s="19">
        <v>853.0</v>
      </c>
    </row>
    <row r="10">
      <c r="A10" s="16" t="s">
        <v>12</v>
      </c>
      <c r="B10" s="17">
        <v>9942.0</v>
      </c>
      <c r="C10" s="21">
        <v>342.0</v>
      </c>
    </row>
    <row r="11">
      <c r="A11" s="13" t="s">
        <v>13</v>
      </c>
      <c r="B11" s="15">
        <v>8236.0</v>
      </c>
      <c r="C11" s="19">
        <v>75.0</v>
      </c>
    </row>
    <row r="12">
      <c r="A12" s="16" t="s">
        <v>14</v>
      </c>
      <c r="B12" s="17">
        <v>7272.0</v>
      </c>
      <c r="C12" s="21">
        <v>17.0</v>
      </c>
    </row>
    <row r="13">
      <c r="A13" s="13" t="s">
        <v>15</v>
      </c>
      <c r="B13" s="15">
        <v>6653.0</v>
      </c>
      <c r="C13" s="19">
        <v>148.0</v>
      </c>
    </row>
    <row r="14">
      <c r="A14" s="16" t="s">
        <v>16</v>
      </c>
      <c r="B14" s="17">
        <v>4525.0</v>
      </c>
      <c r="C14" s="21">
        <v>81.0</v>
      </c>
    </row>
    <row r="15">
      <c r="A15" s="13" t="s">
        <v>17</v>
      </c>
      <c r="B15" s="15">
        <v>2200.0</v>
      </c>
      <c r="C15" s="19">
        <v>14.0</v>
      </c>
    </row>
    <row r="16">
      <c r="A16" s="16" t="s">
        <v>18</v>
      </c>
      <c r="B16" s="17">
        <v>1543.0</v>
      </c>
      <c r="C16" s="21">
        <v>55.0</v>
      </c>
    </row>
    <row r="17">
      <c r="A17" s="13" t="s">
        <v>19</v>
      </c>
      <c r="B17" s="15">
        <v>1413.0</v>
      </c>
      <c r="C17" s="19">
        <v>24.0</v>
      </c>
    </row>
    <row r="18">
      <c r="A18" s="16" t="s">
        <v>20</v>
      </c>
      <c r="B18" s="17">
        <v>1256.0</v>
      </c>
      <c r="C18" s="21">
        <v>3.0</v>
      </c>
    </row>
    <row r="19">
      <c r="A19" s="13" t="s">
        <v>21</v>
      </c>
      <c r="B19" s="15">
        <v>1085.0</v>
      </c>
      <c r="C19" s="19">
        <v>5.0</v>
      </c>
    </row>
    <row r="20">
      <c r="A20" s="16" t="s">
        <v>22</v>
      </c>
      <c r="B20" s="17">
        <v>1032.0</v>
      </c>
      <c r="C20" s="21">
        <v>3.0</v>
      </c>
    </row>
    <row r="21">
      <c r="A21" s="13" t="s">
        <v>23</v>
      </c>
      <c r="B21" s="19">
        <v>959.0</v>
      </c>
      <c r="C21" s="19">
        <v>1.0</v>
      </c>
    </row>
    <row r="22">
      <c r="A22" s="16" t="s">
        <v>24</v>
      </c>
      <c r="B22" s="21">
        <v>932.0</v>
      </c>
      <c r="C22" s="21">
        <v>1.0</v>
      </c>
    </row>
    <row r="23">
      <c r="A23" s="13" t="s">
        <v>25</v>
      </c>
      <c r="B23" s="19">
        <v>818.0</v>
      </c>
      <c r="C23" s="19">
        <v>24.0</v>
      </c>
    </row>
    <row r="24">
      <c r="A24" s="16" t="s">
        <v>26</v>
      </c>
      <c r="B24" s="21">
        <v>697.0</v>
      </c>
      <c r="C24" s="21">
        <v>7.0</v>
      </c>
    </row>
    <row r="25">
      <c r="A25" s="13" t="s">
        <v>27</v>
      </c>
      <c r="B25" s="19">
        <v>553.0</v>
      </c>
      <c r="C25" s="19">
        <v>0.0</v>
      </c>
    </row>
    <row r="26">
      <c r="A26" s="16" t="s">
        <v>28</v>
      </c>
      <c r="B26" s="21">
        <v>401.0</v>
      </c>
      <c r="C26" s="21">
        <v>0.0</v>
      </c>
    </row>
    <row r="27">
      <c r="A27" s="13" t="s">
        <v>29</v>
      </c>
      <c r="B27" s="19">
        <v>373.0</v>
      </c>
      <c r="C27" s="19">
        <v>4.0</v>
      </c>
    </row>
    <row r="28">
      <c r="A28" s="16" t="s">
        <v>30</v>
      </c>
      <c r="B28" s="21">
        <v>383.0</v>
      </c>
      <c r="C28" s="21">
        <v>5.0</v>
      </c>
    </row>
    <row r="29">
      <c r="A29" s="13" t="s">
        <v>31</v>
      </c>
      <c r="B29" s="19">
        <v>331.0</v>
      </c>
      <c r="C29" s="19">
        <v>4.0</v>
      </c>
    </row>
    <row r="30">
      <c r="A30" s="16" t="s">
        <v>32</v>
      </c>
      <c r="B30" s="21">
        <v>331.0</v>
      </c>
      <c r="C30" s="21">
        <v>1.0</v>
      </c>
    </row>
    <row r="31">
      <c r="A31" s="13" t="s">
        <v>33</v>
      </c>
      <c r="B31" s="19">
        <v>298.0</v>
      </c>
      <c r="C31" s="19">
        <v>0.0</v>
      </c>
    </row>
    <row r="32">
      <c r="A32" s="16" t="s">
        <v>34</v>
      </c>
      <c r="B32" s="21">
        <v>277.0</v>
      </c>
      <c r="C32" s="21">
        <v>0.0</v>
      </c>
    </row>
    <row r="33">
      <c r="A33" s="13" t="s">
        <v>35</v>
      </c>
      <c r="B33" s="19">
        <v>272.0</v>
      </c>
      <c r="C33" s="19">
        <v>0.0</v>
      </c>
    </row>
    <row r="34">
      <c r="A34" s="16" t="s">
        <v>36</v>
      </c>
      <c r="B34" s="21">
        <v>234.0</v>
      </c>
      <c r="C34" s="21">
        <v>0.0</v>
      </c>
    </row>
    <row r="35">
      <c r="A35" s="13" t="s">
        <v>37</v>
      </c>
      <c r="B35" s="19">
        <v>226.0</v>
      </c>
      <c r="C35" s="19">
        <v>0.0</v>
      </c>
    </row>
    <row r="36">
      <c r="A36" s="16" t="s">
        <v>38</v>
      </c>
      <c r="B36" s="21">
        <v>223.0</v>
      </c>
      <c r="C36" s="21">
        <v>2.0</v>
      </c>
    </row>
    <row r="37">
      <c r="A37" s="13" t="s">
        <v>39</v>
      </c>
      <c r="B37" s="19">
        <v>221.0</v>
      </c>
      <c r="C37" s="19">
        <v>1.0</v>
      </c>
    </row>
    <row r="38">
      <c r="A38" s="16" t="s">
        <v>40</v>
      </c>
      <c r="B38" s="21">
        <v>219.0</v>
      </c>
      <c r="C38" s="21">
        <v>1.0</v>
      </c>
    </row>
    <row r="39">
      <c r="A39" s="13" t="s">
        <v>41</v>
      </c>
      <c r="B39" s="19">
        <v>180.0</v>
      </c>
      <c r="C39" s="19">
        <v>0.0</v>
      </c>
    </row>
    <row r="40">
      <c r="A40" s="16" t="s">
        <v>42</v>
      </c>
      <c r="B40" s="21">
        <v>179.0</v>
      </c>
      <c r="C40" s="21">
        <v>0.0</v>
      </c>
    </row>
    <row r="41">
      <c r="A41" s="13" t="s">
        <v>43</v>
      </c>
      <c r="B41" s="19">
        <v>177.0</v>
      </c>
      <c r="C41" s="19">
        <v>4.0</v>
      </c>
    </row>
    <row r="42">
      <c r="A42" s="16" t="s">
        <v>44</v>
      </c>
      <c r="B42" s="21">
        <v>171.0</v>
      </c>
      <c r="C42" s="21">
        <v>0.0</v>
      </c>
    </row>
    <row r="43">
      <c r="A43" s="13" t="s">
        <v>45</v>
      </c>
      <c r="B43" s="19">
        <v>168.0</v>
      </c>
      <c r="C43" s="19">
        <v>0.0</v>
      </c>
    </row>
    <row r="44">
      <c r="A44" s="16" t="s">
        <v>46</v>
      </c>
      <c r="B44" s="21">
        <v>166.0</v>
      </c>
      <c r="C44" s="21">
        <v>4.0</v>
      </c>
    </row>
    <row r="45">
      <c r="A45" s="13" t="s">
        <v>47</v>
      </c>
      <c r="B45" s="19">
        <v>156.0</v>
      </c>
      <c r="C45" s="19">
        <v>0.0</v>
      </c>
    </row>
    <row r="46">
      <c r="A46" s="16" t="s">
        <v>48</v>
      </c>
      <c r="B46" s="21">
        <v>149.0</v>
      </c>
      <c r="C46" s="21">
        <v>4.0</v>
      </c>
    </row>
    <row r="47">
      <c r="A47" s="13" t="s">
        <v>50</v>
      </c>
      <c r="B47" s="19">
        <v>147.0</v>
      </c>
      <c r="C47" s="19">
        <v>1.0</v>
      </c>
    </row>
    <row r="48">
      <c r="A48" s="16" t="s">
        <v>51</v>
      </c>
      <c r="B48" s="21">
        <v>142.0</v>
      </c>
      <c r="C48" s="21">
        <v>12.0</v>
      </c>
    </row>
    <row r="49">
      <c r="A49" s="13" t="s">
        <v>52</v>
      </c>
      <c r="B49" s="19">
        <v>134.0</v>
      </c>
      <c r="C49" s="19">
        <v>5.0</v>
      </c>
    </row>
    <row r="50">
      <c r="A50" s="16" t="s">
        <v>53</v>
      </c>
      <c r="B50" s="21">
        <v>133.0</v>
      </c>
      <c r="C50" s="21">
        <v>0.0</v>
      </c>
    </row>
    <row r="51">
      <c r="A51" s="13" t="s">
        <v>54</v>
      </c>
      <c r="B51" s="19">
        <v>133.0</v>
      </c>
      <c r="C51" s="19">
        <v>10.0</v>
      </c>
    </row>
    <row r="52">
      <c r="A52" s="16" t="s">
        <v>55</v>
      </c>
      <c r="B52" s="21">
        <v>130.0</v>
      </c>
      <c r="C52" s="21">
        <v>2.0</v>
      </c>
    </row>
    <row r="53">
      <c r="A53" s="13" t="s">
        <v>56</v>
      </c>
      <c r="B53" s="19">
        <v>112.0</v>
      </c>
      <c r="C53" s="19">
        <v>0.0</v>
      </c>
    </row>
    <row r="54">
      <c r="A54" s="16" t="s">
        <v>57</v>
      </c>
      <c r="B54" s="21">
        <v>109.0</v>
      </c>
      <c r="C54" s="21">
        <v>7.0</v>
      </c>
    </row>
    <row r="55">
      <c r="A55" s="13" t="s">
        <v>58</v>
      </c>
      <c r="B55" s="19">
        <v>109.0</v>
      </c>
      <c r="C55" s="19">
        <v>3.0</v>
      </c>
    </row>
    <row r="56">
      <c r="A56" s="16" t="s">
        <v>59</v>
      </c>
      <c r="B56" s="21">
        <v>98.0</v>
      </c>
      <c r="C56" s="21">
        <v>0.0</v>
      </c>
    </row>
    <row r="57">
      <c r="A57" s="13" t="s">
        <v>60</v>
      </c>
      <c r="B57" s="19">
        <v>93.0</v>
      </c>
      <c r="C57" s="19">
        <v>0.0</v>
      </c>
    </row>
    <row r="58">
      <c r="A58" s="16" t="s">
        <v>61</v>
      </c>
      <c r="B58" s="21">
        <v>86.0</v>
      </c>
      <c r="C58" s="21">
        <v>0.0</v>
      </c>
    </row>
    <row r="59">
      <c r="A59" s="13" t="s">
        <v>62</v>
      </c>
      <c r="B59" s="19">
        <v>77.0</v>
      </c>
      <c r="C59" s="19">
        <v>1.0</v>
      </c>
    </row>
    <row r="60">
      <c r="A60" s="16" t="s">
        <v>63</v>
      </c>
      <c r="B60" s="21">
        <v>67.0</v>
      </c>
      <c r="C60" s="21">
        <v>1.0</v>
      </c>
    </row>
    <row r="61">
      <c r="A61" s="13" t="s">
        <v>64</v>
      </c>
      <c r="B61" s="19">
        <v>62.0</v>
      </c>
      <c r="C61" s="19">
        <v>0.0</v>
      </c>
    </row>
    <row r="62">
      <c r="A62" s="16" t="s">
        <v>65</v>
      </c>
      <c r="B62" s="21">
        <v>61.0</v>
      </c>
      <c r="C62" s="21">
        <v>0.0</v>
      </c>
    </row>
    <row r="63">
      <c r="A63" s="13" t="s">
        <v>66</v>
      </c>
      <c r="B63" s="19">
        <v>60.0</v>
      </c>
      <c r="C63" s="19">
        <v>4.0</v>
      </c>
    </row>
    <row r="64">
      <c r="A64" s="16" t="s">
        <v>68</v>
      </c>
      <c r="B64" s="21">
        <v>57.0</v>
      </c>
      <c r="C64" s="21">
        <v>0.0</v>
      </c>
    </row>
    <row r="65">
      <c r="A65" s="13" t="s">
        <v>69</v>
      </c>
      <c r="B65" s="19">
        <v>56.0</v>
      </c>
      <c r="C65" s="19">
        <v>2.0</v>
      </c>
    </row>
    <row r="66">
      <c r="A66" s="16" t="s">
        <v>70</v>
      </c>
      <c r="B66" s="21">
        <v>56.0</v>
      </c>
      <c r="C66" s="21">
        <v>0.0</v>
      </c>
    </row>
    <row r="67">
      <c r="A67" s="13" t="s">
        <v>71</v>
      </c>
      <c r="B67" s="19">
        <v>55.0</v>
      </c>
      <c r="C67" s="19">
        <v>0.0</v>
      </c>
    </row>
    <row r="68">
      <c r="A68" s="16" t="s">
        <v>72</v>
      </c>
      <c r="B68" s="21">
        <v>55.0</v>
      </c>
      <c r="C68" s="21">
        <v>1.0</v>
      </c>
    </row>
    <row r="69">
      <c r="A69" s="13" t="s">
        <v>73</v>
      </c>
      <c r="B69" s="19">
        <v>53.0</v>
      </c>
      <c r="C69" s="19">
        <v>0.0</v>
      </c>
    </row>
    <row r="70">
      <c r="A70" s="16" t="s">
        <v>74</v>
      </c>
      <c r="B70" s="21">
        <v>51.0</v>
      </c>
      <c r="C70" s="21">
        <v>2.0</v>
      </c>
    </row>
    <row r="71">
      <c r="A71" s="13" t="s">
        <v>75</v>
      </c>
      <c r="B71" s="19">
        <v>50.0</v>
      </c>
      <c r="C71" s="19">
        <v>0.0</v>
      </c>
    </row>
    <row r="72">
      <c r="A72" s="16" t="s">
        <v>76</v>
      </c>
      <c r="B72" s="21">
        <v>47.0</v>
      </c>
      <c r="C72" s="21">
        <v>0.0</v>
      </c>
    </row>
    <row r="73">
      <c r="A73" s="13" t="s">
        <v>78</v>
      </c>
      <c r="B73" s="19">
        <v>45.0</v>
      </c>
      <c r="C73" s="19">
        <v>0.0</v>
      </c>
    </row>
    <row r="74">
      <c r="A74" s="16" t="s">
        <v>81</v>
      </c>
      <c r="B74" s="21">
        <v>42.0</v>
      </c>
      <c r="C74" s="21">
        <v>1.0</v>
      </c>
    </row>
    <row r="75">
      <c r="A75" s="13" t="s">
        <v>82</v>
      </c>
      <c r="B75" s="19">
        <v>38.0</v>
      </c>
      <c r="C75" s="19">
        <v>0.0</v>
      </c>
    </row>
    <row r="76">
      <c r="A76" s="16" t="s">
        <v>83</v>
      </c>
      <c r="B76" s="21">
        <v>37.0</v>
      </c>
      <c r="C76" s="21">
        <v>2.0</v>
      </c>
    </row>
    <row r="77">
      <c r="A77" s="13" t="s">
        <v>84</v>
      </c>
      <c r="B77" s="19">
        <v>37.0</v>
      </c>
      <c r="C77" s="19">
        <v>1.0</v>
      </c>
    </row>
    <row r="78">
      <c r="A78" s="16" t="s">
        <v>85</v>
      </c>
      <c r="B78" s="21">
        <v>35.0</v>
      </c>
      <c r="C78" s="21">
        <v>0.0</v>
      </c>
    </row>
    <row r="79">
      <c r="A79" s="13" t="s">
        <v>86</v>
      </c>
      <c r="B79" s="19">
        <v>33.0</v>
      </c>
      <c r="C79" s="19">
        <v>0.0</v>
      </c>
    </row>
    <row r="80">
      <c r="A80" s="16" t="s">
        <v>87</v>
      </c>
      <c r="B80" s="21">
        <v>32.0</v>
      </c>
      <c r="C80" s="21">
        <v>1.0</v>
      </c>
    </row>
    <row r="81">
      <c r="A81" s="13" t="s">
        <v>88</v>
      </c>
      <c r="B81" s="19">
        <v>33.0</v>
      </c>
      <c r="C81" s="19">
        <v>0.0</v>
      </c>
    </row>
    <row r="82">
      <c r="A82" s="16" t="s">
        <v>89</v>
      </c>
      <c r="B82" s="21">
        <v>30.0</v>
      </c>
      <c r="C82" s="21">
        <v>0.0</v>
      </c>
    </row>
    <row r="83">
      <c r="A83" s="13" t="s">
        <v>90</v>
      </c>
      <c r="B83" s="19">
        <v>30.0</v>
      </c>
      <c r="C83" s="19">
        <v>0.0</v>
      </c>
    </row>
    <row r="84">
      <c r="A84" s="16" t="s">
        <v>91</v>
      </c>
      <c r="B84" s="21">
        <v>29.0</v>
      </c>
      <c r="C84" s="21">
        <v>0.0</v>
      </c>
    </row>
    <row r="85">
      <c r="A85" s="13" t="s">
        <v>92</v>
      </c>
      <c r="B85" s="19">
        <v>27.0</v>
      </c>
      <c r="C85" s="19">
        <v>0.0</v>
      </c>
    </row>
    <row r="86">
      <c r="A86" s="16" t="s">
        <v>93</v>
      </c>
      <c r="B86" s="21">
        <v>27.0</v>
      </c>
      <c r="C86" s="21">
        <v>0.0</v>
      </c>
    </row>
    <row r="87">
      <c r="A87" s="13" t="s">
        <v>94</v>
      </c>
      <c r="B87" s="19">
        <v>25.0</v>
      </c>
      <c r="C87" s="19">
        <v>1.0</v>
      </c>
    </row>
    <row r="88">
      <c r="A88" s="16" t="s">
        <v>95</v>
      </c>
      <c r="B88" s="21">
        <v>24.0</v>
      </c>
      <c r="C88" s="21">
        <v>0.0</v>
      </c>
    </row>
    <row r="89">
      <c r="A89" s="13" t="s">
        <v>96</v>
      </c>
      <c r="B89" s="19">
        <v>24.0</v>
      </c>
      <c r="C89" s="19">
        <v>0.0</v>
      </c>
    </row>
    <row r="90">
      <c r="A90" s="16" t="s">
        <v>97</v>
      </c>
      <c r="B90" s="21">
        <v>23.0</v>
      </c>
      <c r="C90" s="21">
        <v>0.0</v>
      </c>
    </row>
    <row r="91">
      <c r="A91" s="13" t="s">
        <v>98</v>
      </c>
      <c r="B91" s="19">
        <v>21.0</v>
      </c>
      <c r="C91" s="19">
        <v>0.0</v>
      </c>
    </row>
    <row r="92">
      <c r="A92" s="16" t="s">
        <v>99</v>
      </c>
      <c r="B92" s="21">
        <v>21.0</v>
      </c>
      <c r="C92" s="21">
        <v>0.0</v>
      </c>
    </row>
    <row r="93">
      <c r="A93" s="13" t="s">
        <v>100</v>
      </c>
      <c r="B93" s="19">
        <v>20.0</v>
      </c>
      <c r="C93" s="19">
        <v>0.0</v>
      </c>
    </row>
    <row r="94">
      <c r="A94" s="16" t="s">
        <v>101</v>
      </c>
      <c r="B94" s="21">
        <v>19.0</v>
      </c>
      <c r="C94" s="21">
        <v>0.0</v>
      </c>
    </row>
    <row r="95">
      <c r="A95" s="13" t="s">
        <v>102</v>
      </c>
      <c r="B95" s="19">
        <v>18.0</v>
      </c>
      <c r="C95" s="19">
        <v>0.0</v>
      </c>
    </row>
    <row r="96">
      <c r="A96" s="16" t="s">
        <v>103</v>
      </c>
      <c r="B96" s="21">
        <v>17.0</v>
      </c>
      <c r="C96" s="21">
        <v>0.0</v>
      </c>
    </row>
    <row r="97">
      <c r="A97" s="13" t="s">
        <v>105</v>
      </c>
      <c r="B97" s="19">
        <v>17.0</v>
      </c>
      <c r="C97" s="19">
        <v>0.0</v>
      </c>
    </row>
    <row r="98">
      <c r="A98" s="16" t="s">
        <v>106</v>
      </c>
      <c r="B98" s="21">
        <v>15.0</v>
      </c>
      <c r="C98" s="21">
        <v>0.0</v>
      </c>
    </row>
    <row r="99">
      <c r="A99" s="13" t="s">
        <v>107</v>
      </c>
      <c r="B99" s="19">
        <v>14.0</v>
      </c>
      <c r="C99" s="19">
        <v>0.0</v>
      </c>
    </row>
    <row r="100">
      <c r="A100" s="16" t="s">
        <v>108</v>
      </c>
      <c r="B100" s="21">
        <v>13.0</v>
      </c>
      <c r="C100" s="21">
        <v>0.0</v>
      </c>
    </row>
    <row r="101">
      <c r="A101" s="13" t="s">
        <v>109</v>
      </c>
      <c r="B101" s="19">
        <v>12.0</v>
      </c>
      <c r="C101" s="19">
        <v>0.0</v>
      </c>
    </row>
    <row r="102">
      <c r="A102" s="16" t="s">
        <v>110</v>
      </c>
      <c r="B102" s="21">
        <v>11.0</v>
      </c>
      <c r="C102" s="21">
        <v>0.0</v>
      </c>
    </row>
    <row r="103">
      <c r="A103" s="13" t="s">
        <v>111</v>
      </c>
      <c r="B103" s="19">
        <v>11.0</v>
      </c>
      <c r="C103" s="19">
        <v>0.0</v>
      </c>
    </row>
    <row r="104">
      <c r="A104" s="16" t="s">
        <v>112</v>
      </c>
      <c r="B104" s="21">
        <v>10.0</v>
      </c>
      <c r="C104" s="39"/>
    </row>
    <row r="105">
      <c r="A105" s="13" t="s">
        <v>113</v>
      </c>
      <c r="B105" s="19">
        <v>10.0</v>
      </c>
      <c r="C105" s="19">
        <v>0.0</v>
      </c>
    </row>
    <row r="106">
      <c r="A106" s="16" t="s">
        <v>114</v>
      </c>
      <c r="B106" s="21">
        <v>9.0</v>
      </c>
      <c r="C106" s="21">
        <v>0.0</v>
      </c>
    </row>
    <row r="107">
      <c r="A107" s="13" t="s">
        <v>115</v>
      </c>
      <c r="B107" s="19">
        <v>8.0</v>
      </c>
      <c r="C107" s="19">
        <v>0.0</v>
      </c>
    </row>
    <row r="108">
      <c r="A108" s="16" t="s">
        <v>116</v>
      </c>
      <c r="B108" s="21">
        <v>8.0</v>
      </c>
      <c r="C108" s="21">
        <v>0.0</v>
      </c>
    </row>
    <row r="109">
      <c r="A109" s="13" t="s">
        <v>117</v>
      </c>
      <c r="B109" s="19">
        <v>7.0</v>
      </c>
      <c r="C109" s="19">
        <v>0.0</v>
      </c>
    </row>
    <row r="110">
      <c r="A110" s="16" t="s">
        <v>118</v>
      </c>
      <c r="B110" s="21">
        <v>7.0</v>
      </c>
      <c r="C110" s="21">
        <v>0.0</v>
      </c>
    </row>
    <row r="111">
      <c r="A111" s="13" t="s">
        <v>119</v>
      </c>
      <c r="B111" s="19">
        <v>7.0</v>
      </c>
      <c r="C111" s="19">
        <v>0.0</v>
      </c>
    </row>
    <row r="112">
      <c r="A112" s="16" t="s">
        <v>120</v>
      </c>
      <c r="B112" s="21">
        <v>6.0</v>
      </c>
      <c r="C112" s="21">
        <v>0.0</v>
      </c>
    </row>
    <row r="113">
      <c r="A113" s="13" t="s">
        <v>121</v>
      </c>
      <c r="B113" s="19">
        <v>6.0</v>
      </c>
      <c r="C113" s="19">
        <v>0.0</v>
      </c>
    </row>
    <row r="114">
      <c r="A114" s="16" t="s">
        <v>122</v>
      </c>
      <c r="B114" s="21">
        <v>6.0</v>
      </c>
      <c r="C114" s="21">
        <v>0.0</v>
      </c>
    </row>
    <row r="115">
      <c r="A115" s="13" t="s">
        <v>123</v>
      </c>
      <c r="B115" s="19">
        <v>6.0</v>
      </c>
      <c r="C115" s="19">
        <v>1.0</v>
      </c>
    </row>
    <row r="116">
      <c r="A116" s="16" t="s">
        <v>124</v>
      </c>
      <c r="B116" s="21">
        <v>5.0</v>
      </c>
      <c r="C116" s="21">
        <v>0.0</v>
      </c>
    </row>
    <row r="117">
      <c r="A117" s="13" t="s">
        <v>125</v>
      </c>
      <c r="B117" s="19">
        <v>5.0</v>
      </c>
      <c r="C117" s="19">
        <v>0.0</v>
      </c>
    </row>
    <row r="118">
      <c r="A118" s="16" t="s">
        <v>126</v>
      </c>
      <c r="B118" s="21">
        <v>4.0</v>
      </c>
      <c r="C118" s="21">
        <v>0.0</v>
      </c>
    </row>
    <row r="119">
      <c r="A119" s="13" t="s">
        <v>127</v>
      </c>
      <c r="B119" s="19">
        <v>3.0</v>
      </c>
      <c r="C119" s="19">
        <v>1.0</v>
      </c>
    </row>
    <row r="120">
      <c r="A120" s="16" t="s">
        <v>128</v>
      </c>
      <c r="B120" s="21">
        <v>3.0</v>
      </c>
      <c r="C120" s="21">
        <v>0.0</v>
      </c>
    </row>
    <row r="121">
      <c r="A121" s="13" t="s">
        <v>129</v>
      </c>
      <c r="B121" s="19">
        <v>3.0</v>
      </c>
      <c r="C121" s="19">
        <v>0.0</v>
      </c>
    </row>
    <row r="122">
      <c r="A122" s="16" t="s">
        <v>130</v>
      </c>
      <c r="B122" s="21">
        <v>3.0</v>
      </c>
      <c r="C122" s="21">
        <v>0.0</v>
      </c>
    </row>
    <row r="123">
      <c r="A123" s="13" t="s">
        <v>131</v>
      </c>
      <c r="B123" s="19">
        <v>3.0</v>
      </c>
      <c r="C123" s="19">
        <v>0.0</v>
      </c>
    </row>
    <row r="124">
      <c r="A124" s="16" t="s">
        <v>132</v>
      </c>
      <c r="B124" s="21">
        <v>2.0</v>
      </c>
      <c r="C124" s="21">
        <v>0.0</v>
      </c>
    </row>
    <row r="125">
      <c r="A125" s="13" t="s">
        <v>133</v>
      </c>
      <c r="B125" s="19">
        <v>2.0</v>
      </c>
      <c r="C125" s="19">
        <v>0.0</v>
      </c>
    </row>
    <row r="126">
      <c r="A126" s="16" t="s">
        <v>134</v>
      </c>
      <c r="B126" s="21">
        <v>2.0</v>
      </c>
      <c r="C126" s="21">
        <v>0.0</v>
      </c>
    </row>
    <row r="127">
      <c r="A127" s="13" t="s">
        <v>136</v>
      </c>
      <c r="B127" s="19">
        <v>1.0</v>
      </c>
      <c r="C127" s="19">
        <v>0.0</v>
      </c>
    </row>
    <row r="128">
      <c r="A128" s="16" t="s">
        <v>137</v>
      </c>
      <c r="B128" s="21">
        <v>1.0</v>
      </c>
      <c r="C128" s="21">
        <v>0.0</v>
      </c>
    </row>
    <row r="129">
      <c r="A129" s="13" t="s">
        <v>138</v>
      </c>
      <c r="B129" s="19">
        <v>1.0</v>
      </c>
      <c r="C129" s="19">
        <v>0.0</v>
      </c>
    </row>
    <row r="130">
      <c r="A130" s="16" t="s">
        <v>139</v>
      </c>
      <c r="B130" s="21">
        <v>1.0</v>
      </c>
      <c r="C130" s="21">
        <v>0.0</v>
      </c>
    </row>
    <row r="131">
      <c r="A131" s="13" t="s">
        <v>140</v>
      </c>
      <c r="B131" s="19">
        <v>1.0</v>
      </c>
      <c r="C131" s="19">
        <v>0.0</v>
      </c>
    </row>
    <row r="132">
      <c r="A132" s="16" t="s">
        <v>141</v>
      </c>
      <c r="B132" s="21">
        <v>1.0</v>
      </c>
      <c r="C132" s="21">
        <v>0.0</v>
      </c>
    </row>
    <row r="133">
      <c r="A133" s="13" t="s">
        <v>142</v>
      </c>
      <c r="B133" s="19">
        <v>1.0</v>
      </c>
      <c r="C133" s="19">
        <v>0.0</v>
      </c>
    </row>
    <row r="134">
      <c r="A134" s="16" t="s">
        <v>143</v>
      </c>
      <c r="B134" s="21">
        <v>1.0</v>
      </c>
      <c r="C134" s="21">
        <v>0.0</v>
      </c>
    </row>
    <row r="135">
      <c r="A135" s="13" t="s">
        <v>144</v>
      </c>
      <c r="B135" s="19">
        <v>1.0</v>
      </c>
      <c r="C135" s="19">
        <v>0.0</v>
      </c>
    </row>
    <row r="136">
      <c r="A136" s="16" t="s">
        <v>145</v>
      </c>
      <c r="B136" s="21">
        <v>1.0</v>
      </c>
      <c r="C136" s="21">
        <v>0.0</v>
      </c>
    </row>
    <row r="137">
      <c r="A137" s="13" t="s">
        <v>146</v>
      </c>
      <c r="B137" s="19">
        <v>1.0</v>
      </c>
      <c r="C137" s="19">
        <v>0.0</v>
      </c>
    </row>
    <row r="138">
      <c r="A138" s="16" t="s">
        <v>147</v>
      </c>
      <c r="B138" s="21">
        <v>1.0</v>
      </c>
      <c r="C138" s="21">
        <v>0.0</v>
      </c>
    </row>
    <row r="139">
      <c r="A139" s="13" t="s">
        <v>148</v>
      </c>
      <c r="B139" s="19">
        <v>1.0</v>
      </c>
      <c r="C139" s="19">
        <v>0.0</v>
      </c>
    </row>
    <row r="140">
      <c r="A140" s="16" t="s">
        <v>149</v>
      </c>
      <c r="B140" s="21">
        <v>1.0</v>
      </c>
      <c r="C140" s="21">
        <v>0.0</v>
      </c>
    </row>
    <row r="141">
      <c r="A141" s="46" t="s">
        <v>150</v>
      </c>
      <c r="B141" s="49">
        <v>590.0</v>
      </c>
      <c r="C141" s="51"/>
    </row>
    <row r="142">
      <c r="A142" s="53" t="s">
        <v>152</v>
      </c>
      <c r="B142" s="55">
        <v>184824.0</v>
      </c>
      <c r="C142" s="57">
        <v>7113.0</v>
      </c>
    </row>
    <row r="143">
      <c r="A143" s="59"/>
      <c r="B143" s="59"/>
      <c r="C143" s="5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8" t="s">
        <v>2</v>
      </c>
      <c r="B2" s="8" t="s">
        <v>8</v>
      </c>
      <c r="D2" s="10" t="s">
        <v>9</v>
      </c>
      <c r="F2" s="12"/>
      <c r="G2" s="1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22">
        <f t="shared" ref="A3:B3" si="1">SUM(B14, B15)</f>
        <v>80881</v>
      </c>
      <c r="B3" s="22">
        <f t="shared" si="1"/>
        <v>3226</v>
      </c>
      <c r="D3" s="23">
        <f>SUM(F14, F15)</f>
        <v>68869</v>
      </c>
      <c r="F3" s="12"/>
      <c r="G3" s="1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25"/>
      <c r="B4" s="14"/>
      <c r="C4" s="14"/>
      <c r="D4" s="12"/>
      <c r="E4" s="12"/>
      <c r="F4" s="12"/>
      <c r="G4" s="1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30.0" customHeight="1">
      <c r="A5" s="27" t="s">
        <v>159</v>
      </c>
      <c r="B5" s="29" t="s">
        <v>4</v>
      </c>
      <c r="C5" s="29" t="s">
        <v>5</v>
      </c>
      <c r="D5" s="31" t="s">
        <v>67</v>
      </c>
      <c r="E5" s="31" t="s">
        <v>77</v>
      </c>
      <c r="F5" s="31" t="s">
        <v>79</v>
      </c>
      <c r="G5" s="29"/>
      <c r="H5" s="33"/>
      <c r="I5" s="33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</row>
    <row r="6" ht="30.0" customHeight="1">
      <c r="A6" s="63" t="s">
        <v>161</v>
      </c>
      <c r="B6" s="64">
        <v>67799.0</v>
      </c>
      <c r="C6" s="64">
        <v>3111.0</v>
      </c>
      <c r="D6" s="73">
        <v>2782.0</v>
      </c>
      <c r="E6" s="66" t="s">
        <v>135</v>
      </c>
      <c r="F6" s="73">
        <v>55987.0</v>
      </c>
      <c r="G6" s="67" t="str">
        <f>HYPERLINK("http://www.nhc.gov.cn/yjb/s7860/202003/28d026a0422844969226913ee3d56d77.shtml","Source")</f>
        <v>Source</v>
      </c>
      <c r="H6" s="50"/>
      <c r="I6" s="33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</row>
    <row r="7" ht="30.0" customHeight="1">
      <c r="A7" s="37" t="s">
        <v>162</v>
      </c>
      <c r="B7" s="41">
        <v>1364.0</v>
      </c>
      <c r="C7" s="43">
        <v>8.0</v>
      </c>
      <c r="D7" s="45">
        <v>3.0</v>
      </c>
      <c r="E7" s="45">
        <v>12.0</v>
      </c>
      <c r="F7" s="74">
        <v>1307.0</v>
      </c>
      <c r="G7" s="48" t="str">
        <f>HYPERLINK("http://wsjkw.gd.gov.cn/zwyw_yqxx/content/post_2932231.html","Source")</f>
        <v>Source</v>
      </c>
      <c r="H7" s="50"/>
      <c r="I7" s="33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</row>
    <row r="8" ht="30.0" customHeight="1">
      <c r="A8" s="63" t="s">
        <v>164</v>
      </c>
      <c r="B8" s="64">
        <v>1272.0</v>
      </c>
      <c r="C8" s="65">
        <v>22.0</v>
      </c>
      <c r="D8" s="66">
        <v>0.0</v>
      </c>
      <c r="E8" s="66">
        <v>0.0</v>
      </c>
      <c r="F8" s="73">
        <v>1250.0</v>
      </c>
      <c r="G8" s="67" t="str">
        <f>HYPERLINK("https://m.weibo.cn/detail/4483379376042035","Source")</f>
        <v>Source</v>
      </c>
      <c r="H8" s="50"/>
      <c r="I8" s="33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</row>
    <row r="9" ht="30.0" customHeight="1">
      <c r="A9" s="63" t="s">
        <v>166</v>
      </c>
      <c r="B9" s="64">
        <v>1232.0</v>
      </c>
      <c r="C9" s="65">
        <v>1.0</v>
      </c>
      <c r="D9" s="66">
        <v>1.0</v>
      </c>
      <c r="E9" s="66">
        <v>1.0</v>
      </c>
      <c r="F9" s="73">
        <v>1216.0</v>
      </c>
      <c r="G9" s="61" t="str">
        <f>HYPERLINK("https://www.zjwjw.gov.cn/art/2020/3/17/art_1202101_42299126.html","Source")</f>
        <v>Source</v>
      </c>
      <c r="H9" s="50"/>
      <c r="I9" s="33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</row>
    <row r="10" ht="30.0" customHeight="1">
      <c r="A10" s="63" t="s">
        <v>167</v>
      </c>
      <c r="B10" s="64">
        <v>1018.0</v>
      </c>
      <c r="C10" s="65">
        <v>4.0</v>
      </c>
      <c r="D10" s="66">
        <v>0.0</v>
      </c>
      <c r="E10" s="66">
        <v>0.0</v>
      </c>
      <c r="F10" s="73">
        <v>1014.0</v>
      </c>
      <c r="G10" s="67" t="str">
        <f>HYPERLINK("http://wjw.hunan.gov.cn/wjw/xxgk/gzdt/zyxw_1/202003/t20200317_11813769.html","Source")</f>
        <v>Source</v>
      </c>
      <c r="H10" s="50"/>
      <c r="I10" s="33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</row>
    <row r="11" ht="30.0" customHeight="1">
      <c r="A11" s="63" t="s">
        <v>169</v>
      </c>
      <c r="B11" s="64">
        <v>456.0</v>
      </c>
      <c r="C11" s="65">
        <v>8.0</v>
      </c>
      <c r="D11" s="66" t="s">
        <v>135</v>
      </c>
      <c r="E11" s="66" t="s">
        <v>135</v>
      </c>
      <c r="F11" s="66">
        <v>369.0</v>
      </c>
      <c r="G11" s="61" t="str">
        <f>HYPERLINK("http://wjw.beijing.gov.cn/xwzx_20031/wnxw/202003/t20200317_1718989.html","Source")</f>
        <v>Source</v>
      </c>
      <c r="H11" s="50"/>
      <c r="I11" s="33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</row>
    <row r="12" ht="30.0" customHeight="1">
      <c r="A12" s="63" t="s">
        <v>170</v>
      </c>
      <c r="B12" s="64">
        <v>358.0</v>
      </c>
      <c r="C12" s="65">
        <v>3.0</v>
      </c>
      <c r="D12" s="66">
        <v>8.0</v>
      </c>
      <c r="E12" s="66">
        <v>1.0</v>
      </c>
      <c r="F12" s="66">
        <v>325.0</v>
      </c>
      <c r="G12" s="67" t="str">
        <f>HYPERLINK("https://m.weibo.cn/detail/4483384036199457","Source")</f>
        <v>Source</v>
      </c>
      <c r="H12" s="50"/>
      <c r="I12" s="33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</row>
    <row r="13" ht="30.0" customHeight="1">
      <c r="A13" s="63" t="s">
        <v>172</v>
      </c>
      <c r="B13" s="64">
        <v>7382.0</v>
      </c>
      <c r="C13" s="65">
        <v>69.0</v>
      </c>
      <c r="D13" s="66" t="s">
        <v>173</v>
      </c>
      <c r="E13" s="66" t="s">
        <v>135</v>
      </c>
      <c r="F13" s="73">
        <v>7401.0</v>
      </c>
      <c r="G13" s="76"/>
      <c r="H13" s="77"/>
      <c r="I13" s="33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</row>
    <row r="14" ht="30.0" customHeight="1">
      <c r="A14" s="78" t="s">
        <v>152</v>
      </c>
      <c r="B14" s="79">
        <f t="shared" ref="B14:C14" si="2">SUM(B6:B13)</f>
        <v>80881</v>
      </c>
      <c r="C14" s="79">
        <f t="shared" si="2"/>
        <v>3226</v>
      </c>
      <c r="D14" s="79">
        <v>2830.0</v>
      </c>
      <c r="E14" s="79"/>
      <c r="F14" s="79">
        <f>SUM(F6:F13)</f>
        <v>68869</v>
      </c>
      <c r="G14" s="80"/>
      <c r="H14" s="33"/>
      <c r="I14" s="33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</row>
    <row r="15">
      <c r="A15" s="78"/>
      <c r="B15" s="81"/>
      <c r="C15" s="81"/>
      <c r="D15" s="82"/>
      <c r="E15" s="84"/>
      <c r="F15" s="81"/>
      <c r="G15" s="80"/>
      <c r="H15" s="26"/>
      <c r="I15" s="26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85"/>
      <c r="B16" s="86"/>
      <c r="C16" s="87"/>
      <c r="D16" s="87"/>
      <c r="E16" s="87"/>
      <c r="F16" s="87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88"/>
      <c r="B17" s="87"/>
      <c r="C17" s="87"/>
      <c r="D17" s="87"/>
      <c r="E17" s="87"/>
      <c r="F17" s="8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88"/>
      <c r="B18" s="87"/>
      <c r="C18" s="87"/>
      <c r="D18" s="87"/>
      <c r="E18" s="87"/>
      <c r="F18" s="87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0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71"/>
  </cols>
  <sheetData>
    <row r="1" ht="27.75" customHeight="1">
      <c r="A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8" t="s">
        <v>2</v>
      </c>
      <c r="B2" s="8" t="s">
        <v>8</v>
      </c>
      <c r="D2" s="10" t="s">
        <v>9</v>
      </c>
      <c r="F2" s="12"/>
      <c r="G2" s="1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22">
        <f t="shared" ref="A3:B3" si="1">SUM(B19, B20)</f>
        <v>592</v>
      </c>
      <c r="B3" s="22">
        <f t="shared" si="1"/>
        <v>8</v>
      </c>
      <c r="D3" s="23">
        <f>SUM(F19, F20)</f>
        <v>11</v>
      </c>
      <c r="F3" s="12"/>
      <c r="G3" s="1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25"/>
      <c r="B4" s="14"/>
      <c r="C4" s="14"/>
      <c r="D4" s="12"/>
      <c r="E4" s="12"/>
      <c r="F4" s="12"/>
      <c r="G4" s="1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30.0" customHeight="1">
      <c r="A5" s="27" t="s">
        <v>189</v>
      </c>
      <c r="B5" s="29" t="s">
        <v>4</v>
      </c>
      <c r="C5" s="29" t="s">
        <v>5</v>
      </c>
      <c r="D5" s="31" t="s">
        <v>67</v>
      </c>
      <c r="E5" s="31" t="s">
        <v>77</v>
      </c>
      <c r="F5" s="31" t="s">
        <v>79</v>
      </c>
      <c r="G5" s="29"/>
      <c r="H5" s="33"/>
      <c r="I5" s="33"/>
      <c r="J5" s="33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6" ht="30.0" customHeight="1">
      <c r="A6" s="63" t="s">
        <v>191</v>
      </c>
      <c r="B6" s="64">
        <v>186.0</v>
      </c>
      <c r="C6" s="64">
        <v>7.0</v>
      </c>
      <c r="D6" s="73"/>
      <c r="E6" s="66">
        <v>1.0</v>
      </c>
      <c r="F6" s="66">
        <v>6.0</v>
      </c>
      <c r="G6" s="67" t="str">
        <f>HYPERLINK("https://twitter.com/cbcnewsbc/status/1240036984799653888","Source")</f>
        <v>Source</v>
      </c>
      <c r="H6" s="50"/>
      <c r="I6" s="33"/>
      <c r="J6" s="33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 ht="30.0" customHeight="1">
      <c r="A7" s="37" t="s">
        <v>193</v>
      </c>
      <c r="B7" s="41">
        <v>189.0</v>
      </c>
      <c r="C7" s="43">
        <v>1.0</v>
      </c>
      <c r="D7" s="45"/>
      <c r="E7" s="45"/>
      <c r="F7" s="45">
        <v>5.0</v>
      </c>
      <c r="G7" s="48" t="str">
        <f>HYPERLINK("https://www.ontario.ca/page/2019-novel-coronavirus","Source")</f>
        <v>Source</v>
      </c>
      <c r="H7" s="33"/>
      <c r="I7" s="33"/>
      <c r="J7" s="33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ht="30.0" customHeight="1">
      <c r="A8" s="63" t="s">
        <v>195</v>
      </c>
      <c r="B8" s="64">
        <v>97.0</v>
      </c>
      <c r="C8" s="65">
        <v>0.0</v>
      </c>
      <c r="D8" s="66"/>
      <c r="E8" s="66"/>
      <c r="F8" s="68"/>
      <c r="G8" s="67" t="str">
        <f>HYPERLINK("https://www.alberta.ca/release.cfm?xID=69831287F86B2-0CDB-543B-1137EAA2AD56F3D4","Source")</f>
        <v>Source</v>
      </c>
      <c r="H8" s="33"/>
      <c r="I8" s="33"/>
      <c r="J8" s="33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</row>
    <row r="9" ht="30.0" customHeight="1">
      <c r="A9" s="63" t="s">
        <v>196</v>
      </c>
      <c r="B9" s="64">
        <v>74.0</v>
      </c>
      <c r="C9" s="65">
        <v>0.0</v>
      </c>
      <c r="D9" s="66"/>
      <c r="E9" s="66"/>
      <c r="F9" s="68"/>
      <c r="G9" s="67" t="str">
        <f>HYPERLINK("https://www.quebec.ca/en/health/health-issues/a-z/2019-coronavirus/","Source")</f>
        <v>Source</v>
      </c>
      <c r="H9" s="33"/>
      <c r="I9" s="33"/>
      <c r="J9" s="33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ht="30.0" customHeight="1">
      <c r="A10" s="63" t="s">
        <v>198</v>
      </c>
      <c r="B10" s="64">
        <v>13.0</v>
      </c>
      <c r="C10" s="65">
        <v>0.0</v>
      </c>
      <c r="D10" s="66"/>
      <c r="E10" s="66"/>
      <c r="F10" s="68"/>
      <c r="G10" s="67" t="str">
        <f>HYPERLINK("https://novascotia.ca/CoronaVirus/","Source")</f>
        <v>Source</v>
      </c>
      <c r="H10" s="33"/>
      <c r="I10" s="33"/>
      <c r="J10" s="33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</row>
    <row r="11" ht="30.0" customHeight="1">
      <c r="A11" s="63" t="s">
        <v>200</v>
      </c>
      <c r="B11" s="64">
        <v>15.0</v>
      </c>
      <c r="C11" s="65">
        <v>0.0</v>
      </c>
      <c r="D11" s="66"/>
      <c r="E11" s="66"/>
      <c r="F11" s="68"/>
      <c r="G11" s="67" t="str">
        <f>HYPERLINK("https://www.gov.mb.ca/covid19/index.html","Source")</f>
        <v>Source</v>
      </c>
      <c r="H11" s="33"/>
      <c r="I11" s="33"/>
      <c r="J11" s="33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</row>
    <row r="12" ht="30.0" customHeight="1">
      <c r="A12" s="63" t="s">
        <v>201</v>
      </c>
      <c r="B12" s="64">
        <v>8.0</v>
      </c>
      <c r="C12" s="65">
        <v>0.0</v>
      </c>
      <c r="D12" s="66"/>
      <c r="E12" s="66"/>
      <c r="F12" s="68"/>
      <c r="G12" s="67" t="str">
        <f>HYPERLINK("https://www2.gnb.ca/content/gnb/en/departments/health/news/news_release.2020.03.0132.html","Source")</f>
        <v>Source</v>
      </c>
      <c r="H12" s="33"/>
      <c r="I12" s="33"/>
      <c r="J12" s="33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ht="30.0" customHeight="1">
      <c r="A13" s="63" t="s">
        <v>203</v>
      </c>
      <c r="B13" s="64">
        <v>8.0</v>
      </c>
      <c r="C13" s="65">
        <v>0.0</v>
      </c>
      <c r="D13" s="66"/>
      <c r="E13" s="66"/>
      <c r="F13" s="68"/>
      <c r="G13" s="67" t="str">
        <f>HYPERLINK("https://twitter.com/SKGov/status/1240013593606684672","Source")</f>
        <v>Source</v>
      </c>
      <c r="H13" s="33"/>
      <c r="I13" s="33"/>
      <c r="J13" s="33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</row>
    <row r="14" ht="30.0" customHeight="1">
      <c r="A14" s="63" t="s">
        <v>205</v>
      </c>
      <c r="B14" s="64">
        <v>1.0</v>
      </c>
      <c r="C14" s="65">
        <v>0.0</v>
      </c>
      <c r="D14" s="66"/>
      <c r="E14" s="66"/>
      <c r="F14" s="68"/>
      <c r="G14" s="67" t="str">
        <f>HYPERLINK("https://www.princeedwardisland.ca/en/news/pei-confirms-first-positive-case-covid-19","Source")</f>
        <v>Source</v>
      </c>
      <c r="H14" s="33"/>
      <c r="I14" s="33"/>
      <c r="J14" s="33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</row>
    <row r="15" ht="30.0" customHeight="1">
      <c r="A15" s="63" t="s">
        <v>206</v>
      </c>
      <c r="B15" s="64">
        <v>1.0</v>
      </c>
      <c r="C15" s="65">
        <v>0.0</v>
      </c>
      <c r="D15" s="66"/>
      <c r="E15" s="66"/>
      <c r="F15" s="68"/>
      <c r="G15" s="67" t="str">
        <f>HYPERLINK("https://www.gov.nl.ca/covid-19/","Source")</f>
        <v>Source</v>
      </c>
      <c r="H15" s="33"/>
      <c r="I15" s="59"/>
      <c r="J15" s="33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</row>
    <row r="16" ht="30.0" customHeight="1">
      <c r="A16" s="63" t="s">
        <v>208</v>
      </c>
      <c r="B16" s="64">
        <v>0.0</v>
      </c>
      <c r="C16" s="65">
        <v>0.0</v>
      </c>
      <c r="D16" s="66"/>
      <c r="E16" s="66"/>
      <c r="F16" s="68"/>
      <c r="G16" s="76"/>
      <c r="H16" s="33"/>
      <c r="I16" s="33"/>
      <c r="J16" s="33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</row>
    <row r="17" ht="30.0" customHeight="1">
      <c r="A17" s="63" t="s">
        <v>209</v>
      </c>
      <c r="B17" s="64">
        <v>0.0</v>
      </c>
      <c r="C17" s="65">
        <v>0.0</v>
      </c>
      <c r="D17" s="66"/>
      <c r="E17" s="66"/>
      <c r="F17" s="68"/>
      <c r="G17" s="76"/>
      <c r="H17" s="33"/>
      <c r="I17" s="33"/>
      <c r="J17" s="33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ht="30.0" customHeight="1">
      <c r="A18" s="63" t="s">
        <v>211</v>
      </c>
      <c r="B18" s="64">
        <v>0.0</v>
      </c>
      <c r="C18" s="65">
        <v>0.0</v>
      </c>
      <c r="D18" s="66"/>
      <c r="E18" s="66"/>
      <c r="F18" s="68"/>
      <c r="G18" s="76"/>
      <c r="H18" s="33"/>
      <c r="I18" s="33"/>
      <c r="J18" s="33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</row>
    <row r="19" ht="30.0" customHeight="1">
      <c r="A19" s="78" t="s">
        <v>152</v>
      </c>
      <c r="B19" s="79">
        <f t="shared" ref="B19:F19" si="2">SUM(B6:B18)</f>
        <v>592</v>
      </c>
      <c r="C19" s="79">
        <f t="shared" si="2"/>
        <v>8</v>
      </c>
      <c r="D19" s="79">
        <f t="shared" si="2"/>
        <v>0</v>
      </c>
      <c r="E19" s="79">
        <f t="shared" si="2"/>
        <v>1</v>
      </c>
      <c r="F19" s="79">
        <f t="shared" si="2"/>
        <v>11</v>
      </c>
      <c r="G19" s="80"/>
      <c r="H19" s="36"/>
      <c r="I19" s="33"/>
      <c r="J19" s="33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</row>
    <row r="20">
      <c r="A20" s="88"/>
      <c r="B20" s="87"/>
      <c r="C20" s="87"/>
      <c r="D20" s="87"/>
      <c r="E20" s="87"/>
      <c r="F20" s="87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85"/>
      <c r="B21" s="86"/>
      <c r="C21" s="87"/>
      <c r="D21" s="87"/>
      <c r="E21" s="87"/>
      <c r="F21" s="87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88"/>
      <c r="B22" s="87"/>
      <c r="C22" s="87"/>
      <c r="D22" s="87"/>
      <c r="E22" s="87"/>
      <c r="F22" s="8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88"/>
      <c r="B23" s="87"/>
      <c r="C23" s="87"/>
      <c r="D23" s="87"/>
      <c r="E23" s="87"/>
      <c r="F23" s="8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1.0"/>
  </cols>
  <sheetData>
    <row r="1" ht="27.75" customHeight="1">
      <c r="A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8" t="s">
        <v>2</v>
      </c>
      <c r="B2" s="8" t="s">
        <v>8</v>
      </c>
      <c r="D2" s="10" t="s">
        <v>9</v>
      </c>
      <c r="F2" s="12"/>
      <c r="G2" s="1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22">
        <f t="shared" ref="A3:B3" si="1">SUM(B17, B18)</f>
        <v>456</v>
      </c>
      <c r="B3" s="22">
        <f t="shared" si="1"/>
        <v>5</v>
      </c>
      <c r="D3" s="23">
        <f>SUM(F17, F18)</f>
        <v>27</v>
      </c>
      <c r="F3" s="12"/>
      <c r="G3" s="1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25"/>
      <c r="B4" s="14"/>
      <c r="C4" s="14"/>
      <c r="D4" s="12"/>
      <c r="E4" s="12"/>
      <c r="F4" s="12"/>
      <c r="G4" s="1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30.0" customHeight="1">
      <c r="A5" s="27" t="s">
        <v>220</v>
      </c>
      <c r="B5" s="29" t="s">
        <v>4</v>
      </c>
      <c r="C5" s="29" t="s">
        <v>5</v>
      </c>
      <c r="D5" s="31" t="s">
        <v>67</v>
      </c>
      <c r="E5" s="31" t="s">
        <v>77</v>
      </c>
      <c r="F5" s="31" t="s">
        <v>79</v>
      </c>
      <c r="G5" s="29"/>
      <c r="H5" s="33"/>
      <c r="I5" s="33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</row>
    <row r="6" ht="30.0" customHeight="1">
      <c r="A6" s="63" t="s">
        <v>221</v>
      </c>
      <c r="B6" s="64">
        <v>210.0</v>
      </c>
      <c r="C6" s="64">
        <v>4.0</v>
      </c>
      <c r="D6" s="73"/>
      <c r="E6" s="68"/>
      <c r="F6" s="66"/>
      <c r="G6" s="67" t="str">
        <f>HYPERLINK("https://www.health.nsw.gov.au/news/Pages/20200317_01.aspx","Source")</f>
        <v>Source</v>
      </c>
      <c r="H6" s="91"/>
      <c r="I6" s="91"/>
      <c r="J6" s="33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</row>
    <row r="7" ht="30.0" customHeight="1">
      <c r="A7" s="63" t="s">
        <v>223</v>
      </c>
      <c r="B7" s="64">
        <v>94.0</v>
      </c>
      <c r="C7" s="65"/>
      <c r="D7" s="66"/>
      <c r="E7" s="66"/>
      <c r="F7" s="68"/>
      <c r="G7" s="67" t="str">
        <f>HYPERLINK("https://twitter.com/3AW693/status/1239672847120789504","Source")</f>
        <v>Source</v>
      </c>
      <c r="H7" s="91"/>
      <c r="I7" s="91"/>
      <c r="J7" s="33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</row>
    <row r="8" ht="30.0" customHeight="1">
      <c r="A8" s="37" t="s">
        <v>225</v>
      </c>
      <c r="B8" s="41">
        <v>78.0</v>
      </c>
      <c r="C8" s="43"/>
      <c r="D8" s="45"/>
      <c r="E8" s="45"/>
      <c r="F8" s="92"/>
      <c r="G8" s="48" t="str">
        <f>HYPERLINK("https://www.health.qld.gov.au/news-events/doh-media-releases/releases/queensland-novel-coronavirus-covid-19-update2","Source")</f>
        <v>Source</v>
      </c>
      <c r="H8" s="91"/>
      <c r="I8" s="91"/>
      <c r="J8" s="33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</row>
    <row r="9" ht="30.0" customHeight="1">
      <c r="A9" s="63" t="s">
        <v>227</v>
      </c>
      <c r="B9" s="64">
        <v>32.0</v>
      </c>
      <c r="C9" s="65"/>
      <c r="D9" s="66"/>
      <c r="E9" s="66"/>
      <c r="F9" s="66">
        <v>3.0</v>
      </c>
      <c r="G9" s="67" t="str">
        <f>HYPERLINK("https://www.sahealth.sa.gov.au/wps/wcm/connect/public+content/sa+health+internet/about+us/news+and+media/all+media+releases/covid-19+coronavirus+update+17+march+2020","Source")</f>
        <v>Source</v>
      </c>
      <c r="H9" s="91"/>
      <c r="I9" s="91"/>
      <c r="J9" s="33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</row>
    <row r="10" ht="30.0" customHeight="1">
      <c r="A10" s="63" t="s">
        <v>229</v>
      </c>
      <c r="B10" s="64">
        <v>31.0</v>
      </c>
      <c r="C10" s="65">
        <v>1.0</v>
      </c>
      <c r="D10" s="66"/>
      <c r="E10" s="66"/>
      <c r="F10" s="66">
        <v>1.0</v>
      </c>
      <c r="G10" s="67" t="str">
        <f>HYPERLINK("https://ww2.health.wa.gov.au/Media-releases/2020/COVID19-update-cases-29-to-31","Source")</f>
        <v>Source</v>
      </c>
      <c r="H10" s="91"/>
      <c r="I10" s="91"/>
      <c r="J10" s="33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</row>
    <row r="11" ht="30.0" customHeight="1">
      <c r="A11" s="63" t="s">
        <v>230</v>
      </c>
      <c r="B11" s="64">
        <v>7.0</v>
      </c>
      <c r="C11" s="65"/>
      <c r="D11" s="66"/>
      <c r="E11" s="66"/>
      <c r="F11" s="66"/>
      <c r="G11" s="67" t="str">
        <f>HYPERLINK("https://www.dhhs.tas.gov.au/news/2020/seventh_coronavirus_case_confirmed_-_15_march_2020","Source")</f>
        <v>Source</v>
      </c>
      <c r="H11" s="91"/>
      <c r="I11" s="91"/>
      <c r="J11" s="33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</row>
    <row r="12" ht="30.0" customHeight="1">
      <c r="A12" s="63" t="s">
        <v>232</v>
      </c>
      <c r="B12" s="64">
        <v>1.0</v>
      </c>
      <c r="C12" s="65"/>
      <c r="D12" s="66"/>
      <c r="E12" s="66"/>
      <c r="F12" s="66"/>
      <c r="G12" s="67" t="str">
        <f>HYPERLINK("http://mediareleases.nt.gov.au/mediaRelease/32050","Source")</f>
        <v>Source</v>
      </c>
      <c r="H12" s="91"/>
      <c r="I12" s="91"/>
      <c r="J12" s="33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</row>
    <row r="13" ht="30.0" customHeight="1">
      <c r="A13" s="63" t="s">
        <v>234</v>
      </c>
      <c r="B13" s="64">
        <v>3.0</v>
      </c>
      <c r="C13" s="65"/>
      <c r="D13" s="66"/>
      <c r="E13" s="66"/>
      <c r="F13" s="66"/>
      <c r="G13" s="67" t="str">
        <f>HYPERLINK("https://www.health.act.gov.au/about-our-health-system/novel-coronavirus-covid-19/latest-news","Source")</f>
        <v>Source</v>
      </c>
      <c r="H13" s="91"/>
      <c r="I13" s="91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</row>
    <row r="14" ht="30.0" customHeight="1">
      <c r="A14" s="63" t="s">
        <v>235</v>
      </c>
      <c r="B14" s="64">
        <v>0.0</v>
      </c>
      <c r="C14" s="65"/>
      <c r="D14" s="66"/>
      <c r="E14" s="66"/>
      <c r="F14" s="66"/>
      <c r="G14" s="76"/>
      <c r="H14" s="33"/>
      <c r="I14" s="33"/>
      <c r="J14" s="33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</row>
    <row r="15" ht="30.0" customHeight="1">
      <c r="A15" s="63" t="s">
        <v>237</v>
      </c>
      <c r="B15" s="64">
        <v>0.0</v>
      </c>
      <c r="C15" s="65"/>
      <c r="D15" s="66"/>
      <c r="E15" s="66"/>
      <c r="F15" s="66"/>
      <c r="G15" s="76"/>
      <c r="H15" s="33"/>
      <c r="I15" s="33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</row>
    <row r="16" ht="30.0" customHeight="1">
      <c r="A16" s="63" t="s">
        <v>238</v>
      </c>
      <c r="B16" s="64"/>
      <c r="C16" s="65"/>
      <c r="D16" s="66"/>
      <c r="E16" s="66"/>
      <c r="F16" s="66">
        <v>23.0</v>
      </c>
      <c r="G16" s="76"/>
      <c r="H16" s="33"/>
      <c r="I16" s="33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</row>
    <row r="17" ht="30.0" customHeight="1">
      <c r="A17" s="78" t="s">
        <v>152</v>
      </c>
      <c r="B17" s="79">
        <f t="shared" ref="B17:F17" si="2">SUM(B6:B16)</f>
        <v>456</v>
      </c>
      <c r="C17" s="79">
        <f t="shared" si="2"/>
        <v>5</v>
      </c>
      <c r="D17" s="79">
        <f t="shared" si="2"/>
        <v>0</v>
      </c>
      <c r="E17" s="79">
        <f t="shared" si="2"/>
        <v>0</v>
      </c>
      <c r="F17" s="79">
        <f t="shared" si="2"/>
        <v>27</v>
      </c>
      <c r="G17" s="80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</row>
    <row r="18">
      <c r="A18" s="78"/>
      <c r="B18" s="81"/>
      <c r="C18" s="81"/>
      <c r="D18" s="82"/>
      <c r="E18" s="84"/>
      <c r="F18" s="81"/>
      <c r="G18" s="80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85"/>
      <c r="B19" s="86"/>
      <c r="C19" s="87"/>
      <c r="D19" s="87"/>
      <c r="E19" s="87"/>
      <c r="F19" s="87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88"/>
      <c r="B20" s="87"/>
      <c r="C20" s="87"/>
      <c r="D20" s="87"/>
      <c r="E20" s="87"/>
      <c r="F20" s="87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88"/>
      <c r="B21" s="87"/>
      <c r="C21" s="87"/>
      <c r="D21" s="87"/>
      <c r="E21" s="87"/>
      <c r="F21" s="87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8.71"/>
    <col customWidth="1" min="6" max="6" width="13.0"/>
    <col customWidth="1" min="7" max="7" width="11.29"/>
  </cols>
  <sheetData>
    <row r="1" ht="27.75" customHeight="1">
      <c r="A1" s="2" t="s">
        <v>245</v>
      </c>
      <c r="H1" s="4"/>
      <c r="I1" s="4"/>
      <c r="J1" s="4"/>
    </row>
    <row r="2">
      <c r="A2" s="8" t="s">
        <v>246</v>
      </c>
      <c r="B2" s="8" t="s">
        <v>247</v>
      </c>
      <c r="D2" s="10" t="s">
        <v>248</v>
      </c>
      <c r="F2" s="12"/>
      <c r="G2" s="14"/>
      <c r="H2" s="4"/>
      <c r="I2" s="4"/>
      <c r="J2" s="4"/>
    </row>
    <row r="3">
      <c r="A3" s="22">
        <f t="shared" ref="A3:B3" si="1">SUM(B21, B22)</f>
        <v>5507</v>
      </c>
      <c r="B3" s="22">
        <f t="shared" si="1"/>
        <v>135</v>
      </c>
      <c r="D3" s="23">
        <f>SUM(F21, F22)</f>
        <v>4</v>
      </c>
      <c r="F3" s="12"/>
      <c r="G3" s="14"/>
      <c r="H3" s="4"/>
      <c r="I3" s="4"/>
      <c r="J3" s="4"/>
    </row>
    <row r="4">
      <c r="A4" s="25"/>
      <c r="B4" s="14"/>
      <c r="C4" s="14"/>
      <c r="D4" s="12"/>
      <c r="E4" s="12"/>
      <c r="F4" s="12"/>
      <c r="G4" s="14"/>
      <c r="H4" s="4"/>
      <c r="I4" s="4"/>
      <c r="J4" s="4"/>
    </row>
    <row r="5" ht="30.0" customHeight="1">
      <c r="A5" s="27" t="s">
        <v>249</v>
      </c>
      <c r="B5" s="29" t="s">
        <v>250</v>
      </c>
      <c r="C5" s="29" t="s">
        <v>251</v>
      </c>
      <c r="D5" s="31" t="s">
        <v>252</v>
      </c>
      <c r="E5" s="31" t="s">
        <v>253</v>
      </c>
      <c r="F5" s="31" t="s">
        <v>254</v>
      </c>
      <c r="G5" s="29" t="s">
        <v>255</v>
      </c>
      <c r="H5" s="36"/>
      <c r="I5" s="36"/>
      <c r="J5" s="36"/>
    </row>
    <row r="6" ht="30.0" customHeight="1">
      <c r="A6" s="37" t="s">
        <v>256</v>
      </c>
      <c r="B6" s="41">
        <v>5232.0</v>
      </c>
      <c r="C6" s="43">
        <v>133.0</v>
      </c>
      <c r="D6" s="45"/>
      <c r="E6" s="45"/>
      <c r="F6" s="92"/>
      <c r="G6" s="48" t="str">
        <f>HYPERLINK("https://www.rtve.es/noticias/20200309/mapa-del-coronavirus-espana/2004681.shtml","Fuente")</f>
        <v>Fuente</v>
      </c>
      <c r="H6" s="36"/>
      <c r="I6" s="36"/>
      <c r="J6" s="36"/>
    </row>
    <row r="7" ht="30.0" customHeight="1">
      <c r="A7" s="63" t="s">
        <v>257</v>
      </c>
      <c r="B7" s="64">
        <v>98.0</v>
      </c>
      <c r="C7" s="65">
        <v>0.0</v>
      </c>
      <c r="D7" s="66">
        <v>1.0</v>
      </c>
      <c r="E7" s="66"/>
      <c r="F7" s="68"/>
      <c r="G7" s="67" t="str">
        <f>HYPERLINK("http://plataforma.saude.gov.br/novocoronavirus/","Fuente")</f>
        <v>Fuente</v>
      </c>
      <c r="H7" s="36"/>
      <c r="I7" s="36"/>
      <c r="J7" s="36"/>
    </row>
    <row r="8" ht="30.0" customHeight="1">
      <c r="A8" s="63" t="s">
        <v>47</v>
      </c>
      <c r="B8" s="64">
        <v>43.0</v>
      </c>
      <c r="C8" s="65">
        <v>0.0</v>
      </c>
      <c r="D8" s="66"/>
      <c r="E8" s="66"/>
      <c r="F8" s="68"/>
      <c r="G8" s="67" t="str">
        <f>HYPERLINK("https://www.t13.cl/noticia/nacional/covid-19-aumentan-43-casos-confirmados-chile","Fuente")</f>
        <v>Fuente</v>
      </c>
      <c r="H8" s="36"/>
      <c r="I8" s="36"/>
      <c r="J8" s="36"/>
    </row>
    <row r="9" ht="30.0" customHeight="1">
      <c r="A9" s="63" t="s">
        <v>85</v>
      </c>
      <c r="B9" s="64">
        <v>26.0</v>
      </c>
      <c r="C9" s="65">
        <v>0.0</v>
      </c>
      <c r="D9" s="66"/>
      <c r="E9" s="66"/>
      <c r="F9" s="68"/>
      <c r="G9" s="67" t="str">
        <f>HYPERLINK("https://www.ministeriodesalud.go.cr/index.php/centro-de-prensa/noticias/741-noticias-2020/1567-se-activa-la-linea-1322-para-atencion-de-consultas-sobre-covid-19","Fuente")</f>
        <v>Fuente</v>
      </c>
      <c r="H9" s="36"/>
      <c r="I9" s="36"/>
      <c r="J9" s="36"/>
    </row>
    <row r="10" ht="30.0" customHeight="1">
      <c r="A10" s="63" t="s">
        <v>69</v>
      </c>
      <c r="B10" s="64">
        <v>21.0</v>
      </c>
      <c r="C10" s="65">
        <v>1.0</v>
      </c>
      <c r="D10" s="66"/>
      <c r="E10" s="66"/>
      <c r="F10" s="68"/>
      <c r="G10" s="67" t="str">
        <f>HYPERLINK("https://www.clarin.com/sociedad/coronavirus-argentina-confirmaron-casos-importados-21-contagiados_0_ZU0WjVc-.html","Fuente")</f>
        <v>Fuente</v>
      </c>
      <c r="H10" s="36"/>
      <c r="I10" s="36"/>
      <c r="J10" s="36"/>
    </row>
    <row r="11" ht="30.0" customHeight="1">
      <c r="A11" s="63" t="s">
        <v>83</v>
      </c>
      <c r="B11" s="64">
        <v>17.0</v>
      </c>
      <c r="C11" s="64">
        <v>0.0</v>
      </c>
      <c r="D11" s="73"/>
      <c r="E11" s="68"/>
      <c r="F11" s="66"/>
      <c r="G11" s="67" t="str">
        <f>HYPERLINK("https://twitter.com/Salud_Ec/status/1237506194740109313","Fuente")</f>
        <v>Fuente</v>
      </c>
      <c r="H11" s="36"/>
      <c r="I11" s="36"/>
      <c r="J11" s="36"/>
    </row>
    <row r="12" ht="30.0" customHeight="1">
      <c r="A12" s="63" t="s">
        <v>61</v>
      </c>
      <c r="B12" s="64">
        <v>17.0</v>
      </c>
      <c r="C12" s="65">
        <v>0.0</v>
      </c>
      <c r="D12" s="66"/>
      <c r="E12" s="66"/>
      <c r="F12" s="68"/>
      <c r="G12" s="67" t="str">
        <f>HYPERLINK("https://twitter.com/Minsa_Peru/status/1237916429975945217","Fuente")</f>
        <v>Fuente</v>
      </c>
      <c r="H12" s="36"/>
      <c r="I12" s="36"/>
      <c r="J12" s="36"/>
    </row>
    <row r="13" ht="30.0" customHeight="1">
      <c r="A13" s="63" t="s">
        <v>259</v>
      </c>
      <c r="B13" s="64">
        <v>14.0</v>
      </c>
      <c r="C13" s="65">
        <v>1.0</v>
      </c>
      <c r="D13" s="66"/>
      <c r="E13" s="66"/>
      <c r="F13" s="68"/>
      <c r="G13" s="67" t="str">
        <f>HYPERLINK("https://www.prensa.com/sociedad/coronavirus-10-mujeres-y-4-hombres-contagiados-en-panama/","Fuente")</f>
        <v>Fuente</v>
      </c>
      <c r="H13" s="36"/>
      <c r="I13" s="36"/>
      <c r="J13" s="36"/>
    </row>
    <row r="14" ht="30.0" customHeight="1">
      <c r="A14" s="63" t="s">
        <v>260</v>
      </c>
      <c r="B14" s="64">
        <v>13.0</v>
      </c>
      <c r="C14" s="65">
        <v>0.0</v>
      </c>
      <c r="D14" s="66">
        <v>1.0</v>
      </c>
      <c r="E14" s="66"/>
      <c r="F14" s="66">
        <v>4.0</v>
      </c>
      <c r="G14" s="67" t="str">
        <f>HYPERLINK("https://www.infobae.com/america/mexico/2020/03/11/coronavirus-se-confirmo-el-primer-caso-en-queretaro-suman-9-en-todo-el-pais/","Fuente")</f>
        <v>Fuente</v>
      </c>
      <c r="H14" s="36"/>
      <c r="I14" s="36"/>
      <c r="J14" s="36"/>
    </row>
    <row r="15" ht="30.0" customHeight="1">
      <c r="A15" s="63" t="s">
        <v>78</v>
      </c>
      <c r="B15" s="64">
        <v>9.0</v>
      </c>
      <c r="C15" s="65">
        <v>0.0</v>
      </c>
      <c r="D15" s="66"/>
      <c r="E15" s="66"/>
      <c r="F15" s="68"/>
      <c r="G15" s="67" t="str">
        <f>HYPERLINK("https://www.eltiempo.com/colombia/cali/estado-de-salud-de-colombiano-con-coronavirus-hospitalizado-en-buga-470598","Fuente")</f>
        <v>Fuente</v>
      </c>
      <c r="H15" s="36"/>
      <c r="I15" s="36"/>
      <c r="J15" s="36"/>
    </row>
    <row r="16" ht="30.0" customHeight="1">
      <c r="A16" s="63" t="s">
        <v>261</v>
      </c>
      <c r="B16" s="64">
        <v>5.0</v>
      </c>
      <c r="C16" s="65">
        <v>0.0</v>
      </c>
      <c r="D16" s="66"/>
      <c r="E16" s="66"/>
      <c r="F16" s="68"/>
      <c r="G16" s="67" t="str">
        <f>HYPERLINK("https://listindiario.com/la-republica/2020/03/09/607425/ya-suman-cinco-los-casos-de-coronavirus-en-el-pais","Fuente")</f>
        <v>Fuente</v>
      </c>
      <c r="H16" s="36"/>
      <c r="I16" s="36"/>
      <c r="J16" s="36"/>
    </row>
    <row r="17" ht="30.0" customHeight="1">
      <c r="A17" s="63" t="s">
        <v>115</v>
      </c>
      <c r="B17" s="64">
        <v>5.0</v>
      </c>
      <c r="C17" s="65">
        <v>0.0</v>
      </c>
      <c r="D17" s="66">
        <v>1.0</v>
      </c>
      <c r="E17" s="66"/>
      <c r="F17" s="68"/>
      <c r="G17" s="67" t="str">
        <f>HYPERLINK("https://twitter.com/MazzoleniJulio/status/1237530868287041536","Fuente")</f>
        <v>Fuente</v>
      </c>
      <c r="H17" s="36"/>
      <c r="I17" s="36"/>
      <c r="J17" s="36"/>
    </row>
    <row r="18" ht="30.0" customHeight="1">
      <c r="A18" s="63" t="s">
        <v>262</v>
      </c>
      <c r="B18" s="64">
        <v>3.0</v>
      </c>
      <c r="C18" s="65">
        <v>0.0</v>
      </c>
      <c r="D18" s="66"/>
      <c r="E18" s="66"/>
      <c r="F18" s="68"/>
      <c r="G18" s="67" t="str">
        <f>HYPERLINK("https://twitter.com/DeItaOne/status/1237904234206711808","Fuente")</f>
        <v>Fuente</v>
      </c>
      <c r="H18" s="36"/>
      <c r="I18" s="36"/>
      <c r="J18" s="36"/>
    </row>
    <row r="19" ht="30.0" customHeight="1">
      <c r="A19" s="63" t="s">
        <v>112</v>
      </c>
      <c r="B19" s="64">
        <v>2.0</v>
      </c>
      <c r="C19" s="65">
        <v>0.0</v>
      </c>
      <c r="D19" s="66"/>
      <c r="E19" s="66"/>
      <c r="F19" s="68"/>
      <c r="G19" s="67" t="str">
        <f>HYPERLINK("https://www.minsalud.gob.bo/3967-ministro-de-salud-reporta-dos-casos-confirmados-de-coronavirus-y-pide-calma-a-la-poblacion","Fuente")</f>
        <v>Fuente</v>
      </c>
      <c r="H19" s="36"/>
      <c r="I19" s="36"/>
      <c r="J19" s="36"/>
    </row>
    <row r="20" ht="30.0" customHeight="1">
      <c r="A20" s="63" t="s">
        <v>122</v>
      </c>
      <c r="B20" s="64">
        <v>2.0</v>
      </c>
      <c r="C20" s="65">
        <v>0.0</v>
      </c>
      <c r="D20" s="66"/>
      <c r="E20" s="66"/>
      <c r="F20" s="68"/>
      <c r="G20" s="67" t="str">
        <f>HYPERLINK("https://twitter.com/saludhn/status/1237652409687724034","Fuente")</f>
        <v>Fuente</v>
      </c>
      <c r="H20" s="36"/>
      <c r="I20" s="36"/>
      <c r="J20" s="36"/>
    </row>
    <row r="21" ht="30.0" customHeight="1">
      <c r="A21" s="78" t="s">
        <v>152</v>
      </c>
      <c r="B21" s="79">
        <f t="shared" ref="B21:C21" si="2">SUM(B6:B20)</f>
        <v>5507</v>
      </c>
      <c r="C21" s="79">
        <f t="shared" si="2"/>
        <v>135</v>
      </c>
      <c r="D21" s="79">
        <f t="shared" ref="D21:F21" si="3">SUM(D6:D16)</f>
        <v>2</v>
      </c>
      <c r="E21" s="79">
        <f t="shared" si="3"/>
        <v>0</v>
      </c>
      <c r="F21" s="79">
        <f t="shared" si="3"/>
        <v>4</v>
      </c>
      <c r="G21" s="80"/>
      <c r="H21" s="36"/>
      <c r="I21" s="36"/>
      <c r="J21" s="36"/>
    </row>
    <row r="22">
      <c r="A22" s="88"/>
      <c r="B22" s="87"/>
      <c r="C22" s="87"/>
      <c r="D22" s="87"/>
      <c r="E22" s="87"/>
      <c r="F22" s="87"/>
      <c r="G22" s="4"/>
      <c r="H22" s="4"/>
      <c r="I22" s="4"/>
      <c r="J22" s="4"/>
    </row>
    <row r="23">
      <c r="A23" s="85"/>
      <c r="B23" s="86"/>
      <c r="C23" s="87"/>
      <c r="D23" s="87"/>
      <c r="E23" s="87"/>
      <c r="F23" s="87"/>
      <c r="G23" s="4"/>
      <c r="H23" s="4"/>
      <c r="I23" s="4"/>
      <c r="J23" s="4"/>
    </row>
    <row r="24">
      <c r="A24" s="88"/>
      <c r="B24" s="87"/>
      <c r="C24" s="87"/>
      <c r="D24" s="87"/>
      <c r="E24" s="87"/>
      <c r="F24" s="87"/>
      <c r="G24" s="4"/>
      <c r="H24" s="4"/>
      <c r="I24" s="4"/>
      <c r="J24" s="4"/>
    </row>
    <row r="25">
      <c r="A25" s="88"/>
      <c r="B25" s="87"/>
      <c r="C25" s="87"/>
      <c r="D25" s="87"/>
      <c r="E25" s="87"/>
      <c r="F25" s="87"/>
      <c r="G25" s="4"/>
      <c r="H25" s="4"/>
      <c r="I25" s="4"/>
      <c r="J25" s="4"/>
    </row>
  </sheetData>
  <mergeCells count="5">
    <mergeCell ref="A1:G1"/>
    <mergeCell ref="B2:C2"/>
    <mergeCell ref="D2:E2"/>
    <mergeCell ref="B3:C3"/>
    <mergeCell ref="D3:E3"/>
  </mergeCells>
  <drawing r:id="rId2"/>
  <legacyDrawing r:id="rId3"/>
  <tableParts count="1">
    <tablePart r:id="rId5"/>
  </tableParts>
</worksheet>
</file>