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China" sheetId="3" r:id="rId6"/>
    <sheet state="visible" name="Canada" sheetId="4" r:id="rId7"/>
    <sheet state="visible" name="Australia" sheetId="5" r:id="rId8"/>
    <sheet state="visible" name="América Latina y España" sheetId="6" r:id="rId9"/>
    <sheet state="visible" name="United Kingdom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King: 116 (20)
Snohomish: 37 (1)
Pierce County: 4
Grant: 1 (1)
Jefferson: 1
Kittitas: 1
Clark: 1
Kitsap: 1</t>
      </text>
    </comment>
    <comment authorId="0" ref="B7">
      <text>
        <t xml:space="preserve">Westchester County: 98
New York City: 19
Nassau County: 17
Rockland County: 4
Saratoga: 2
Suffolk: 1
Ulster: 1</t>
      </text>
    </comment>
    <comment authorId="0" ref="B8">
      <text>
        <t xml:space="preserve">Santa Clara: 43 (1)
Los Angeles: 14
San Francisco: 8
Orange: 3
Sacramento: 3
San Diego: 3
Placer: 5 (1)
San Benito: 2
Alameda: 2
Sonoma: 2
Contra Costa: 9 (+ 3 external cases treated here, not counted)
City of Berkeley: 1
Solano: 1
Humboldt: 1
San Mateo: 1
Yolo: 1
Fresno: 1
Madera: 1
Riverside: 1 (+1 cruise ship not treated there, not counted, may be reported as a county case)</t>
      </text>
    </comment>
    <comment authorId="0" ref="B9">
      <text>
        <t xml:space="preserve">Suffolk County: 9
Norfolk County: 7
Middlesex County: 6
Residence unknown: 1
Unknown: 5</t>
      </text>
    </comment>
    <comment authorId="0" ref="B10">
      <text>
        <t xml:space="preserve">Washington: 8
Jackson: 2
Douglas: 1
Klamath: 1
Marion: 1
Umatilla: 1</t>
      </text>
    </comment>
    <comment authorId="0" ref="B11">
      <text>
        <t xml:space="preserve">Broward County: 3
Lee County: 2 (1)
Santa Rosa County: 1 (1)
Charlotte County: 1
Okaloosa County: 1
Hillsborough County: 1
Manatee County: 2
Volusia County: 2</t>
      </text>
    </comment>
    <comment authorId="0" ref="B12">
      <text>
        <t xml:space="preserve">Fulton County: 4
Polk County: 1
Cobb County: 3
Gwinnett: 1
Fulton: 1
Cherokee: 1</t>
      </text>
    </comment>
    <comment authorId="0" ref="B13">
      <text>
        <t xml:space="preserve">Douglas County: 3
Denver County: 2
Eagle County: 1
El Paso County: 1
Summit County: 1</t>
      </text>
    </comment>
    <comment authorId="0" ref="B14">
      <text>
        <t xml:space="preserve">Cook County: 5
City of Chicago: 2</t>
      </text>
    </comment>
    <comment authorId="0" ref="B15">
      <text>
        <t xml:space="preserve">Harris County: 4
Fort Bend: 1
Houston: 2</t>
      </text>
    </comment>
    <comment authorId="0" ref="B16">
      <text>
        <t xml:space="preserve">Bergen County: 3
Camden County: 2
Passaic County: 1</t>
      </text>
    </comment>
    <comment authorId="0" ref="B17">
      <text>
        <t xml:space="preserve">Wayne County: 1
Delaware County: 1
Montgomery County: 4</t>
      </text>
    </comment>
    <comment authorId="0" ref="B18">
      <text>
        <t xml:space="preserve">Montgomery County: 4
Harford County: 1
Prince George's County: 1</t>
      </text>
    </comment>
    <comment authorId="0" ref="B19">
      <text>
        <t xml:space="preserve">Kershaw County: 4
Charleston County: 1
Spartanburg County: 1</t>
      </text>
    </comment>
    <comment authorId="0" ref="B20">
      <text>
        <t xml:space="preserve">Fayette County: 3
Jefferson County: 1
Harrison County: 2</t>
      </text>
    </comment>
    <comment authorId="0" ref="B21">
      <text>
        <t xml:space="preserve">Pinal County: 1
Maricopa County: 2
Pinal County: 2</t>
      </text>
    </comment>
    <comment authorId="0" ref="B22">
      <text>
        <t xml:space="preserve">Fairfax County: 3
Spotsylvania: 1
Arlington: 1</t>
      </text>
    </comment>
    <comment authorId="0" ref="B23">
      <text>
        <t xml:space="preserve">Grafton County: 3
Rockingham County: 1</t>
      </text>
    </comment>
    <comment authorId="0" ref="B24">
      <text>
        <t xml:space="preserve">Clark County: 2
Wahoe County: 2</t>
      </text>
    </comment>
    <comment authorId="0" ref="B26">
      <text>
        <t xml:space="preserve">Williamson County: 1
Shelby County: 1
Davidson County: 1</t>
      </text>
    </comment>
    <comment authorId="0" ref="B28">
      <text>
        <t xml:space="preserve">Chatham County: 1
Unknown: 1</t>
      </text>
    </comment>
    <comment authorId="0" ref="B29">
      <text>
        <t xml:space="preserve">Marion County: 1
Hendricks County: 1</t>
      </text>
    </comment>
    <comment authorId="0" ref="B30">
      <text>
        <t xml:space="preserve">Carver County: 1</t>
      </text>
    </comment>
    <comment authorId="0" ref="B33">
      <text>
        <t xml:space="preserve">Davis County: 1</t>
      </text>
    </comment>
    <comment authorId="0" ref="B35">
      <text>
        <t xml:space="preserve">St. Louis County: 1</t>
      </text>
    </comment>
    <comment authorId="0" ref="B36">
      <text>
        <t xml:space="preserve">Tulsa County: 1</t>
      </text>
    </comment>
    <comment authorId="0" ref="B38">
      <text>
        <t xml:space="preserve">Douglas County: 1</t>
      </text>
    </comment>
    <comment authorId="0" ref="B40">
      <text>
        <t xml:space="preserve">Fairfield County: 1</t>
      </text>
    </comment>
  </commentList>
</comments>
</file>

<file path=xl/sharedStrings.xml><?xml version="1.0" encoding="utf-8"?>
<sst xmlns="http://schemas.openxmlformats.org/spreadsheetml/2006/main" count="412" uniqueCount="232">
  <si>
    <t>Currently being updated</t>
  </si>
  <si>
    <t>CASES</t>
  </si>
  <si>
    <t>DEATHS</t>
  </si>
  <si>
    <t>RECOVERED</t>
  </si>
  <si>
    <t>UNRESOLVED</t>
  </si>
  <si>
    <t>MAINLAND CHINA</t>
  </si>
  <si>
    <t>UNITED STATES</t>
  </si>
  <si>
    <t>Cases</t>
  </si>
  <si>
    <t>OTHER PLACES</t>
  </si>
  <si>
    <t>Deaths</t>
  </si>
  <si>
    <t>Serious</t>
  </si>
  <si>
    <t>Critical</t>
  </si>
  <si>
    <t>Recovered</t>
  </si>
  <si>
    <t>Links</t>
  </si>
  <si>
    <t>Hubei province (includes Wuhan)</t>
  </si>
  <si>
    <t>Washington</t>
  </si>
  <si>
    <t>Mainland China</t>
  </si>
  <si>
    <t>-</t>
  </si>
  <si>
    <t>Guangdong province</t>
  </si>
  <si>
    <t>New York</t>
  </si>
  <si>
    <t>California</t>
  </si>
  <si>
    <t>Massachusetts</t>
  </si>
  <si>
    <t>Oregon</t>
  </si>
  <si>
    <t>Florida</t>
  </si>
  <si>
    <t>Georgia</t>
  </si>
  <si>
    <t>Colorado</t>
  </si>
  <si>
    <t>South Korea</t>
  </si>
  <si>
    <t>Illinois</t>
  </si>
  <si>
    <t>Italy</t>
  </si>
  <si>
    <t>Texas</t>
  </si>
  <si>
    <t>Henan province</t>
  </si>
  <si>
    <t>New Jersey</t>
  </si>
  <si>
    <t>Iran</t>
  </si>
  <si>
    <t>Pennsylvania</t>
  </si>
  <si>
    <t>Zhejiang province</t>
  </si>
  <si>
    <t>France</t>
  </si>
  <si>
    <t>Maryland</t>
  </si>
  <si>
    <t>Hunan province</t>
  </si>
  <si>
    <t>Germany</t>
  </si>
  <si>
    <t>South Carolina</t>
  </si>
  <si>
    <t>Beijing</t>
  </si>
  <si>
    <t>Spain</t>
  </si>
  <si>
    <t>Kentucky</t>
  </si>
  <si>
    <t>Shanghai</t>
  </si>
  <si>
    <t>Diamond Princess</t>
  </si>
  <si>
    <t>Arizona</t>
  </si>
  <si>
    <t>Other regions</t>
  </si>
  <si>
    <t>Dozens</t>
  </si>
  <si>
    <t>United States</t>
  </si>
  <si>
    <t>Virginia</t>
  </si>
  <si>
    <t>Undisclosed</t>
  </si>
  <si>
    <t>New Hampshire</t>
  </si>
  <si>
    <t>Japan</t>
  </si>
  <si>
    <t>Nevada</t>
  </si>
  <si>
    <t>Switzerland</t>
  </si>
  <si>
    <t>Rhode Island</t>
  </si>
  <si>
    <t>TOTAL</t>
  </si>
  <si>
    <t>Netherlands</t>
  </si>
  <si>
    <t>Tennessee</t>
  </si>
  <si>
    <t>United Kingdom</t>
  </si>
  <si>
    <t>Iowa</t>
  </si>
  <si>
    <t>Sweden</t>
  </si>
  <si>
    <t>North Carolina</t>
  </si>
  <si>
    <t>Belgium</t>
  </si>
  <si>
    <t>Indiana</t>
  </si>
  <si>
    <t>Norway</t>
  </si>
  <si>
    <t>Minnesota</t>
  </si>
  <si>
    <t>Hawaii</t>
  </si>
  <si>
    <t>Singapore</t>
  </si>
  <si>
    <t>Vermont</t>
  </si>
  <si>
    <t>Austria</t>
  </si>
  <si>
    <t>Utah</t>
  </si>
  <si>
    <t>Malaysia</t>
  </si>
  <si>
    <t>Kansas</t>
  </si>
  <si>
    <t>Hong Kong</t>
  </si>
  <si>
    <t>Missouri</t>
  </si>
  <si>
    <t>Bahrain</t>
  </si>
  <si>
    <t>Oklahoma</t>
  </si>
  <si>
    <t>Australia</t>
  </si>
  <si>
    <t>Wisconsin</t>
  </si>
  <si>
    <t>Nebraska</t>
  </si>
  <si>
    <t>Greece</t>
  </si>
  <si>
    <t>District of Columbia</t>
  </si>
  <si>
    <t>Connecticut</t>
  </si>
  <si>
    <t>Canada</t>
  </si>
  <si>
    <t>CANADA</t>
  </si>
  <si>
    <t>Wuhan</t>
  </si>
  <si>
    <t>Ontario</t>
  </si>
  <si>
    <t>Grand Princess</t>
  </si>
  <si>
    <t>British Columbia</t>
  </si>
  <si>
    <t>Iceland</t>
  </si>
  <si>
    <t>Quebec</t>
  </si>
  <si>
    <t>Alabama</t>
  </si>
  <si>
    <t>Alberta</t>
  </si>
  <si>
    <t>Alaska</t>
  </si>
  <si>
    <t>Manitoba</t>
  </si>
  <si>
    <t>Arkansas</t>
  </si>
  <si>
    <t>Kuwait</t>
  </si>
  <si>
    <t>Saskatchewan</t>
  </si>
  <si>
    <t>Delaware</t>
  </si>
  <si>
    <t>Nova Scotia</t>
  </si>
  <si>
    <t>Iraq</t>
  </si>
  <si>
    <t>New Brunswick</t>
  </si>
  <si>
    <t>Idaho</t>
  </si>
  <si>
    <t>Newfoundland &amp; Labrador</t>
  </si>
  <si>
    <t>Louisiana</t>
  </si>
  <si>
    <t>Prince Edward Island</t>
  </si>
  <si>
    <t>Maine</t>
  </si>
  <si>
    <t>Northwest Territories</t>
  </si>
  <si>
    <t>UAE</t>
  </si>
  <si>
    <t>Michigan</t>
  </si>
  <si>
    <t>Nunavut</t>
  </si>
  <si>
    <t>Mississippi</t>
  </si>
  <si>
    <t>Yukon</t>
  </si>
  <si>
    <t>Montana</t>
  </si>
  <si>
    <t>Egypt</t>
  </si>
  <si>
    <t>New Mexico</t>
  </si>
  <si>
    <t>North Dakota</t>
  </si>
  <si>
    <t>Ohio</t>
  </si>
  <si>
    <t>Thailand</t>
  </si>
  <si>
    <t>South Dakota</t>
  </si>
  <si>
    <t>West Virginia</t>
  </si>
  <si>
    <t>San Marino</t>
  </si>
  <si>
    <t>Wyoming</t>
  </si>
  <si>
    <t>Taiwan</t>
  </si>
  <si>
    <t>American Samoa</t>
  </si>
  <si>
    <t>Guam</t>
  </si>
  <si>
    <t>India</t>
  </si>
  <si>
    <t>Northern Mariana Islands</t>
  </si>
  <si>
    <t>Puerto Rico</t>
  </si>
  <si>
    <t>Portugal</t>
  </si>
  <si>
    <t>U.S. Virgin Islands</t>
  </si>
  <si>
    <t>U.S. TOTAL</t>
  </si>
  <si>
    <t>AUSTRALIA</t>
  </si>
  <si>
    <t>New South Wales</t>
  </si>
  <si>
    <t>Israel</t>
  </si>
  <si>
    <t>Queensland</t>
  </si>
  <si>
    <t>Denmark*</t>
  </si>
  <si>
    <t>Victoria</t>
  </si>
  <si>
    <t>South Australia</t>
  </si>
  <si>
    <t>Lebanon</t>
  </si>
  <si>
    <t>Western Australia</t>
  </si>
  <si>
    <t>Czech Republic</t>
  </si>
  <si>
    <t>Northern Territory</t>
  </si>
  <si>
    <t>Tasmania</t>
  </si>
  <si>
    <t>Vietnam</t>
  </si>
  <si>
    <t>External territories</t>
  </si>
  <si>
    <t>Jervis Bay Territory</t>
  </si>
  <si>
    <t>Finland</t>
  </si>
  <si>
    <t>Canberra (ACT)</t>
  </si>
  <si>
    <t>Brazil</t>
  </si>
  <si>
    <t>Ireland</t>
  </si>
  <si>
    <t>CASOS</t>
  </si>
  <si>
    <t>MUERTES</t>
  </si>
  <si>
    <t>RECUPERADOS</t>
  </si>
  <si>
    <t>Algeria</t>
  </si>
  <si>
    <t>Philippines</t>
  </si>
  <si>
    <t>Mundo Hispano</t>
  </si>
  <si>
    <t>Casos</t>
  </si>
  <si>
    <t>Muertes</t>
  </si>
  <si>
    <t>Serios</t>
  </si>
  <si>
    <t>Criticos</t>
  </si>
  <si>
    <t>Recuperados</t>
  </si>
  <si>
    <t>Fuente</t>
  </si>
  <si>
    <t>España</t>
  </si>
  <si>
    <t>Indonesia</t>
  </si>
  <si>
    <t>Brasil</t>
  </si>
  <si>
    <t>Argentina</t>
  </si>
  <si>
    <t>Qatar</t>
  </si>
  <si>
    <t>Ecuador</t>
  </si>
  <si>
    <t>Chile</t>
  </si>
  <si>
    <t>Romania</t>
  </si>
  <si>
    <t>England</t>
  </si>
  <si>
    <t>Peru</t>
  </si>
  <si>
    <t>Oman</t>
  </si>
  <si>
    <t>Costa Rica</t>
  </si>
  <si>
    <t>Northern Ireland</t>
  </si>
  <si>
    <t>México</t>
  </si>
  <si>
    <t>Wales</t>
  </si>
  <si>
    <t>Poland</t>
  </si>
  <si>
    <t>Scotland</t>
  </si>
  <si>
    <t>Rep. Dominicana</t>
  </si>
  <si>
    <t>Slovenia</t>
  </si>
  <si>
    <t>Colombia</t>
  </si>
  <si>
    <t>Paraguay</t>
  </si>
  <si>
    <t>Panamá</t>
  </si>
  <si>
    <t>Russia</t>
  </si>
  <si>
    <t>Saudi Arabia</t>
  </si>
  <si>
    <t>Croatia</t>
  </si>
  <si>
    <t>Macau</t>
  </si>
  <si>
    <t>Estonia</t>
  </si>
  <si>
    <t>Hungary</t>
  </si>
  <si>
    <t>Mexico</t>
  </si>
  <si>
    <t>Belarus</t>
  </si>
  <si>
    <t>Azerbaijan</t>
  </si>
  <si>
    <t>Latvia</t>
  </si>
  <si>
    <t>New Zealand</t>
  </si>
  <si>
    <t>Luxembourg</t>
  </si>
  <si>
    <t>Pakistan</t>
  </si>
  <si>
    <t>Slovakia</t>
  </si>
  <si>
    <t>Senegal</t>
  </si>
  <si>
    <t>Palestine</t>
  </si>
  <si>
    <t>Afghanistan</t>
  </si>
  <si>
    <t>Bulgaria</t>
  </si>
  <si>
    <t>Maldives</t>
  </si>
  <si>
    <t>South Africa</t>
  </si>
  <si>
    <t>Bangladesh</t>
  </si>
  <si>
    <t>Morocco</t>
  </si>
  <si>
    <t>Bosnia</t>
  </si>
  <si>
    <t>Cameroon</t>
  </si>
  <si>
    <t>Cambodia</t>
  </si>
  <si>
    <t>Tunisia</t>
  </si>
  <si>
    <t>Albania</t>
  </si>
  <si>
    <t>Nigeria</t>
  </si>
  <si>
    <t>Moldova</t>
  </si>
  <si>
    <t>Malta</t>
  </si>
  <si>
    <t>Togo</t>
  </si>
  <si>
    <t>Nepal</t>
  </si>
  <si>
    <t>Sri Lanka</t>
  </si>
  <si>
    <t>North Macedonia</t>
  </si>
  <si>
    <t>Lithuania</t>
  </si>
  <si>
    <t>Monaco</t>
  </si>
  <si>
    <t>Ukraine</t>
  </si>
  <si>
    <t>Jordan</t>
  </si>
  <si>
    <t>Andorra</t>
  </si>
  <si>
    <t>Armenia</t>
  </si>
  <si>
    <t>Dominican Republic</t>
  </si>
  <si>
    <t>Liechtenstein</t>
  </si>
  <si>
    <t>Bhutan</t>
  </si>
  <si>
    <t>Gibraltar</t>
  </si>
  <si>
    <t>Serbia</t>
  </si>
  <si>
    <t>Vatican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</si>
</sst>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0.0"/>
      <color rgb="FF000000"/>
      <name val="Arial"/>
    </font>
    <font>
      <b/>
      <i/>
      <sz val="12.0"/>
      <color rgb="FF000000"/>
      <name val="Roboto"/>
    </font>
    <font>
      <b/>
      <i/>
      <sz val="11.0"/>
      <color rgb="FF000000"/>
      <name val="Arial"/>
    </font>
    <font>
      <b/>
      <sz val="13.0"/>
      <color rgb="FF000000"/>
      <name val="Roboto"/>
    </font>
    <font>
      <sz val="11.0"/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b/>
      <sz val="11.0"/>
      <color rgb="FF38761D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5" numFmtId="0" xfId="0" applyAlignment="1" applyFont="1">
      <alignment readingOrder="0" vertical="bottom"/>
    </xf>
    <xf borderId="0" fillId="0" fontId="8" numFmtId="3" xfId="0" applyAlignment="1" applyFont="1" applyNumberFormat="1">
      <alignment horizontal="left" vertical="bottom"/>
    </xf>
    <xf borderId="0" fillId="0" fontId="4" numFmtId="0" xfId="0" applyAlignment="1" applyFont="1">
      <alignment readingOrder="0"/>
    </xf>
    <xf borderId="0" fillId="0" fontId="9" numFmtId="3" xfId="0" applyAlignment="1" applyFont="1" applyNumberFormat="1">
      <alignment horizontal="left" vertical="bottom"/>
    </xf>
    <xf borderId="0" fillId="0" fontId="7" numFmtId="0" xfId="0" applyAlignment="1" applyFont="1">
      <alignment horizontal="left" readingOrder="0"/>
    </xf>
    <xf borderId="0" fillId="0" fontId="10" numFmtId="3" xfId="0" applyAlignment="1" applyFont="1" applyNumberFormat="1">
      <alignment horizontal="left" vertical="bottom"/>
    </xf>
    <xf borderId="0" fillId="2" fontId="7" numFmtId="0" xfId="0" applyAlignment="1" applyFill="1" applyFont="1">
      <alignment horizontal="left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3" fontId="4" numFmtId="0" xfId="0" applyAlignment="1" applyFill="1" applyFont="1">
      <alignment vertical="center"/>
    </xf>
    <xf borderId="0" fillId="0" fontId="4" numFmtId="0" xfId="0" applyAlignment="1" applyFont="1">
      <alignment vertical="center"/>
    </xf>
    <xf borderId="0" fillId="0" fontId="11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vertical="center"/>
    </xf>
    <xf borderId="0" fillId="2" fontId="11" numFmtId="0" xfId="0" applyAlignment="1" applyFont="1">
      <alignment horizontal="left" readingOrder="0" shrinkToFit="0" vertical="center" wrapText="1"/>
    </xf>
    <xf borderId="0" fillId="0" fontId="11" numFmtId="3" xfId="0" applyAlignment="1" applyFont="1" applyNumberFormat="1">
      <alignment horizontal="center" readingOrder="0" vertical="center"/>
    </xf>
    <xf borderId="0" fillId="0" fontId="11" numFmtId="3" xfId="0" applyAlignment="1" applyFont="1" applyNumberFormat="1">
      <alignment horizontal="center" readingOrder="0" shrinkToFit="0" vertical="center" wrapText="1"/>
    </xf>
    <xf borderId="0" fillId="0" fontId="4" numFmtId="3" xfId="0" applyAlignment="1" applyFont="1" applyNumberFormat="1">
      <alignment horizontal="center" readingOrder="0" vertical="center"/>
    </xf>
    <xf borderId="0" fillId="2" fontId="11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4" numFmtId="3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vertical="center"/>
    </xf>
    <xf borderId="0" fillId="2" fontId="14" numFmtId="0" xfId="0" applyAlignment="1" applyFont="1">
      <alignment horizontal="center" readingOrder="0" shrinkToFit="0" vertical="center" wrapText="1"/>
    </xf>
    <xf borderId="0" fillId="5" fontId="11" numFmtId="0" xfId="0" applyAlignment="1" applyFill="1" applyFont="1">
      <alignment horizontal="left" readingOrder="0" shrinkToFit="0" vertical="center" wrapText="1"/>
    </xf>
    <xf borderId="0" fillId="5" fontId="11" numFmtId="3" xfId="0" applyAlignment="1" applyFont="1" applyNumberFormat="1">
      <alignment horizontal="center" readingOrder="0" shrinkToFit="0" vertical="center" wrapText="1"/>
    </xf>
    <xf borderId="0" fillId="5" fontId="11" numFmtId="0" xfId="0" applyAlignment="1" applyFont="1">
      <alignment horizontal="center" readingOrder="0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0" fillId="5" fontId="15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2" fontId="11" numFmtId="3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vertical="center"/>
    </xf>
    <xf borderId="0" fillId="0" fontId="11" numFmtId="0" xfId="0" applyAlignment="1" applyFont="1">
      <alignment horizontal="center" readingOrder="0" vertical="center"/>
    </xf>
    <xf borderId="0" fillId="5" fontId="4" numFmtId="3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vertical="center"/>
    </xf>
    <xf borderId="0" fillId="0" fontId="1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7" numFmtId="3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0" fontId="19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3" fontId="20" numFmtId="0" xfId="0" applyAlignment="1" applyFont="1">
      <alignment vertical="center"/>
    </xf>
    <xf borderId="0" fillId="2" fontId="16" numFmtId="0" xfId="0" applyAlignment="1" applyFont="1">
      <alignment horizontal="center" readingOrder="0" shrinkToFit="0" vertical="center" wrapText="1"/>
    </xf>
    <xf borderId="0" fillId="2" fontId="16" numFmtId="0" xfId="0" applyAlignment="1" applyFont="1">
      <alignment horizontal="center" readingOrder="0" shrinkToFit="0" vertical="center" wrapText="1"/>
    </xf>
    <xf borderId="0" fillId="4" fontId="20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5" fontId="4" numFmtId="0" xfId="0" applyAlignment="1" applyFont="1">
      <alignment horizontal="center" shrinkToFit="0" vertical="center" wrapText="1"/>
    </xf>
    <xf borderId="0" fillId="5" fontId="16" numFmtId="0" xfId="0" applyAlignment="1" applyFont="1">
      <alignment horizontal="center" readingOrder="0" shrinkToFit="0" vertical="center" wrapText="1"/>
    </xf>
    <xf borderId="0" fillId="0" fontId="18" numFmtId="3" xfId="0" applyAlignment="1" applyFont="1" applyNumberFormat="1">
      <alignment horizontal="center" readingOrder="0" shrinkToFit="0" vertical="center" wrapText="1"/>
    </xf>
    <xf borderId="0" fillId="0" fontId="16" numFmtId="0" xfId="0" applyAlignment="1" applyFont="1">
      <alignment horizontal="center" readingOrder="0" vertical="center"/>
    </xf>
    <xf borderId="0" fillId="0" fontId="18" numFmtId="3" xfId="0" applyAlignment="1" applyFont="1" applyNumberFormat="1">
      <alignment horizontal="center" vertical="center"/>
    </xf>
    <xf borderId="0" fillId="0" fontId="17" numFmtId="3" xfId="0" applyAlignment="1" applyFont="1" applyNumberForma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21" numFmtId="3" xfId="0" applyAlignment="1" applyFont="1" applyNumberFormat="1">
      <alignment horizontal="center" readingOrder="0" vertical="center"/>
    </xf>
    <xf borderId="0" fillId="0" fontId="18" numFmtId="0" xfId="0" applyAlignment="1" applyFont="1">
      <alignment horizontal="center" vertical="center"/>
    </xf>
    <xf borderId="0" fillId="0" fontId="21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7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mérica Latina y España-style">
      <tableStyleElement dxfId="1" type="headerRow"/>
      <tableStyleElement dxfId="2" type="firstRowStripe"/>
      <tableStyleElement dxfId="3" type="secondRowStripe"/>
    </tableStyle>
    <tableStyle count="3" pivot="0" name="United Kingdom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G112" displayName="Table_7" id="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Worl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5:G66" displayName="Table_3" id="3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3.xml><?xml version="1.0" encoding="utf-8"?>
<table xmlns="http://schemas.openxmlformats.org/spreadsheetml/2006/main" headerRowCount="0" ref="A5:G16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G19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5:G17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5:G18" displayName="Table_5" id="5">
  <tableColumns count="7">
    <tableColumn name="Mundo Hispano" id="1"/>
    <tableColumn name="Casos" id="2"/>
    <tableColumn name="Muertes" id="3"/>
    <tableColumn name="Serios" id="4"/>
    <tableColumn name="Criticos" id="5"/>
    <tableColumn name="Recuperados" id="6"/>
    <tableColumn name="Fuente" id="7"/>
  </tableColumns>
  <tableStyleInfo name="América Latina y España-style" showColumnStripes="0" showFirstColumn="1" showLastColumn="1" showRowStripes="1"/>
</table>
</file>

<file path=xl/tables/table7.xml><?xml version="1.0" encoding="utf-8"?>
<table xmlns="http://schemas.openxmlformats.org/spreadsheetml/2006/main" headerRowCount="0" ref="A5:G14" displayName="Table_6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United Kingdo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0"/>
    <col customWidth="1" min="7" max="7" width="11.29"/>
    <col customWidth="1" min="8" max="8" width="1.14"/>
  </cols>
  <sheetData>
    <row r="1">
      <c r="A1" s="1" t="s">
        <v>0</v>
      </c>
      <c r="B1" s="3"/>
      <c r="C1" s="3"/>
      <c r="D1" s="5"/>
      <c r="E1" s="5"/>
      <c r="F1" s="6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/>
      <c r="B2" s="3"/>
      <c r="C2" s="3"/>
      <c r="D2" s="5"/>
      <c r="E2" s="5"/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 t="s">
        <v>1</v>
      </c>
      <c r="B3" s="3" t="s">
        <v>2</v>
      </c>
      <c r="D3" s="5" t="s">
        <v>3</v>
      </c>
      <c r="F3" s="8" t="s">
        <v>4</v>
      </c>
      <c r="H3" s="5"/>
      <c r="I3" s="1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9">
        <f t="shared" ref="A4:B4" si="1">SUM(B111, B112)</f>
        <v>114066</v>
      </c>
      <c r="B4" s="9">
        <f t="shared" si="1"/>
        <v>4018</v>
      </c>
      <c r="D4" s="11">
        <f>SUM(F111, F112)</f>
        <v>63974</v>
      </c>
      <c r="F4" s="13">
        <f>MINUS(A4,B4+D4)</f>
        <v>46074</v>
      </c>
      <c r="H4" s="11"/>
      <c r="I4" s="1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2"/>
      <c r="B5" s="7"/>
      <c r="C5" s="7"/>
      <c r="D5" s="6"/>
      <c r="E5" s="6"/>
      <c r="F5" s="6"/>
      <c r="G5" s="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30.0" customHeight="1">
      <c r="A6" s="16" t="s">
        <v>8</v>
      </c>
      <c r="B6" s="17" t="s">
        <v>7</v>
      </c>
      <c r="C6" s="17" t="s">
        <v>9</v>
      </c>
      <c r="D6" s="19" t="s">
        <v>10</v>
      </c>
      <c r="E6" s="19" t="s">
        <v>11</v>
      </c>
      <c r="F6" s="19" t="s">
        <v>12</v>
      </c>
      <c r="G6" s="17"/>
      <c r="H6" s="20"/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ht="30.0" customHeight="1">
      <c r="A7" s="23" t="s">
        <v>16</v>
      </c>
      <c r="B7" s="25">
        <v>80754.0</v>
      </c>
      <c r="C7" s="25">
        <v>3136.0</v>
      </c>
      <c r="D7" s="27">
        <v>4794.0</v>
      </c>
      <c r="E7" s="30" t="s">
        <v>17</v>
      </c>
      <c r="F7" s="27">
        <v>59897.0</v>
      </c>
      <c r="G7" s="33" t="str">
        <f>HYPERLINK("http://www.nhc.gov.cn/yjb/s7860/202003/948a03ad76f54d3583a018785efd7be9.shtml","Source")</f>
        <v>Source</v>
      </c>
      <c r="H7" s="36"/>
      <c r="I7" s="20"/>
      <c r="J7" s="46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ht="30.0" customHeight="1">
      <c r="A8" s="23" t="s">
        <v>26</v>
      </c>
      <c r="B8" s="25">
        <v>7513.0</v>
      </c>
      <c r="C8" s="47">
        <v>54.0</v>
      </c>
      <c r="D8" s="30" t="s">
        <v>17</v>
      </c>
      <c r="E8" s="30">
        <v>36.0</v>
      </c>
      <c r="F8" s="30">
        <v>247.0</v>
      </c>
      <c r="G8" s="33" t="str">
        <f>HYPERLINK("http://ncov.mohw.go.kr/tcmBoardView.do?brdId=&amp;brdGubun=&amp;dataGubun=&amp;ncvContSeq=353464&amp;contSeq=353464&amp;board_id=&amp;gubun=ALL","Source")</f>
        <v>Source</v>
      </c>
      <c r="H8" s="36"/>
      <c r="I8" s="2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ht="30.0" customHeight="1">
      <c r="A9" s="23" t="s">
        <v>28</v>
      </c>
      <c r="B9" s="25">
        <v>9172.0</v>
      </c>
      <c r="C9" s="47">
        <v>463.0</v>
      </c>
      <c r="D9" s="30">
        <v>733.0</v>
      </c>
      <c r="E9" s="30" t="s">
        <v>17</v>
      </c>
      <c r="F9" s="30">
        <v>724.0</v>
      </c>
      <c r="G9" s="33" t="str">
        <f>HYPERLINK("http://www.salute.gov.it/portale/nuovocoronavirus/dettaglioContenutiNuovoCoronavirus.jsp?lingua=italiano&amp;id=5351&amp;area=nuovoCoronavirus&amp;menu=vuoto","Source")</f>
        <v>Source</v>
      </c>
      <c r="H9" s="36"/>
      <c r="I9" s="20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ht="30.0" customHeight="1">
      <c r="A10" s="23" t="s">
        <v>32</v>
      </c>
      <c r="B10" s="25">
        <v>7161.0</v>
      </c>
      <c r="C10" s="47">
        <v>237.0</v>
      </c>
      <c r="D10" s="30" t="s">
        <v>17</v>
      </c>
      <c r="E10" s="30" t="s">
        <v>17</v>
      </c>
      <c r="F10" s="27">
        <v>2394.0</v>
      </c>
      <c r="G10" s="33" t="str">
        <f>HYPERLINK("https://twitter.com/AbasAslani/status/1236964806378369032","Source")</f>
        <v>Source</v>
      </c>
      <c r="H10" s="36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ht="30.0" customHeight="1">
      <c r="A11" s="23" t="s">
        <v>35</v>
      </c>
      <c r="B11" s="25">
        <v>1412.0</v>
      </c>
      <c r="C11" s="47">
        <v>30.0</v>
      </c>
      <c r="D11" s="30">
        <v>66.0</v>
      </c>
      <c r="E11" s="30" t="s">
        <v>17</v>
      </c>
      <c r="F11" s="30">
        <v>12.0</v>
      </c>
      <c r="G11" s="33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H11" s="36"/>
      <c r="I11" s="20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ht="30.0" customHeight="1">
      <c r="A12" s="23" t="s">
        <v>38</v>
      </c>
      <c r="B12" s="25">
        <v>1224.0</v>
      </c>
      <c r="C12" s="47">
        <v>2.0</v>
      </c>
      <c r="D12" s="30" t="s">
        <v>17</v>
      </c>
      <c r="E12" s="30">
        <v>2.0</v>
      </c>
      <c r="F12" s="30">
        <v>18.0</v>
      </c>
      <c r="G12" s="33" t="str">
        <f>HYPERLINK("https://www.rki.de/DE/Content/InfAZ/N/Neuartiges_Coronavirus/Fallzahlen.html","Source")</f>
        <v>Source</v>
      </c>
      <c r="H12" s="36"/>
      <c r="I12" s="20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ht="30.0" customHeight="1">
      <c r="A13" s="23" t="s">
        <v>41</v>
      </c>
      <c r="B13" s="25">
        <v>1231.0</v>
      </c>
      <c r="C13" s="47">
        <v>30.0</v>
      </c>
      <c r="D13" s="30">
        <v>11.0</v>
      </c>
      <c r="E13" s="30" t="s">
        <v>17</v>
      </c>
      <c r="F13" s="30">
        <v>32.0</v>
      </c>
      <c r="G13" s="33" t="str">
        <f>HYPERLINK("https://www.rtve.es/noticias/20200309/mapa-del-coronavirus-espana/2004681.shtml","Source")</f>
        <v>Source</v>
      </c>
      <c r="H13" s="36"/>
      <c r="I13" s="20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ht="30.0" customHeight="1">
      <c r="A14" s="23" t="s">
        <v>44</v>
      </c>
      <c r="B14" s="47">
        <v>696.0</v>
      </c>
      <c r="C14" s="47">
        <v>7.0</v>
      </c>
      <c r="D14" s="30">
        <v>31.0</v>
      </c>
      <c r="E14" s="30" t="s">
        <v>17</v>
      </c>
      <c r="F14" s="30">
        <v>245.0</v>
      </c>
      <c r="G14" s="33" t="str">
        <f>HYPERLINK("https://www.mhlw.go.jp/stf/newpage_10028.html","Source")</f>
        <v>Source</v>
      </c>
      <c r="H14" s="20"/>
      <c r="I14" s="20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ht="30.0" customHeight="1">
      <c r="A15" s="23" t="s">
        <v>48</v>
      </c>
      <c r="B15" s="47">
        <v>637.0</v>
      </c>
      <c r="C15" s="47">
        <v>27.0</v>
      </c>
      <c r="D15" s="30">
        <v>2.0</v>
      </c>
      <c r="E15" s="30">
        <v>6.0</v>
      </c>
      <c r="F15" s="30">
        <v>9.0</v>
      </c>
      <c r="G15" s="33" t="str">
        <f>HYPERLINK("http://www.vdh.virginia.gov/news/2020-news-releases/virginia-department-of-health-confirms-fourth-and-fifth-presumptive-positive-cases-of-coronavirus-disease-2019-covid-19-in-fairfax-and-in-spotsylvania-county-virginia/","Source")</f>
        <v>Source</v>
      </c>
      <c r="H15" s="49"/>
      <c r="I15" s="49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ht="30.0" customHeight="1">
      <c r="A16" s="23" t="s">
        <v>52</v>
      </c>
      <c r="B16" s="47">
        <v>497.0</v>
      </c>
      <c r="C16" s="47">
        <v>7.0</v>
      </c>
      <c r="D16" s="30">
        <v>30.0</v>
      </c>
      <c r="E16" s="30" t="s">
        <v>17</v>
      </c>
      <c r="F16" s="30">
        <v>59.0</v>
      </c>
      <c r="G16" s="33" t="str">
        <f>HYPERLINK("https://www3.nhk.or.jp/news/html/20200308/k10012319761000.html","Source")</f>
        <v>Source</v>
      </c>
      <c r="H16" s="20"/>
      <c r="I16" s="20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ht="30.0" customHeight="1">
      <c r="A17" s="23" t="s">
        <v>54</v>
      </c>
      <c r="B17" s="47">
        <v>374.0</v>
      </c>
      <c r="C17" s="47">
        <v>2.0</v>
      </c>
      <c r="D17" s="30" t="s">
        <v>17</v>
      </c>
      <c r="E17" s="30" t="s">
        <v>17</v>
      </c>
      <c r="F17" s="30">
        <v>3.0</v>
      </c>
      <c r="G17" s="33" t="str">
        <f>HYPERLINK("https://twitter.com/BAG_OFSP_UFSP/status/1236973163831087104","Source")</f>
        <v>Source</v>
      </c>
      <c r="H17" s="36"/>
      <c r="I17" s="20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ht="30.0" customHeight="1">
      <c r="A18" s="23" t="s">
        <v>57</v>
      </c>
      <c r="B18" s="47">
        <v>321.0</v>
      </c>
      <c r="C18" s="47">
        <v>3.0</v>
      </c>
      <c r="D18" s="30">
        <v>1.0</v>
      </c>
      <c r="E18" s="30" t="s">
        <v>17</v>
      </c>
      <c r="F18" s="30" t="s">
        <v>17</v>
      </c>
      <c r="G18" s="33" t="str">
        <f>HYPERLINK("https://www.rivm.nl/nieuws/actuele-informatie-over-coronavirus","Source")</f>
        <v>Source</v>
      </c>
      <c r="H18" s="36"/>
      <c r="I18" s="20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ht="30.0" customHeight="1">
      <c r="A19" s="23" t="s">
        <v>59</v>
      </c>
      <c r="B19" s="47">
        <v>319.0</v>
      </c>
      <c r="C19" s="47">
        <v>3.0</v>
      </c>
      <c r="D19" s="30" t="s">
        <v>17</v>
      </c>
      <c r="E19" s="30" t="s">
        <v>17</v>
      </c>
      <c r="F19" s="30">
        <v>12.0</v>
      </c>
      <c r="G19" s="33" t="str">
        <f>HYPERLINK("https://www.gov.uk/guidance/coronavirus-covid-19-information-for-the-public#number-of-cases","Source")</f>
        <v>Source</v>
      </c>
      <c r="H19" s="36"/>
      <c r="I19" s="20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ht="30.0" customHeight="1">
      <c r="A20" s="23" t="s">
        <v>61</v>
      </c>
      <c r="B20" s="47">
        <v>248.0</v>
      </c>
      <c r="C20" s="47">
        <v>0.0</v>
      </c>
      <c r="D20" s="30" t="s">
        <v>17</v>
      </c>
      <c r="E20" s="30" t="s">
        <v>17</v>
      </c>
      <c r="F20" s="30" t="s">
        <v>17</v>
      </c>
      <c r="G20" s="33" t="str">
        <f>HYPERLINK("https://www.svd.se/tre-nya-fall-i-orebro--en-smittad-i-usa","Source")</f>
        <v>Source</v>
      </c>
      <c r="H20" s="36"/>
      <c r="I20" s="2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ht="30.0" customHeight="1">
      <c r="A21" s="23" t="s">
        <v>63</v>
      </c>
      <c r="B21" s="47">
        <v>239.0</v>
      </c>
      <c r="C21" s="47">
        <v>0.0</v>
      </c>
      <c r="D21" s="30">
        <v>1.0</v>
      </c>
      <c r="E21" s="30">
        <v>1.0</v>
      </c>
      <c r="F21" s="30">
        <v>1.0</v>
      </c>
      <c r="G21" s="33" t="str">
        <f>HYPERLINK("https://www.info-coronavirus.be/nl/2020/03/09/39-nieuwe-besmettingen-met-het-coronavirus-covid-19/","Source")</f>
        <v>Source</v>
      </c>
      <c r="H21" s="36"/>
      <c r="I21" s="20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ht="30.0" customHeight="1">
      <c r="A22" s="23" t="s">
        <v>65</v>
      </c>
      <c r="B22" s="47">
        <v>227.0</v>
      </c>
      <c r="C22" s="47">
        <v>0.0</v>
      </c>
      <c r="D22" s="30" t="s">
        <v>17</v>
      </c>
      <c r="E22" s="30" t="s">
        <v>17</v>
      </c>
      <c r="F22" s="30" t="s">
        <v>17</v>
      </c>
      <c r="G22" s="33" t="str">
        <f>HYPERLINK("https://www.fhi.no/nyheter/2020/status-koronavirus-mandag-9.-mars-2020/","Source")</f>
        <v>Source</v>
      </c>
      <c r="H22" s="36"/>
      <c r="I22" s="20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ht="30.0" customHeight="1">
      <c r="A23" s="23" t="s">
        <v>68</v>
      </c>
      <c r="B23" s="47">
        <v>160.0</v>
      </c>
      <c r="C23" s="47">
        <v>0.0</v>
      </c>
      <c r="D23" s="30" t="s">
        <v>17</v>
      </c>
      <c r="E23" s="30">
        <v>10.0</v>
      </c>
      <c r="F23" s="30">
        <v>93.0</v>
      </c>
      <c r="G23" s="33" t="str">
        <f>HYPERLINK("https://www.moh.gov.sg/news-highlights/details/three-more-cases-discharged-ten-new-cases-of-covid-19-infection-confirmed","Source")</f>
        <v>Source</v>
      </c>
      <c r="H23" s="36"/>
      <c r="I23" s="20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ht="30.0" customHeight="1">
      <c r="A24" s="23" t="s">
        <v>70</v>
      </c>
      <c r="B24" s="47">
        <v>131.0</v>
      </c>
      <c r="C24" s="47">
        <v>0.0</v>
      </c>
      <c r="D24" s="30" t="s">
        <v>17</v>
      </c>
      <c r="E24" s="30" t="s">
        <v>17</v>
      </c>
      <c r="F24" s="30">
        <v>2.0</v>
      </c>
      <c r="G24" s="33" t="str">
        <f>HYPERLINK("https://www.sozialministerium.at/Informationen-zum-Coronavirus/Neuartiges-Coronavirus-(2019-nCov).html","Source")</f>
        <v>Source</v>
      </c>
      <c r="H24" s="36"/>
      <c r="I24" s="20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ht="30.0" customHeight="1">
      <c r="A25" s="23" t="s">
        <v>72</v>
      </c>
      <c r="B25" s="47">
        <v>117.0</v>
      </c>
      <c r="C25" s="47">
        <v>0.0</v>
      </c>
      <c r="D25" s="30">
        <v>2.0</v>
      </c>
      <c r="E25" s="30" t="s">
        <v>17</v>
      </c>
      <c r="F25" s="30">
        <v>24.0</v>
      </c>
      <c r="G25" s="33" t="str">
        <f>HYPERLINK("https://twitter.com/KKMPutrajaya/status/1236946930548137988","Source")</f>
        <v>Source</v>
      </c>
      <c r="H25" s="36"/>
      <c r="I25" s="20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ht="30.0" customHeight="1">
      <c r="A26" s="23" t="s">
        <v>74</v>
      </c>
      <c r="B26" s="47">
        <v>116.0</v>
      </c>
      <c r="C26" s="47">
        <v>2.0</v>
      </c>
      <c r="D26" s="30">
        <v>2.0</v>
      </c>
      <c r="E26" s="30">
        <v>4.0</v>
      </c>
      <c r="F26" s="30">
        <v>59.0</v>
      </c>
      <c r="G26" s="33" t="str">
        <f>HYPERLINK("https://www.info.gov.hk/gia/general/202003/09/P2020030900642.htm","Source")</f>
        <v>Source</v>
      </c>
      <c r="H26" s="36"/>
      <c r="I26" s="20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ht="30.0" customHeight="1">
      <c r="A27" s="23" t="s">
        <v>76</v>
      </c>
      <c r="B27" s="47">
        <v>109.0</v>
      </c>
      <c r="C27" s="47">
        <v>0.0</v>
      </c>
      <c r="D27" s="30" t="s">
        <v>17</v>
      </c>
      <c r="E27" s="30" t="s">
        <v>17</v>
      </c>
      <c r="F27" s="30">
        <v>14.0</v>
      </c>
      <c r="G27" s="33" t="str">
        <f>HYPERLINK("https://www.moh.gov.bh/COVID19","Source")</f>
        <v>Source</v>
      </c>
      <c r="H27" s="61"/>
      <c r="I27" s="20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ht="30.0" customHeight="1">
      <c r="A28" s="23" t="s">
        <v>78</v>
      </c>
      <c r="B28" s="47">
        <v>91.0</v>
      </c>
      <c r="C28" s="47">
        <v>3.0</v>
      </c>
      <c r="D28" s="30" t="s">
        <v>17</v>
      </c>
      <c r="E28" s="30" t="s">
        <v>17</v>
      </c>
      <c r="F28" s="30">
        <v>22.0</v>
      </c>
      <c r="G28" s="33" t="str">
        <f>HYPERLINK("https://twitter.com/danutakozaki/status/1236865332813283328","Source")</f>
        <v>Source</v>
      </c>
      <c r="H28" s="20"/>
      <c r="I28" s="20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ht="30.0" customHeight="1">
      <c r="A29" s="23" t="s">
        <v>81</v>
      </c>
      <c r="B29" s="47">
        <v>84.0</v>
      </c>
      <c r="C29" s="47">
        <v>0.0</v>
      </c>
      <c r="D29" s="30">
        <v>1.0</v>
      </c>
      <c r="E29" s="30" t="s">
        <v>17</v>
      </c>
      <c r="F29" s="30" t="s">
        <v>17</v>
      </c>
      <c r="G29" s="33" t="str">
        <f>HYPERLINK("https://www.moh.gov.gr/articles/ministry/grafeio-typoy/press-releases/6808-enhmerwsh-diapisteymenwn-syntaktwnapo-ton-ekproswpo-toy-ypoyrgeioy-ygeias-gia-ton-neo-kronoio-kathhghth-swthrh-tsiodra-9-3-2020","Source")</f>
        <v>Source</v>
      </c>
      <c r="H29" s="36"/>
      <c r="I29" s="20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ht="30.0" customHeight="1">
      <c r="A30" s="23" t="s">
        <v>84</v>
      </c>
      <c r="B30" s="47">
        <v>67.0</v>
      </c>
      <c r="C30" s="47">
        <v>0.0</v>
      </c>
      <c r="D30" s="30" t="s">
        <v>17</v>
      </c>
      <c r="E30" s="30">
        <v>1.0</v>
      </c>
      <c r="F30" s="30">
        <v>8.0</v>
      </c>
      <c r="G30" s="33" t="str">
        <f>HYPERLINK("http://peelregion.ca/news/archiveitem.asp?year=2020&amp;month=2&amp;day=8&amp;file=202028.xml","Source")</f>
        <v>Source</v>
      </c>
      <c r="H30" s="20"/>
      <c r="I30" s="20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ht="30.0" customHeight="1">
      <c r="A31" s="23" t="s">
        <v>90</v>
      </c>
      <c r="B31" s="47">
        <v>65.0</v>
      </c>
      <c r="C31" s="47">
        <v>0.0</v>
      </c>
      <c r="D31" s="30" t="s">
        <v>17</v>
      </c>
      <c r="E31" s="30" t="s">
        <v>17</v>
      </c>
      <c r="F31" s="30" t="s">
        <v>17</v>
      </c>
      <c r="G31" s="33" t="str">
        <f>HYPERLINK("https://www.facebook.com/Almannavarnir/posts/3144739028891192","Source")</f>
        <v>Source</v>
      </c>
      <c r="H31" s="64"/>
      <c r="I31" s="20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ht="30.0" customHeight="1">
      <c r="A32" s="23" t="s">
        <v>97</v>
      </c>
      <c r="B32" s="47">
        <v>64.0</v>
      </c>
      <c r="C32" s="47">
        <v>0.0</v>
      </c>
      <c r="D32" s="30">
        <v>2.0</v>
      </c>
      <c r="E32" s="30">
        <v>1.0</v>
      </c>
      <c r="F32" s="30">
        <v>0.0</v>
      </c>
      <c r="G32" s="33" t="str">
        <f>HYPERLINK("https://twitter.com/KUWAIT_MOH/status/1236619542396370945","Source")</f>
        <v>Source</v>
      </c>
      <c r="H32" s="20"/>
      <c r="I32" s="20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ht="30.0" customHeight="1">
      <c r="A33" s="23" t="s">
        <v>101</v>
      </c>
      <c r="B33" s="47">
        <v>60.0</v>
      </c>
      <c r="C33" s="47">
        <v>5.0</v>
      </c>
      <c r="D33" s="30" t="s">
        <v>17</v>
      </c>
      <c r="E33" s="30" t="s">
        <v>17</v>
      </c>
      <c r="F33" s="30" t="s">
        <v>17</v>
      </c>
      <c r="G33" s="33" t="str">
        <f>HYPERLINK("https://www.facebook.com/MOH.GOV.IQ/photos/a.860171854037214/2786981578022889/","Source")</f>
        <v>Source</v>
      </c>
      <c r="H33" s="20"/>
      <c r="I33" s="20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ht="30.0" customHeight="1">
      <c r="A34" s="23" t="s">
        <v>109</v>
      </c>
      <c r="B34" s="47">
        <v>59.0</v>
      </c>
      <c r="C34" s="47">
        <v>0.0</v>
      </c>
      <c r="D34" s="30">
        <v>2.0</v>
      </c>
      <c r="E34" s="30" t="s">
        <v>17</v>
      </c>
      <c r="F34" s="30">
        <v>7.0</v>
      </c>
      <c r="G34" s="33" t="str">
        <f>HYPERLINK("https://wam.ae/en/details/1395302829607","Source")</f>
        <v>Source</v>
      </c>
      <c r="H34" s="20"/>
      <c r="I34" s="20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ht="30.0" customHeight="1">
      <c r="A35" s="23" t="s">
        <v>115</v>
      </c>
      <c r="B35" s="47">
        <v>55.0</v>
      </c>
      <c r="C35" s="47">
        <v>1.0</v>
      </c>
      <c r="D35" s="30" t="s">
        <v>17</v>
      </c>
      <c r="E35" s="30" t="s">
        <v>17</v>
      </c>
      <c r="F35" s="30">
        <v>1.0</v>
      </c>
      <c r="G35" s="33" t="str">
        <f>HYPERLINK("https://www.facebook.com/EgyMohpSpokes/photos/a.353628178307691/1117380465265788/","Source")</f>
        <v>Source</v>
      </c>
      <c r="H35" s="20"/>
      <c r="I35" s="20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ht="30.0" customHeight="1">
      <c r="A36" s="23" t="s">
        <v>119</v>
      </c>
      <c r="B36" s="47">
        <v>50.0</v>
      </c>
      <c r="C36" s="47">
        <v>1.0</v>
      </c>
      <c r="D36" s="30">
        <v>1.0</v>
      </c>
      <c r="E36" s="30" t="s">
        <v>17</v>
      </c>
      <c r="F36" s="30">
        <v>31.0</v>
      </c>
      <c r="G36" s="33" t="str">
        <f>HYPERLINK("https://www.bangkokpost.com/thailand/general/1873949/thais-test-positive-after-italy-trip-lifting-local-infection-tally-to-50","Source")</f>
        <v>Source</v>
      </c>
      <c r="H36" s="20"/>
      <c r="I36" s="20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ht="30.0" customHeight="1">
      <c r="A37" s="23" t="s">
        <v>122</v>
      </c>
      <c r="B37" s="47">
        <v>49.0</v>
      </c>
      <c r="C37" s="47">
        <v>2.0</v>
      </c>
      <c r="D37" s="30">
        <v>5.0</v>
      </c>
      <c r="E37" s="30" t="s">
        <v>17</v>
      </c>
      <c r="F37" s="30" t="s">
        <v>17</v>
      </c>
      <c r="G37" s="33" t="str">
        <f>HYPERLINK("https://twitter.com/IssRSMarino/status/1237009236632260609","Source")</f>
        <v>Source</v>
      </c>
      <c r="H37" s="36"/>
      <c r="I37" s="20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ht="30.0" customHeight="1">
      <c r="A38" s="23" t="s">
        <v>124</v>
      </c>
      <c r="B38" s="47">
        <v>45.0</v>
      </c>
      <c r="C38" s="47">
        <v>1.0</v>
      </c>
      <c r="D38" s="30">
        <v>0.0</v>
      </c>
      <c r="E38" s="30">
        <v>0.0</v>
      </c>
      <c r="F38" s="30">
        <v>15.0</v>
      </c>
      <c r="G38" s="33" t="str">
        <f>HYPERLINK("https://www.cdc.gov.tw/En/Bulletin/Detail/hKQXQ-fJ59ameD4_Jd9dQg?typeid=158","Source")</f>
        <v>Source</v>
      </c>
      <c r="H38" s="20"/>
      <c r="I38" s="20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ht="30.0" customHeight="1">
      <c r="A39" s="23" t="s">
        <v>127</v>
      </c>
      <c r="B39" s="47">
        <v>43.0</v>
      </c>
      <c r="C39" s="47">
        <v>0.0</v>
      </c>
      <c r="D39" s="30" t="s">
        <v>17</v>
      </c>
      <c r="E39" s="30" t="s">
        <v>17</v>
      </c>
      <c r="F39" s="30">
        <v>4.0</v>
      </c>
      <c r="G39" s="33" t="str">
        <f>HYPERLINK("https://twitter.com/ANI/status/1236895205220945921","Source")</f>
        <v>Source</v>
      </c>
      <c r="H39" s="20"/>
      <c r="I39" s="20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ht="30.0" customHeight="1">
      <c r="A40" s="23" t="s">
        <v>130</v>
      </c>
      <c r="B40" s="47">
        <v>39.0</v>
      </c>
      <c r="C40" s="47">
        <v>0.0</v>
      </c>
      <c r="D40" s="65"/>
      <c r="E40" s="65"/>
      <c r="F40" s="65"/>
      <c r="G40" s="33" t="str">
        <f>HYPERLINK("https://www.dgs.pt/em-destaque/relatorio-de-situacao-n-007-09032020-pdf.aspx","Source")</f>
        <v>Source</v>
      </c>
      <c r="H40" s="36"/>
      <c r="I40" s="20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ht="30.0" customHeight="1">
      <c r="A41" s="23" t="s">
        <v>135</v>
      </c>
      <c r="B41" s="47">
        <v>39.0</v>
      </c>
      <c r="C41" s="47">
        <v>0.0</v>
      </c>
      <c r="D41" s="30" t="s">
        <v>17</v>
      </c>
      <c r="E41" s="30" t="s">
        <v>17</v>
      </c>
      <c r="F41" s="30" t="s">
        <v>17</v>
      </c>
      <c r="G41" s="33" t="str">
        <f>HYPERLINK("https://www.jpost.com//Breaking-News/Breaking-28-Israelis-diagnosed-with-coronavirus-Health-Ministry-620244","Source")</f>
        <v>Source</v>
      </c>
      <c r="H41" s="20"/>
      <c r="I41" s="20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ht="30.0" customHeight="1">
      <c r="A42" s="23" t="s">
        <v>137</v>
      </c>
      <c r="B42" s="47">
        <v>37.0</v>
      </c>
      <c r="C42" s="47">
        <v>0.0</v>
      </c>
      <c r="D42" s="30" t="s">
        <v>17</v>
      </c>
      <c r="E42" s="30" t="s">
        <v>17</v>
      </c>
      <c r="F42" s="30" t="s">
        <v>17</v>
      </c>
      <c r="G42" s="33" t="str">
        <f>HYPERLINK("https://stps.dk/da/nyheder/2020/yderligere-fem-personer-er-bekraeftet-smittet-med-covid-19/","Source")</f>
        <v>Source</v>
      </c>
      <c r="H42" s="20"/>
      <c r="I42" s="20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ht="30.0" customHeight="1">
      <c r="A43" s="23" t="s">
        <v>140</v>
      </c>
      <c r="B43" s="47">
        <v>32.0</v>
      </c>
      <c r="C43" s="47">
        <v>0.0</v>
      </c>
      <c r="D43" s="30" t="s">
        <v>17</v>
      </c>
      <c r="E43" s="30">
        <v>1.0</v>
      </c>
      <c r="F43" s="30" t="s">
        <v>17</v>
      </c>
      <c r="G43" s="33" t="str">
        <f>HYPERLINK("https://www.facebook.com/mophleb/photos/a.1626551607654504/2264273993882259/","Source")</f>
        <v>Source</v>
      </c>
      <c r="H43" s="20"/>
      <c r="I43" s="20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ht="30.0" customHeight="1">
      <c r="A44" s="23" t="s">
        <v>142</v>
      </c>
      <c r="B44" s="47">
        <v>31.0</v>
      </c>
      <c r="C44" s="47">
        <v>0.0</v>
      </c>
      <c r="D44" s="30">
        <v>0.0</v>
      </c>
      <c r="E44" s="30">
        <v>0.0</v>
      </c>
      <c r="F44" s="30">
        <v>0.0</v>
      </c>
      <c r="G44" s="33" t="str">
        <f>HYPERLINK("https://twitter.com/FilipHorky/status/1236679871297921026","Source")</f>
        <v>Source</v>
      </c>
      <c r="H44" s="20"/>
      <c r="I44" s="20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ht="30.0" customHeight="1">
      <c r="A45" s="23" t="s">
        <v>145</v>
      </c>
      <c r="B45" s="47">
        <v>31.0</v>
      </c>
      <c r="C45" s="47">
        <v>0.0</v>
      </c>
      <c r="D45" s="30" t="s">
        <v>17</v>
      </c>
      <c r="E45" s="30" t="s">
        <v>17</v>
      </c>
      <c r="F45" s="30">
        <v>16.0</v>
      </c>
      <c r="G45" s="33" t="str">
        <f>HYPERLINK("http://news.chinhphu.vn/Home/Ministry-reports-31st-COVID19-infection-case/20203/39107.vgp","Source")</f>
        <v>Source</v>
      </c>
      <c r="H45" s="20"/>
      <c r="I45" s="20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ht="30.0" customHeight="1">
      <c r="A46" s="23" t="s">
        <v>148</v>
      </c>
      <c r="B46" s="47">
        <v>30.0</v>
      </c>
      <c r="C46" s="47">
        <v>0.0</v>
      </c>
      <c r="D46" s="30" t="s">
        <v>17</v>
      </c>
      <c r="E46" s="30" t="s">
        <v>17</v>
      </c>
      <c r="F46" s="30">
        <v>1.0</v>
      </c>
      <c r="G46" s="33" t="str">
        <f>HYPERLINK("https://thl.fi/fi/-/suomessa-on-todettu-seitseman-uutta-koronavirustartuntaa","Source")</f>
        <v>Source</v>
      </c>
      <c r="H46" s="20"/>
      <c r="I46" s="20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ht="30.0" customHeight="1">
      <c r="A47" s="23" t="s">
        <v>150</v>
      </c>
      <c r="B47" s="47">
        <v>25.0</v>
      </c>
      <c r="C47" s="47">
        <v>0.0</v>
      </c>
      <c r="D47" s="30" t="s">
        <v>17</v>
      </c>
      <c r="E47" s="30" t="s">
        <v>17</v>
      </c>
      <c r="F47" s="30" t="s">
        <v>17</v>
      </c>
      <c r="G47" s="33" t="str">
        <f>HYPERLINK("https://twitter.com/minsaude/status/1236772114914512896","Source")</f>
        <v>Source</v>
      </c>
      <c r="H47" s="20"/>
      <c r="I47" s="20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30.0" customHeight="1">
      <c r="A48" s="23" t="s">
        <v>151</v>
      </c>
      <c r="B48" s="47">
        <v>24.0</v>
      </c>
      <c r="C48" s="47">
        <v>0.0</v>
      </c>
      <c r="D48" s="65"/>
      <c r="E48" s="65"/>
      <c r="F48" s="65"/>
      <c r="G48" s="33" t="str">
        <f>HYPERLINK("https://www.gov.ie/en/press-release/d38830-statement-from-the-national-public-health-emergency-team/","Source")</f>
        <v>Source</v>
      </c>
      <c r="H48" s="64"/>
      <c r="I48" s="20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30.0" customHeight="1">
      <c r="A49" s="23" t="s">
        <v>155</v>
      </c>
      <c r="B49" s="47">
        <v>20.0</v>
      </c>
      <c r="C49" s="47">
        <v>0.0</v>
      </c>
      <c r="D49" s="30" t="s">
        <v>17</v>
      </c>
      <c r="E49" s="30" t="s">
        <v>17</v>
      </c>
      <c r="F49" s="30" t="s">
        <v>17</v>
      </c>
      <c r="G49" s="33" t="str">
        <f>HYPERLINK("http://www.aps.dz/en/algeria/33501-covid-19-new-case-confirmed-in-algeria","Source")</f>
        <v>Source</v>
      </c>
      <c r="H49" s="20"/>
      <c r="I49" s="20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30.0" customHeight="1">
      <c r="A50" s="23" t="s">
        <v>156</v>
      </c>
      <c r="B50" s="47">
        <v>20.0</v>
      </c>
      <c r="C50" s="47">
        <v>1.0</v>
      </c>
      <c r="D50" s="30">
        <v>1.0</v>
      </c>
      <c r="E50" s="30" t="s">
        <v>17</v>
      </c>
      <c r="F50" s="30">
        <v>2.0</v>
      </c>
      <c r="G50" s="33" t="str">
        <f>HYPERLINK("https://twitter.com/WHOPhilippines/status/1236935944491511819","Source")</f>
        <v>Source</v>
      </c>
      <c r="H50" s="20"/>
      <c r="I50" s="20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30.0" customHeight="1">
      <c r="A51" s="23" t="s">
        <v>165</v>
      </c>
      <c r="B51" s="47">
        <v>19.0</v>
      </c>
      <c r="C51" s="47">
        <v>0.0</v>
      </c>
      <c r="D51" s="65"/>
      <c r="E51" s="65"/>
      <c r="F51" s="65"/>
      <c r="G51" s="33" t="str">
        <f>HYPERLINK("https://www.cnnindonesia.com/nasional/20200309172719-20-481849/pasien-positif-corona-di-indonesia-bertambah-jadi-19-orang","Source")</f>
        <v>Source</v>
      </c>
      <c r="H51" s="20"/>
      <c r="I51" s="20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30.0" customHeight="1">
      <c r="A52" s="23" t="s">
        <v>168</v>
      </c>
      <c r="B52" s="47">
        <v>18.0</v>
      </c>
      <c r="C52" s="47">
        <v>0.0</v>
      </c>
      <c r="D52" s="30" t="s">
        <v>17</v>
      </c>
      <c r="E52" s="30" t="s">
        <v>17</v>
      </c>
      <c r="F52" s="30" t="s">
        <v>17</v>
      </c>
      <c r="G52" s="33" t="str">
        <f>HYPERLINK("https://www.gulf-times.com/story/657969","Source")</f>
        <v>Source</v>
      </c>
      <c r="H52" s="20"/>
      <c r="I52" s="20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30.0" customHeight="1">
      <c r="A53" s="23" t="s">
        <v>171</v>
      </c>
      <c r="B53" s="47">
        <v>17.0</v>
      </c>
      <c r="C53" s="47">
        <v>0.0</v>
      </c>
      <c r="D53" s="30" t="s">
        <v>17</v>
      </c>
      <c r="E53" s="30" t="s">
        <v>17</v>
      </c>
      <c r="F53" s="30">
        <v>4.0</v>
      </c>
      <c r="G53" s="33" t="str">
        <f>HYPERLINK("https://www.antena3.ro/actualitate/alerta-in-romania-inca-doua-persoane-confirmate-cu-coronavirus-561969.html","Source")</f>
        <v>Source</v>
      </c>
      <c r="H53" s="20"/>
      <c r="I53" s="20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30.0" customHeight="1">
      <c r="A54" s="23" t="s">
        <v>174</v>
      </c>
      <c r="B54" s="47">
        <v>16.0</v>
      </c>
      <c r="C54" s="47">
        <v>0.0</v>
      </c>
      <c r="D54" s="30" t="s">
        <v>17</v>
      </c>
      <c r="E54" s="30" t="s">
        <v>17</v>
      </c>
      <c r="F54" s="30">
        <v>2.0</v>
      </c>
      <c r="G54" s="33" t="str">
        <f>HYPERLINK("https://twitter.com/OmaniMOH/status/1235568178501234692","Source")</f>
        <v>Source</v>
      </c>
      <c r="H54" s="20"/>
      <c r="I54" s="20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7.75" customHeight="1">
      <c r="A55" s="23" t="s">
        <v>179</v>
      </c>
      <c r="B55" s="47">
        <v>16.0</v>
      </c>
      <c r="C55" s="47">
        <v>0.0</v>
      </c>
      <c r="D55" s="30">
        <v>2.0</v>
      </c>
      <c r="E55" s="30">
        <v>0.0</v>
      </c>
      <c r="F55" s="30">
        <v>0.0</v>
      </c>
      <c r="G55" s="33" t="str">
        <f>HYPERLINK("https://twitter.com/MZ_GOV_PL/status/1236972289247326214","Source")</f>
        <v>Source</v>
      </c>
      <c r="H55" s="20"/>
      <c r="I55" s="20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7.75" customHeight="1">
      <c r="A56" s="23" t="s">
        <v>182</v>
      </c>
      <c r="B56" s="47">
        <v>16.0</v>
      </c>
      <c r="C56" s="47">
        <v>0.0</v>
      </c>
      <c r="D56" s="30">
        <v>0.0</v>
      </c>
      <c r="E56" s="30">
        <v>0.0</v>
      </c>
      <c r="F56" s="30">
        <v>0.0</v>
      </c>
      <c r="G56" s="33" t="str">
        <f>HYPERLINK("https://www.gov.si/novice/2020-03-08-ukrepe-sprejemamo-sorazmerno-razlogov-za-razglasitev-epidemije-se-ni/","Source")</f>
        <v>Source</v>
      </c>
      <c r="H56" s="20"/>
      <c r="I56" s="20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30.0" customHeight="1">
      <c r="A57" s="23" t="s">
        <v>186</v>
      </c>
      <c r="B57" s="47">
        <v>15.0</v>
      </c>
      <c r="C57" s="47">
        <v>0.0</v>
      </c>
      <c r="D57" s="30" t="s">
        <v>17</v>
      </c>
      <c r="E57" s="30" t="s">
        <v>17</v>
      </c>
      <c r="F57" s="30">
        <v>3.0</v>
      </c>
      <c r="G57" s="33" t="str">
        <f>HYPERLINK("https://tass.com/society/1127797","Source")</f>
        <v>Source</v>
      </c>
      <c r="H57" s="20"/>
      <c r="I57" s="20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30.0" customHeight="1">
      <c r="A58" s="23" t="s">
        <v>187</v>
      </c>
      <c r="B58" s="47">
        <v>15.0</v>
      </c>
      <c r="C58" s="47">
        <v>0.0</v>
      </c>
      <c r="D58" s="65"/>
      <c r="E58" s="65"/>
      <c r="F58" s="65"/>
      <c r="G58" s="33" t="str">
        <f>HYPERLINK("https://twitter.com/SaudiMOH/status/1236819768532971520","Source")</f>
        <v>Source</v>
      </c>
      <c r="H58" s="20"/>
      <c r="I58" s="20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30.0" customHeight="1">
      <c r="A59" s="23" t="s">
        <v>169</v>
      </c>
      <c r="B59" s="47">
        <v>15.0</v>
      </c>
      <c r="C59" s="47">
        <v>0.0</v>
      </c>
      <c r="D59" s="30" t="s">
        <v>17</v>
      </c>
      <c r="E59" s="30">
        <v>1.0</v>
      </c>
      <c r="F59" s="30" t="s">
        <v>17</v>
      </c>
      <c r="G59" s="33" t="str">
        <f>HYPERLINK("https://twitter.com/Salud_Ec/status/1236830188102733828","Source")</f>
        <v>Source</v>
      </c>
      <c r="H59" s="20"/>
      <c r="I59" s="20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30.0" customHeight="1">
      <c r="A60" s="23" t="s">
        <v>24</v>
      </c>
      <c r="B60" s="47">
        <v>15.0</v>
      </c>
      <c r="C60" s="47">
        <v>0.0</v>
      </c>
      <c r="D60" s="30">
        <v>1.0</v>
      </c>
      <c r="E60" s="30" t="s">
        <v>17</v>
      </c>
      <c r="F60" s="30" t="s">
        <v>17</v>
      </c>
      <c r="G60" s="33" t="str">
        <f>HYPERLINK("https://stopcov.ge/en","Source")</f>
        <v>Source</v>
      </c>
      <c r="H60" s="20"/>
      <c r="I60" s="20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7.75" customHeight="1">
      <c r="A61" s="23" t="s">
        <v>167</v>
      </c>
      <c r="B61" s="47">
        <v>12.0</v>
      </c>
      <c r="C61" s="47">
        <v>1.0</v>
      </c>
      <c r="D61" s="65"/>
      <c r="E61" s="65"/>
      <c r="F61" s="65"/>
      <c r="G61" s="33" t="str">
        <f>HYPERLINK("https://www.argentina.gob.ar/sites/default/files/8-03-2020-nuevo-coronavirus-covid-19-reporte-diario.pdf","Source")</f>
        <v>Source</v>
      </c>
      <c r="H61" s="20"/>
      <c r="I61" s="20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30.0" customHeight="1">
      <c r="A62" s="23" t="s">
        <v>188</v>
      </c>
      <c r="B62" s="47">
        <v>12.0</v>
      </c>
      <c r="C62" s="47">
        <v>0.0</v>
      </c>
      <c r="D62" s="30" t="s">
        <v>17</v>
      </c>
      <c r="E62" s="30" t="s">
        <v>17</v>
      </c>
      <c r="F62" s="30" t="s">
        <v>17</v>
      </c>
      <c r="G62" s="33" t="str">
        <f>HYPERLINK("https://glashrvatske.hrt.hr/en/news/domestic/new-coronavirus-case-confirmed-in-varazdin/","Source")</f>
        <v>Source</v>
      </c>
      <c r="H62" s="20"/>
      <c r="I62" s="20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30.0" customHeight="1">
      <c r="A63" s="23" t="s">
        <v>189</v>
      </c>
      <c r="B63" s="47">
        <v>10.0</v>
      </c>
      <c r="C63" s="47">
        <v>0.0</v>
      </c>
      <c r="D63" s="30" t="s">
        <v>17</v>
      </c>
      <c r="E63" s="30" t="s">
        <v>17</v>
      </c>
      <c r="F63" s="30">
        <v>6.0</v>
      </c>
      <c r="G63" s="69"/>
      <c r="H63" s="20"/>
      <c r="I63" s="20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30.0" customHeight="1">
      <c r="A64" s="23" t="s">
        <v>170</v>
      </c>
      <c r="B64" s="47">
        <v>10.0</v>
      </c>
      <c r="C64" s="47">
        <v>0.0</v>
      </c>
      <c r="D64" s="65"/>
      <c r="E64" s="65"/>
      <c r="F64" s="65"/>
      <c r="G64" s="33" t="str">
        <f>HYPERLINK("https://www.minsal.cl/ministerio-de-salud-confirma-caso-numero-10-de-coronavirus-covid-19-en-chile/","Source")</f>
        <v>Source</v>
      </c>
      <c r="H64" s="20"/>
      <c r="I64" s="20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ht="30.0" customHeight="1">
      <c r="A65" s="23" t="s">
        <v>190</v>
      </c>
      <c r="B65" s="47">
        <v>10.0</v>
      </c>
      <c r="C65" s="47">
        <v>0.0</v>
      </c>
      <c r="D65" s="30">
        <v>0.0</v>
      </c>
      <c r="E65" s="30">
        <v>0.0</v>
      </c>
      <c r="F65" s="30">
        <v>0.0</v>
      </c>
      <c r="G65" s="33" t="str">
        <f>HYPERLINK("https://www.terviseamet.ee/et/uudised/kokku-eestis-koroonaviirus-tuvastatud-10-inimesel","Source")</f>
        <v>Source</v>
      </c>
      <c r="H65" s="20"/>
      <c r="I65" s="20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ht="30.0" customHeight="1">
      <c r="A66" s="23" t="s">
        <v>175</v>
      </c>
      <c r="B66" s="47">
        <v>9.0</v>
      </c>
      <c r="C66" s="47">
        <v>0.0</v>
      </c>
      <c r="D66" s="30">
        <v>1.0</v>
      </c>
      <c r="E66" s="65"/>
      <c r="F66" s="65"/>
      <c r="G66" s="33" t="str">
        <f>HYPERLINK("https://www.ministeriodesalud.go.cr/index.php/centro-de-prensa/noticias/741-noticias-2020/1558-ante-casos-de-covid-19-cne-y-salud-elevan-alerta-sanitaria-a-alerta-amarilla","Source")</f>
        <v>Source</v>
      </c>
      <c r="H66" s="20"/>
      <c r="I66" s="20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ht="30.0" customHeight="1">
      <c r="A67" s="23" t="s">
        <v>191</v>
      </c>
      <c r="B67" s="47">
        <v>9.0</v>
      </c>
      <c r="C67" s="47">
        <v>0.0</v>
      </c>
      <c r="D67" s="30">
        <v>0.0</v>
      </c>
      <c r="E67" s="30">
        <v>0.0</v>
      </c>
      <c r="F67" s="30">
        <v>0.0</v>
      </c>
      <c r="G67" s="33" t="str">
        <f>HYPERLINK("https://koronavirus.gov.hu/cikkek/ujabb-2-uj-koronavirus-fertozottet-diagnosztizaltak-egy-iranit-es-egy-magyart","Source")</f>
        <v>Source</v>
      </c>
      <c r="H67" s="20"/>
      <c r="I67" s="20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ht="30.0" customHeight="1">
      <c r="A68" s="23" t="s">
        <v>192</v>
      </c>
      <c r="B68" s="47">
        <v>7.0</v>
      </c>
      <c r="C68" s="47">
        <v>0.0</v>
      </c>
      <c r="D68" s="30">
        <v>1.0</v>
      </c>
      <c r="E68" s="30" t="s">
        <v>17</v>
      </c>
      <c r="F68" s="30">
        <v>4.0</v>
      </c>
      <c r="G68" s="33" t="str">
        <f>HYPERLINK("https://www.excelsior.com.mx/nacional/confirman-septimo-contagiado-de-coronavirus-en-mexico/1368486","Source")</f>
        <v>Source</v>
      </c>
      <c r="H68" s="36"/>
      <c r="I68" s="20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ht="30.0" customHeight="1">
      <c r="A69" s="23" t="s">
        <v>173</v>
      </c>
      <c r="B69" s="47">
        <v>7.0</v>
      </c>
      <c r="C69" s="47">
        <v>0.0</v>
      </c>
      <c r="D69" s="30"/>
      <c r="E69" s="30"/>
      <c r="F69" s="30"/>
      <c r="G69" s="33" t="str">
        <f>HYPERLINK("https://twitter.com/Minsa_Peru/status/1236803406288781312","Source")</f>
        <v>Source</v>
      </c>
      <c r="H69" s="20"/>
      <c r="I69" s="20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ht="30.0" customHeight="1">
      <c r="A70" s="23" t="s">
        <v>193</v>
      </c>
      <c r="B70" s="47">
        <v>6.0</v>
      </c>
      <c r="C70" s="47">
        <v>0.0</v>
      </c>
      <c r="D70" s="30" t="s">
        <v>17</v>
      </c>
      <c r="E70" s="30" t="s">
        <v>17</v>
      </c>
      <c r="F70" s="30" t="s">
        <v>17</v>
      </c>
      <c r="G70" s="33" t="str">
        <f>HYPERLINK("https://www.sb.by/articles/chislo-zarazivshikhsya-novym-koronovirusom-vyroslo-v-belarusi-do-shesti.html","Source")</f>
        <v>Source</v>
      </c>
      <c r="H70" s="20"/>
      <c r="I70" s="20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ht="30.0" customHeight="1">
      <c r="A71" s="23" t="s">
        <v>194</v>
      </c>
      <c r="B71" s="47">
        <v>6.0</v>
      </c>
      <c r="C71" s="47">
        <v>0.0</v>
      </c>
      <c r="D71" s="30" t="s">
        <v>17</v>
      </c>
      <c r="E71" s="30" t="s">
        <v>17</v>
      </c>
      <c r="F71" s="30" t="s">
        <v>17</v>
      </c>
      <c r="G71" s="33" t="str">
        <f>HYPERLINK("https://www.azerbaycan24.com/en/confirmed-coronavirus-cases-reach-six-in-azerbaijan/","Source")</f>
        <v>Source</v>
      </c>
      <c r="H71" s="20"/>
      <c r="I71" s="20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ht="30.0" customHeight="1">
      <c r="A72" s="23" t="s">
        <v>195</v>
      </c>
      <c r="B72" s="47">
        <v>6.0</v>
      </c>
      <c r="C72" s="47">
        <v>0.0</v>
      </c>
      <c r="D72" s="65"/>
      <c r="E72" s="65"/>
      <c r="F72" s="65"/>
      <c r="G72" s="33" t="str">
        <f>HYPERLINK("https://twitter.com/SPKCentrs/status/1236886165371981824","Source")</f>
        <v>Source</v>
      </c>
      <c r="H72" s="20"/>
      <c r="I72" s="20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ht="30.0" customHeight="1">
      <c r="A73" s="23" t="s">
        <v>196</v>
      </c>
      <c r="B73" s="47">
        <v>5.0</v>
      </c>
      <c r="C73" s="47">
        <v>0.0</v>
      </c>
      <c r="D73" s="30" t="s">
        <v>17</v>
      </c>
      <c r="E73" s="30" t="s">
        <v>17</v>
      </c>
      <c r="F73" s="30" t="s">
        <v>17</v>
      </c>
      <c r="G73" s="33" t="str">
        <f>HYPERLINK("https://www.health.govt.nz/news-media/media-releases/fifth-case-covid-19-fits-pattern-previous-case","Source")</f>
        <v>Source</v>
      </c>
      <c r="H73" s="20"/>
      <c r="I73" s="20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ht="30.0" customHeight="1">
      <c r="A74" s="23" t="s">
        <v>197</v>
      </c>
      <c r="B74" s="47">
        <v>5.0</v>
      </c>
      <c r="C74" s="47">
        <v>0.0</v>
      </c>
      <c r="D74" s="65"/>
      <c r="E74" s="65"/>
      <c r="F74" s="65"/>
      <c r="G74" s="33" t="str">
        <f>HYPERLINK("https://www.rtl.lu/news/national/a/1480205.html","Source")</f>
        <v>Source</v>
      </c>
      <c r="H74" s="20"/>
      <c r="I74" s="20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ht="30.0" customHeight="1">
      <c r="A75" s="23" t="s">
        <v>198</v>
      </c>
      <c r="B75" s="47">
        <v>5.0</v>
      </c>
      <c r="C75" s="47">
        <v>0.0</v>
      </c>
      <c r="D75" s="30" t="s">
        <v>17</v>
      </c>
      <c r="E75" s="30" t="s">
        <v>17</v>
      </c>
      <c r="F75" s="30" t="s">
        <v>17</v>
      </c>
      <c r="G75" s="69"/>
      <c r="H75" s="20"/>
      <c r="I75" s="20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ht="30.0" customHeight="1">
      <c r="A76" s="23" t="s">
        <v>199</v>
      </c>
      <c r="B76" s="47">
        <v>5.0</v>
      </c>
      <c r="C76" s="47">
        <v>0.0</v>
      </c>
      <c r="D76" s="65"/>
      <c r="E76" s="65"/>
      <c r="F76" s="65"/>
      <c r="G76" s="33" t="str">
        <f>HYPERLINK("https://www.health.gov.sk/Clanok?slovensko-ma-dalsie-dva-potvrdene-pripady-ochorenia","Source")</f>
        <v>Source</v>
      </c>
      <c r="H76" s="20"/>
      <c r="I76" s="20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ht="30.0" customHeight="1">
      <c r="A77" s="23" t="s">
        <v>200</v>
      </c>
      <c r="B77" s="47">
        <v>4.0</v>
      </c>
      <c r="C77" s="47">
        <v>0.0</v>
      </c>
      <c r="D77" s="30">
        <v>0.0</v>
      </c>
      <c r="E77" s="30">
        <v>0.0</v>
      </c>
      <c r="F77" s="30">
        <v>0.0</v>
      </c>
      <c r="G77" s="33" t="str">
        <f>HYPERLINK("https://twitter.com/MinisteredelaS1/status/1235287636161572864","Source")</f>
        <v>Source</v>
      </c>
      <c r="H77" s="20"/>
      <c r="I77" s="20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ht="30.0" customHeight="1">
      <c r="A78" s="23" t="s">
        <v>201</v>
      </c>
      <c r="B78" s="47">
        <v>4.0</v>
      </c>
      <c r="C78" s="47">
        <v>0.0</v>
      </c>
      <c r="D78" s="30" t="s">
        <v>17</v>
      </c>
      <c r="E78" s="30" t="s">
        <v>17</v>
      </c>
      <c r="F78" s="30" t="s">
        <v>17</v>
      </c>
      <c r="G78" s="33" t="str">
        <f>HYPERLINK("https://www.i24news.tv/en/news/international/middle-east/1583395621-four-cases-of-coronavirus-confirmed-in-west-bank-reports?utm_source=facebook.com&amp;utm_medium=social&amp;utm_campaign=intl_middle_east&amp;utm_content=en1","Source")</f>
        <v>Source</v>
      </c>
      <c r="H78" s="20"/>
      <c r="I78" s="20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ht="30.0" customHeight="1">
      <c r="A79" s="23" t="s">
        <v>202</v>
      </c>
      <c r="B79" s="47">
        <v>4.0</v>
      </c>
      <c r="C79" s="47">
        <v>0.0</v>
      </c>
      <c r="D79" s="30" t="s">
        <v>17</v>
      </c>
      <c r="E79" s="30" t="s">
        <v>17</v>
      </c>
      <c r="F79" s="30" t="s">
        <v>17</v>
      </c>
      <c r="G79" s="33" t="str">
        <f>HYPERLINK("https://tolonews.com/afghanistan/%E2%80%984%E2%80%99-coronavirus-cases-afghanistan-health-minister","Source")</f>
        <v>Source</v>
      </c>
      <c r="H79" s="20"/>
      <c r="I79" s="20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ht="30.0" customHeight="1">
      <c r="A80" s="23" t="s">
        <v>203</v>
      </c>
      <c r="B80" s="47">
        <v>4.0</v>
      </c>
      <c r="C80" s="47">
        <v>0.0</v>
      </c>
      <c r="D80" s="30"/>
      <c r="E80" s="30"/>
      <c r="F80" s="30"/>
      <c r="G80" s="33" t="str">
        <f>HYPERLINK("http://www.bta.bg/bg/c/OF/id/2163630","Source")</f>
        <v>Source</v>
      </c>
      <c r="H80" s="20"/>
      <c r="I80" s="20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ht="27.75" customHeight="1">
      <c r="A81" s="23" t="s">
        <v>204</v>
      </c>
      <c r="B81" s="47">
        <v>4.0</v>
      </c>
      <c r="C81" s="47">
        <v>0.0</v>
      </c>
      <c r="D81" s="30"/>
      <c r="E81" s="30"/>
      <c r="F81" s="30"/>
      <c r="G81" s="33" t="str">
        <f>HYPERLINK("https://twitter.com/HPA_MV/status/1236739540359905280","Source")</f>
        <v>Source</v>
      </c>
      <c r="H81" s="20"/>
      <c r="I81" s="20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ht="27.75" customHeight="1">
      <c r="A82" s="23" t="s">
        <v>205</v>
      </c>
      <c r="B82" s="47">
        <v>3.0</v>
      </c>
      <c r="C82" s="47">
        <v>0.0</v>
      </c>
      <c r="D82" s="30"/>
      <c r="E82" s="30"/>
      <c r="F82" s="30"/>
      <c r="G82" s="33" t="str">
        <f>HYPERLINK("http://www.nicd.ac.za/third-confirmed-case-of-covid-19-in-south-africa/","Source")</f>
        <v>Source</v>
      </c>
      <c r="H82" s="20"/>
      <c r="I82" s="20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ht="27.75" customHeight="1">
      <c r="A83" s="23" t="s">
        <v>206</v>
      </c>
      <c r="B83" s="47">
        <v>3.0</v>
      </c>
      <c r="C83" s="47">
        <v>0.0</v>
      </c>
      <c r="D83" s="30"/>
      <c r="E83" s="30"/>
      <c r="F83" s="30"/>
      <c r="G83" s="33" t="str">
        <f>HYPERLINK("https://www.dhakatribune.com/bangladesh/dhaka/2020/03/08/iedcr-3-affected-with-coronavirus-in-bangladesh","Source")</f>
        <v>Source</v>
      </c>
      <c r="H83" s="20"/>
      <c r="I83" s="20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ht="27.75" customHeight="1">
      <c r="A84" s="23" t="s">
        <v>183</v>
      </c>
      <c r="B84" s="47">
        <v>3.0</v>
      </c>
      <c r="C84" s="47">
        <v>0.0</v>
      </c>
      <c r="D84" s="30"/>
      <c r="E84" s="30"/>
      <c r="F84" s="30"/>
      <c r="G84" s="33" t="str">
        <f>HYPERLINK("https://www.minsalud.gov.co/Paginas/Colombia-confirma-dos-nuevos-casos-de-COVID-19.aspx","Source")</f>
        <v>Source</v>
      </c>
      <c r="H84" s="36"/>
      <c r="I84" s="20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ht="30.0" customHeight="1">
      <c r="A85" s="23" t="s">
        <v>207</v>
      </c>
      <c r="B85" s="47">
        <v>2.0</v>
      </c>
      <c r="C85" s="47">
        <v>0.0</v>
      </c>
      <c r="D85" s="65"/>
      <c r="E85" s="65"/>
      <c r="F85" s="65"/>
      <c r="G85" s="33" t="str">
        <f>HYPERLINK("https://twitter.com/2MInteractive/status/1235469398158131200","Source")</f>
        <v>Source</v>
      </c>
      <c r="H85" s="20"/>
      <c r="I85" s="20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ht="27.75" customHeight="1">
      <c r="A86" s="23" t="s">
        <v>208</v>
      </c>
      <c r="B86" s="47">
        <v>2.0</v>
      </c>
      <c r="C86" s="47">
        <v>0.0</v>
      </c>
      <c r="D86" s="30"/>
      <c r="E86" s="30"/>
      <c r="F86" s="30"/>
      <c r="G86" s="33" t="str">
        <f>HYPERLINK("https://avaz.ba/vijesti/bih/552474/ministar-seranic-zarazeno-i-dijete-skola-zatvorena","Source")</f>
        <v>Source</v>
      </c>
      <c r="H86" s="20"/>
      <c r="I86" s="20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ht="27.75" customHeight="1">
      <c r="A87" s="23" t="s">
        <v>209</v>
      </c>
      <c r="B87" s="47">
        <v>2.0</v>
      </c>
      <c r="C87" s="47">
        <v>0.0</v>
      </c>
      <c r="D87" s="30"/>
      <c r="E87" s="30"/>
      <c r="F87" s="30"/>
      <c r="G87" s="33" t="str">
        <f>HYPERLINK("https://www.facebook.com/MINSANTE.PageOfficielle/photos/a.1480278031987670/3361901400491981/","Source")</f>
        <v>Source</v>
      </c>
      <c r="H87" s="20"/>
      <c r="I87" s="20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ht="30.0" customHeight="1">
      <c r="A88" s="23" t="s">
        <v>210</v>
      </c>
      <c r="B88" s="47">
        <v>2.0</v>
      </c>
      <c r="C88" s="47">
        <v>0.0</v>
      </c>
      <c r="D88" s="30" t="s">
        <v>17</v>
      </c>
      <c r="E88" s="30" t="s">
        <v>17</v>
      </c>
      <c r="F88" s="30">
        <v>1.0</v>
      </c>
      <c r="G88" s="33" t="str">
        <f>HYPERLINK("http://www.akp.gov.kh/post/detail/27426","Source")</f>
        <v>Source</v>
      </c>
      <c r="H88" s="20"/>
      <c r="I88" s="20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ht="30.0" customHeight="1">
      <c r="A89" s="23" t="s">
        <v>211</v>
      </c>
      <c r="B89" s="47">
        <v>2.0</v>
      </c>
      <c r="C89" s="47">
        <v>0.0</v>
      </c>
      <c r="D89" s="65"/>
      <c r="E89" s="65"/>
      <c r="F89" s="65"/>
      <c r="G89" s="33" t="str">
        <f>HYPERLINK("https://www.tap.info.tn/ar/%D9%88%D9%8A%D8%A8-%D8%B3%D9%8A%D8%AA-%D9%85%D8%AC%D8%AA%D9%85%D8%B9-Portal-Society/12413929-%D9%88%D8%B2%D8%A7%D8%B1%D8%A9-%D8%A7%D9%84%D8%B5%D8%AD%D8%A9-%D8%AA%D8%B9%D9%84%D9%86-%D8%B9%D9%86","Source")</f>
        <v>Source</v>
      </c>
      <c r="H89" s="20"/>
      <c r="I89" s="20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ht="30.0" customHeight="1">
      <c r="A90" s="23" t="s">
        <v>212</v>
      </c>
      <c r="B90" s="47">
        <v>2.0</v>
      </c>
      <c r="C90" s="47">
        <v>0.0</v>
      </c>
      <c r="D90" s="65"/>
      <c r="E90" s="65"/>
      <c r="F90" s="65"/>
      <c r="G90" s="33" t="str">
        <f>HYPERLINK("https://www.facebook.com/MinistriaeShendetesisedheMbrojtjesSociale/photos/a.486584464785969/2594099957367732/","Source")</f>
        <v>Source</v>
      </c>
      <c r="H90" s="20"/>
      <c r="I90" s="20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ht="30.0" customHeight="1">
      <c r="A91" s="23" t="s">
        <v>213</v>
      </c>
      <c r="B91" s="47">
        <v>2.0</v>
      </c>
      <c r="C91" s="47">
        <v>0.0</v>
      </c>
      <c r="D91" s="30">
        <v>0.0</v>
      </c>
      <c r="E91" s="30">
        <v>0.0</v>
      </c>
      <c r="F91" s="30">
        <v>0.0</v>
      </c>
      <c r="G91" s="33" t="str">
        <f>HYPERLINK("https://twitter.com/NCDCgov/status/1236947198971125761","Source")</f>
        <v>Source</v>
      </c>
      <c r="H91" s="20"/>
      <c r="I91" s="20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ht="27.75" customHeight="1">
      <c r="A92" s="23" t="s">
        <v>214</v>
      </c>
      <c r="B92" s="47">
        <v>1.0</v>
      </c>
      <c r="C92" s="47">
        <v>0.0</v>
      </c>
      <c r="D92" s="30"/>
      <c r="E92" s="30"/>
      <c r="F92" s="30"/>
      <c r="G92" s="33" t="str">
        <f>HYPERLINK("https://www.moldpres.md/news/2020/03/07/20002021","Source")</f>
        <v>Source</v>
      </c>
      <c r="H92" s="20"/>
      <c r="I92" s="20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ht="27.75" customHeight="1">
      <c r="A93" s="23" t="s">
        <v>215</v>
      </c>
      <c r="B93" s="47">
        <v>1.0</v>
      </c>
      <c r="C93" s="47">
        <v>0.0</v>
      </c>
      <c r="D93" s="30"/>
      <c r="E93" s="30"/>
      <c r="F93" s="30"/>
      <c r="G93" s="33" t="str">
        <f>HYPERLINK("https://timesofmalta.com/articles/view/first-coronavirus-case-reported-in-malta.776288","Source")</f>
        <v>Source</v>
      </c>
      <c r="H93" s="20"/>
      <c r="I93" s="20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ht="27.75" customHeight="1">
      <c r="A94" s="23" t="s">
        <v>216</v>
      </c>
      <c r="B94" s="47">
        <v>1.0</v>
      </c>
      <c r="C94" s="47">
        <v>0.0</v>
      </c>
      <c r="D94" s="30"/>
      <c r="E94" s="30"/>
      <c r="F94" s="30"/>
      <c r="G94" s="33" t="str">
        <f>HYPERLINK("https://news.trust.org/item/20200306140422-lxn7v","Source")</f>
        <v>Source</v>
      </c>
      <c r="H94" s="20"/>
      <c r="I94" s="20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ht="27.75" customHeight="1">
      <c r="A95" s="23" t="s">
        <v>184</v>
      </c>
      <c r="B95" s="47">
        <v>1.0</v>
      </c>
      <c r="C95" s="47">
        <v>0.0</v>
      </c>
      <c r="D95" s="30"/>
      <c r="E95" s="30"/>
      <c r="F95" s="30"/>
      <c r="G95" s="33" t="str">
        <f>HYPERLINK("https://twitter.com/MazzoleniJulio/status/1236343144020619265","Source")</f>
        <v>Source</v>
      </c>
      <c r="H95" s="20"/>
      <c r="I95" s="20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ht="30.0" customHeight="1">
      <c r="A96" s="23" t="s">
        <v>217</v>
      </c>
      <c r="B96" s="47">
        <v>1.0</v>
      </c>
      <c r="C96" s="47">
        <v>0.0</v>
      </c>
      <c r="D96" s="30" t="s">
        <v>17</v>
      </c>
      <c r="E96" s="30" t="s">
        <v>17</v>
      </c>
      <c r="F96" s="30">
        <v>1.0</v>
      </c>
      <c r="G96" s="69"/>
      <c r="H96" s="20"/>
      <c r="I96" s="20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ht="30.0" customHeight="1">
      <c r="A97" s="23" t="s">
        <v>218</v>
      </c>
      <c r="B97" s="47">
        <v>1.0</v>
      </c>
      <c r="C97" s="47">
        <v>0.0</v>
      </c>
      <c r="D97" s="30" t="s">
        <v>17</v>
      </c>
      <c r="E97" s="30" t="s">
        <v>17</v>
      </c>
      <c r="F97" s="30">
        <v>1.0</v>
      </c>
      <c r="G97" s="69"/>
      <c r="H97" s="20"/>
      <c r="I97" s="20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ht="30.0" customHeight="1">
      <c r="A98" s="23" t="s">
        <v>219</v>
      </c>
      <c r="B98" s="47">
        <v>1.0</v>
      </c>
      <c r="C98" s="47">
        <v>0.0</v>
      </c>
      <c r="D98" s="30" t="s">
        <v>17</v>
      </c>
      <c r="E98" s="30" t="s">
        <v>17</v>
      </c>
      <c r="F98" s="30" t="s">
        <v>17</v>
      </c>
      <c r="G98" s="69"/>
      <c r="H98" s="20"/>
      <c r="I98" s="20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ht="30.0" customHeight="1">
      <c r="A99" s="23" t="s">
        <v>220</v>
      </c>
      <c r="B99" s="47">
        <v>1.0</v>
      </c>
      <c r="C99" s="47">
        <v>0.0</v>
      </c>
      <c r="D99" s="30" t="s">
        <v>17</v>
      </c>
      <c r="E99" s="30" t="s">
        <v>17</v>
      </c>
      <c r="F99" s="30" t="s">
        <v>17</v>
      </c>
      <c r="G99" s="69"/>
      <c r="H99" s="20"/>
      <c r="I99" s="20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ht="30.0" customHeight="1">
      <c r="A100" s="23" t="s">
        <v>221</v>
      </c>
      <c r="B100" s="47">
        <v>1.0</v>
      </c>
      <c r="C100" s="47">
        <v>0.0</v>
      </c>
      <c r="D100" s="30" t="s">
        <v>17</v>
      </c>
      <c r="E100" s="30" t="s">
        <v>17</v>
      </c>
      <c r="F100" s="30" t="s">
        <v>17</v>
      </c>
      <c r="G100" s="69"/>
      <c r="H100" s="20"/>
      <c r="I100" s="20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ht="30.0" customHeight="1">
      <c r="A101" s="23" t="s">
        <v>222</v>
      </c>
      <c r="B101" s="47">
        <v>1.0</v>
      </c>
      <c r="C101" s="47">
        <v>0.0</v>
      </c>
      <c r="D101" s="65"/>
      <c r="E101" s="65"/>
      <c r="F101" s="65"/>
      <c r="G101" s="69"/>
      <c r="H101" s="20"/>
      <c r="I101" s="20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ht="30.0" customHeight="1">
      <c r="A102" s="23" t="s">
        <v>223</v>
      </c>
      <c r="B102" s="47">
        <v>1.0</v>
      </c>
      <c r="C102" s="47">
        <v>0.0</v>
      </c>
      <c r="D102" s="65"/>
      <c r="E102" s="65"/>
      <c r="F102" s="65"/>
      <c r="G102" s="69"/>
      <c r="H102" s="20"/>
      <c r="I102" s="20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ht="30.0" customHeight="1">
      <c r="A103" s="23" t="s">
        <v>224</v>
      </c>
      <c r="B103" s="47">
        <v>1.0</v>
      </c>
      <c r="C103" s="47">
        <v>0.0</v>
      </c>
      <c r="D103" s="65"/>
      <c r="E103" s="65"/>
      <c r="F103" s="65"/>
      <c r="G103" s="69"/>
      <c r="H103" s="20"/>
      <c r="I103" s="20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ht="30.0" customHeight="1">
      <c r="A104" s="23" t="s">
        <v>225</v>
      </c>
      <c r="B104" s="47">
        <v>1.0</v>
      </c>
      <c r="C104" s="47">
        <v>0.0</v>
      </c>
      <c r="D104" s="65"/>
      <c r="E104" s="65"/>
      <c r="F104" s="65"/>
      <c r="G104" s="69"/>
      <c r="H104" s="20"/>
      <c r="I104" s="20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ht="30.0" customHeight="1">
      <c r="A105" s="23" t="s">
        <v>226</v>
      </c>
      <c r="B105" s="47">
        <v>1.0</v>
      </c>
      <c r="C105" s="47">
        <v>0.0</v>
      </c>
      <c r="D105" s="65"/>
      <c r="E105" s="65"/>
      <c r="F105" s="65"/>
      <c r="G105" s="69"/>
      <c r="H105" s="20"/>
      <c r="I105" s="20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ht="27.75" customHeight="1">
      <c r="A106" s="23" t="s">
        <v>227</v>
      </c>
      <c r="B106" s="47">
        <v>1.0</v>
      </c>
      <c r="C106" s="47">
        <v>0.0</v>
      </c>
      <c r="D106" s="65"/>
      <c r="E106" s="65"/>
      <c r="F106" s="65"/>
      <c r="G106" s="33" t="str">
        <f>HYPERLINK("https://www.volksblatt.li/nachrichten/Liechtenstein/Vermischtes%20highlighted/vb/247067/in-der-schweiz-angesteckt-erster-positiver-fall-in-liechtenstein","Source")</f>
        <v>Source</v>
      </c>
      <c r="H106" s="20"/>
      <c r="I106" s="20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ht="27.75" customHeight="1">
      <c r="A107" s="23" t="s">
        <v>228</v>
      </c>
      <c r="B107" s="47">
        <v>1.0</v>
      </c>
      <c r="C107" s="47">
        <v>0.0</v>
      </c>
      <c r="D107" s="30"/>
      <c r="E107" s="30"/>
      <c r="F107" s="30"/>
      <c r="G107" s="33" t="str">
        <f>HYPERLINK("https://www.facebook.com/MoHBhutan/posts/2974352729292990","Source")</f>
        <v>Source</v>
      </c>
      <c r="H107" s="20"/>
      <c r="I107" s="20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ht="27.75" customHeight="1">
      <c r="A108" s="23" t="s">
        <v>229</v>
      </c>
      <c r="B108" s="47">
        <v>1.0</v>
      </c>
      <c r="C108" s="47">
        <v>0.0</v>
      </c>
      <c r="D108" s="30">
        <v>1.0</v>
      </c>
      <c r="E108" s="30"/>
      <c r="F108" s="30"/>
      <c r="G108" s="33" t="str">
        <f>HYPERLINK("https://www.gibraltar.gov.gi/press-releases/confirmed-case-of-covid-19-1372020-5641","Source")</f>
        <v>Source</v>
      </c>
      <c r="H108" s="20"/>
      <c r="I108" s="20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ht="27.75" customHeight="1">
      <c r="A109" s="23" t="s">
        <v>230</v>
      </c>
      <c r="B109" s="47">
        <v>1.0</v>
      </c>
      <c r="C109" s="47">
        <v>0.0</v>
      </c>
      <c r="D109" s="30"/>
      <c r="E109" s="30"/>
      <c r="F109" s="30"/>
      <c r="G109" s="33" t="str">
        <f>HYPERLINK("http://www.tanjug.rs/full-view.aspx?izb=540577","Source")</f>
        <v>Source</v>
      </c>
      <c r="H109" s="20"/>
      <c r="I109" s="20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ht="27.75" customHeight="1">
      <c r="A110" s="23" t="s">
        <v>231</v>
      </c>
      <c r="B110" s="47">
        <v>1.0</v>
      </c>
      <c r="C110" s="47">
        <v>0.0</v>
      </c>
      <c r="D110" s="30"/>
      <c r="E110" s="30"/>
      <c r="F110" s="30"/>
      <c r="G110" s="33" t="str">
        <f>HYPERLINK("https://news.trust.org/item/20200306084828-6r4o6","Source")</f>
        <v>Source</v>
      </c>
      <c r="H110" s="20"/>
      <c r="I110" s="20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ht="30.0" customHeight="1">
      <c r="A111" s="16" t="s">
        <v>56</v>
      </c>
      <c r="B111" s="70">
        <f t="shared" ref="B111:F111" si="2">sum(B7:B110)</f>
        <v>114066</v>
      </c>
      <c r="C111" s="71">
        <f t="shared" si="2"/>
        <v>4018</v>
      </c>
      <c r="D111" s="71">
        <f t="shared" si="2"/>
        <v>5691</v>
      </c>
      <c r="E111" s="72">
        <f t="shared" si="2"/>
        <v>63</v>
      </c>
      <c r="F111" s="73">
        <f t="shared" si="2"/>
        <v>63974</v>
      </c>
      <c r="G111" s="65"/>
      <c r="H111" s="20"/>
      <c r="I111" s="20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ht="30.0" customHeight="1">
      <c r="A112" s="16"/>
      <c r="B112" s="74"/>
      <c r="C112" s="72"/>
      <c r="D112" s="72"/>
      <c r="E112" s="72"/>
      <c r="F112" s="75"/>
      <c r="G112" s="65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</sheetData>
  <mergeCells count="6">
    <mergeCell ref="B3:C3"/>
    <mergeCell ref="D3:E3"/>
    <mergeCell ref="F3:G3"/>
    <mergeCell ref="B4:C4"/>
    <mergeCell ref="D4:E4"/>
    <mergeCell ref="F4:G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  <col customWidth="1" min="8" max="8" width="1.29"/>
  </cols>
  <sheetData>
    <row r="1" ht="27.75" customHeight="1">
      <c r="A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9">
        <f t="shared" ref="A3:B3" si="1">SUM(B65, B66)</f>
        <v>637</v>
      </c>
      <c r="B3" s="9">
        <f t="shared" si="1"/>
        <v>27</v>
      </c>
      <c r="D3" s="11">
        <f>SUM(F65, F66)</f>
        <v>7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4" t="s">
        <v>6</v>
      </c>
      <c r="B5" s="15" t="s">
        <v>7</v>
      </c>
      <c r="C5" s="15" t="s">
        <v>9</v>
      </c>
      <c r="D5" s="18" t="s">
        <v>10</v>
      </c>
      <c r="E5" s="18" t="s">
        <v>11</v>
      </c>
      <c r="F5" s="18" t="s">
        <v>12</v>
      </c>
      <c r="G5" s="15" t="s">
        <v>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ht="30.0" customHeight="1">
      <c r="A6" s="24" t="s">
        <v>15</v>
      </c>
      <c r="B6" s="28">
        <v>162.0</v>
      </c>
      <c r="C6" s="28">
        <v>23.0</v>
      </c>
      <c r="D6" s="29"/>
      <c r="E6" s="29"/>
      <c r="F6" s="35">
        <v>1.0</v>
      </c>
      <c r="G6" s="37" t="str">
        <f>HYPERLINK("https://www.kiro7.com/news/local/coronavirus-number-confirmed-cases-more-than-100-virus-moves-more-counties/XIDPHMLVOJAAREQ5YCL75367PU/","Source")</f>
        <v>Source</v>
      </c>
      <c r="H6" s="36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ht="30.0" customHeight="1">
      <c r="A7" s="38" t="s">
        <v>19</v>
      </c>
      <c r="B7" s="39">
        <v>142.0</v>
      </c>
      <c r="C7" s="40">
        <v>0.0</v>
      </c>
      <c r="D7" s="41"/>
      <c r="E7" s="41"/>
      <c r="F7" s="41">
        <v>0.0</v>
      </c>
      <c r="G7" s="42" t="str">
        <f>HYPERLINK("https://abc7ny.com/health/13-confirmed-nyc-coronavirus-cases-more-than-100-statewide/5989875/","Source")</f>
        <v>Source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ht="30.0" customHeight="1">
      <c r="A8" s="22" t="s">
        <v>20</v>
      </c>
      <c r="B8" s="26">
        <v>102.0</v>
      </c>
      <c r="C8" s="43">
        <v>2.0</v>
      </c>
      <c r="D8" s="32"/>
      <c r="E8" s="32">
        <v>1.0</v>
      </c>
      <c r="F8" s="32">
        <v>1.0</v>
      </c>
      <c r="G8" s="34" t="str">
        <f>HYPERLINK("https://www.sccgov.org/sites/phd/news/Pages/order-health-officer-03092020.aspx","Source")</f>
        <v>Source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ht="27.75" customHeight="1">
      <c r="A9" s="24" t="s">
        <v>21</v>
      </c>
      <c r="B9" s="44">
        <v>28.0</v>
      </c>
      <c r="C9" s="28">
        <v>0.0</v>
      </c>
      <c r="D9" s="35"/>
      <c r="E9" s="29"/>
      <c r="F9" s="29"/>
      <c r="G9" s="37" t="str">
        <f>HYPERLINK("https://www.mass.gov/news/15-new-presumptive-positive-cases-of-covid-19-identified-by-massachusetts-state-public-health","Source")</f>
        <v>Source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ht="27.75" customHeight="1">
      <c r="A10" s="24" t="s">
        <v>22</v>
      </c>
      <c r="B10" s="44">
        <v>14.0</v>
      </c>
      <c r="C10" s="28">
        <v>0.0</v>
      </c>
      <c r="D10" s="35"/>
      <c r="E10" s="29"/>
      <c r="F10" s="29"/>
      <c r="G10" s="37" t="str">
        <f>HYPERLINK("https://www.oregon.gov/oha/PH/DISEASESCONDITIONS/DISEASESAZ/Pages/emerging-respiratory-infections.aspx","Source")</f>
        <v>Source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ht="30.0" customHeight="1">
      <c r="A11" s="22" t="s">
        <v>23</v>
      </c>
      <c r="B11" s="43">
        <v>13.0</v>
      </c>
      <c r="C11" s="43">
        <v>2.0</v>
      </c>
      <c r="D11" s="32"/>
      <c r="E11" s="45"/>
      <c r="F11" s="45"/>
      <c r="G11" s="34" t="str">
        <f>HYPERLINK("https://twitter.com/HealthyFla/status/1237175529981325323","Source")</f>
        <v>Source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ht="30.0" customHeight="1">
      <c r="A12" s="24" t="s">
        <v>24</v>
      </c>
      <c r="B12" s="44">
        <v>11.0</v>
      </c>
      <c r="C12" s="28">
        <v>0.0</v>
      </c>
      <c r="D12" s="35"/>
      <c r="E12" s="35"/>
      <c r="F12" s="29"/>
      <c r="G12" s="37" t="str">
        <f>HYPERLINK("https://dph.georgia.gov/press-releases/2020-03-08/additional-presumed-positive-cases-covid-19-georgia","Source")</f>
        <v>Source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ht="27.75" customHeight="1">
      <c r="A13" s="24" t="s">
        <v>25</v>
      </c>
      <c r="B13" s="44">
        <v>8.0</v>
      </c>
      <c r="C13" s="28">
        <v>0.0</v>
      </c>
      <c r="D13" s="35"/>
      <c r="E13" s="29"/>
      <c r="F13" s="29"/>
      <c r="G13" s="37" t="str">
        <f>HYPERLINK("https://gazette.com/nowall/people-test-positive-for-coronavirus-in-colorado-including-one-in/article_c967b0d0-5ffc-11ea-8d4a-e3868f4ab284.html","Source")</f>
        <v>Source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ht="27.75" customHeight="1">
      <c r="A14" s="24" t="s">
        <v>27</v>
      </c>
      <c r="B14" s="44">
        <v>7.0</v>
      </c>
      <c r="C14" s="28">
        <v>0.0</v>
      </c>
      <c r="D14" s="35"/>
      <c r="E14" s="35"/>
      <c r="F14" s="35">
        <v>2.0</v>
      </c>
      <c r="G14" s="37" t="str">
        <f>HYPERLINK("http://www.dph.illinois.gov/news/public-health-officials-announce-new-presumptive-positive-case-covid-19-and-provide-updates","Source")</f>
        <v>Source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ht="30.0" customHeight="1">
      <c r="A15" s="22" t="s">
        <v>29</v>
      </c>
      <c r="B15" s="43">
        <v>7.0</v>
      </c>
      <c r="C15" s="43">
        <v>0.0</v>
      </c>
      <c r="D15" s="32"/>
      <c r="E15" s="45"/>
      <c r="F15" s="45"/>
      <c r="G15" s="34" t="str">
        <f>HYPERLINK("https://twitter.com/hcphtx/status/1236827853217501184","Source")</f>
        <v>Source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ht="27.75" customHeight="1">
      <c r="A16" s="24" t="s">
        <v>31</v>
      </c>
      <c r="B16" s="44">
        <v>6.0</v>
      </c>
      <c r="C16" s="28">
        <v>0.0</v>
      </c>
      <c r="D16" s="35"/>
      <c r="E16" s="29"/>
      <c r="F16" s="29"/>
      <c r="G16" s="37" t="str">
        <f>HYPERLINK("https://twitter.com/GovMurphy/status/1236709490700976128","Source")</f>
        <v>Source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ht="27.75" customHeight="1">
      <c r="A17" s="24" t="s">
        <v>33</v>
      </c>
      <c r="B17" s="44">
        <v>6.0</v>
      </c>
      <c r="C17" s="28">
        <v>0.0</v>
      </c>
      <c r="D17" s="35"/>
      <c r="E17" s="29"/>
      <c r="F17" s="29"/>
      <c r="G17" s="37" t="str">
        <f>HYPERLINK("https://6abc.com/health/2-new-presumptive-positive-coronavirus-cases-confirmed-in-montco/5995594/","Source")</f>
        <v>Source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ht="27.75" customHeight="1">
      <c r="A18" s="24" t="s">
        <v>36</v>
      </c>
      <c r="B18" s="44">
        <v>6.0</v>
      </c>
      <c r="C18" s="28">
        <v>0.0</v>
      </c>
      <c r="D18" s="35">
        <v>0.0</v>
      </c>
      <c r="E18" s="35">
        <v>0.0</v>
      </c>
      <c r="F18" s="35">
        <v>0.0</v>
      </c>
      <c r="G18" s="37" t="str">
        <f>HYPERLINK("https://governor.maryland.gov/2020/03/09/governor-hogan-announces-sixth-positive-case-of-coronavirus-in-maryland/","Source")</f>
        <v>Source</v>
      </c>
      <c r="H18" s="36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ht="30.0" customHeight="1">
      <c r="A19" s="22" t="s">
        <v>39</v>
      </c>
      <c r="B19" s="26">
        <v>6.0</v>
      </c>
      <c r="C19" s="26">
        <v>0.0</v>
      </c>
      <c r="D19" s="31"/>
      <c r="E19" s="45"/>
      <c r="F19" s="45"/>
      <c r="G19" s="34" t="str">
        <f>HYPERLINK("https://www.scdhec.gov/news-releases/dhec-investigating-additional-possible-cases-2019-novel-coronavirus-south-carolina","Source")</f>
        <v>Source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ht="27.75" customHeight="1">
      <c r="A20" s="24" t="s">
        <v>42</v>
      </c>
      <c r="B20" s="44">
        <v>6.0</v>
      </c>
      <c r="C20" s="28">
        <v>0.0</v>
      </c>
      <c r="D20" s="35"/>
      <c r="E20" s="29"/>
      <c r="F20" s="29"/>
      <c r="G20" s="37" t="str">
        <f>HYPERLINK("https://kentucky.gov/Pages/Activity-stream.aspx?n=GovernorBeshear&amp;prId=81","Source")</f>
        <v>Source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ht="27.75" customHeight="1">
      <c r="A21" s="24" t="s">
        <v>45</v>
      </c>
      <c r="B21" s="44">
        <v>5.0</v>
      </c>
      <c r="C21" s="28">
        <v>0.0</v>
      </c>
      <c r="D21" s="35"/>
      <c r="E21" s="29"/>
      <c r="F21" s="35">
        <v>1.0</v>
      </c>
      <c r="G21" s="37" t="str">
        <f>HYPERLINK("https://www.azdhs.gov/director/public-information-office/index.php#news-release-030720","Source")</f>
        <v>Source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ht="30.0" customHeight="1">
      <c r="A22" s="22" t="s">
        <v>49</v>
      </c>
      <c r="B22" s="26">
        <v>5.0</v>
      </c>
      <c r="C22" s="26">
        <v>0.0</v>
      </c>
      <c r="D22" s="31"/>
      <c r="E22" s="45"/>
      <c r="F22" s="45"/>
      <c r="G22" s="34" t="str">
        <f>HYPERLINK("http://www.vdh.virginia.gov/news/2020-news-releases/virginia-department-of-health-confirms-fourth-and-fifth-presumptive-positive-cases-of-coronavirus-disease-2019-covid-19-in-fairfax-and-in-spotsylvania-county-virginia/","Source")</f>
        <v>Source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ht="30.0" customHeight="1">
      <c r="A23" s="22" t="s">
        <v>51</v>
      </c>
      <c r="B23" s="26">
        <v>4.0</v>
      </c>
      <c r="C23" s="43">
        <v>0.0</v>
      </c>
      <c r="D23" s="32"/>
      <c r="E23" s="45"/>
      <c r="F23" s="45"/>
      <c r="G23" s="34" t="str">
        <f>HYPERLINK("https://www.dhhs.nh.gov/media/pr/2020/03072020-two-new-covid-19-cases.htm","Source")</f>
        <v>Source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ht="27.75" customHeight="1">
      <c r="A24" s="24" t="s">
        <v>53</v>
      </c>
      <c r="B24" s="44">
        <v>4.0</v>
      </c>
      <c r="C24" s="28">
        <v>0.0</v>
      </c>
      <c r="D24" s="35"/>
      <c r="E24" s="29"/>
      <c r="F24" s="29"/>
      <c r="G24" s="37" t="str">
        <f>HYPERLINK("https://twitter.com/SNHDinfo/status/1236767753437999104","Source")</f>
        <v>Source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ht="27.75" customHeight="1">
      <c r="A25" s="24" t="s">
        <v>55</v>
      </c>
      <c r="B25" s="44">
        <v>3.0</v>
      </c>
      <c r="C25" s="28">
        <v>0.0</v>
      </c>
      <c r="D25" s="35"/>
      <c r="E25" s="29"/>
      <c r="F25" s="29"/>
      <c r="G25" s="37" t="str">
        <f>HYPERLINK("https://www.ri.gov/press/view/37858","Source")</f>
        <v>Source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ht="27.75" customHeight="1">
      <c r="A26" s="24" t="s">
        <v>58</v>
      </c>
      <c r="B26" s="44">
        <v>3.0</v>
      </c>
      <c r="C26" s="28">
        <v>0.0</v>
      </c>
      <c r="D26" s="35"/>
      <c r="E26" s="29"/>
      <c r="F26" s="29"/>
      <c r="G26" s="37" t="str">
        <f>HYPERLINK("https://www.tn.gov/health/news/2020/3/8/tdh-confirms-two-additional-cases-of-covid-19.html","Source")</f>
        <v>Source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ht="27.75" customHeight="1">
      <c r="A27" s="24" t="s">
        <v>60</v>
      </c>
      <c r="B27" s="44">
        <v>3.0</v>
      </c>
      <c r="C27" s="28">
        <v>0.0</v>
      </c>
      <c r="D27" s="35"/>
      <c r="E27" s="29"/>
      <c r="F27" s="29"/>
      <c r="G27" s="37" t="str">
        <f>HYPERLINK("https://www.facebook.com/IAGovernor/videos/140082867321283/","Source")</f>
        <v>Source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ht="30.0" customHeight="1">
      <c r="A28" s="22" t="s">
        <v>62</v>
      </c>
      <c r="B28" s="26">
        <v>2.0</v>
      </c>
      <c r="C28" s="26">
        <v>0.0</v>
      </c>
      <c r="D28" s="31"/>
      <c r="E28" s="45"/>
      <c r="F28" s="45"/>
      <c r="G28" s="34" t="str">
        <f>HYPERLINK("https://www.ncdhhs.gov/news/press-releases/north-carolina-identifies-second-case-covid-19","Source")</f>
        <v>Source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ht="30.0" customHeight="1">
      <c r="A29" s="22" t="s">
        <v>64</v>
      </c>
      <c r="B29" s="26">
        <v>2.0</v>
      </c>
      <c r="C29" s="26">
        <v>0.0</v>
      </c>
      <c r="D29" s="31"/>
      <c r="E29" s="45"/>
      <c r="F29" s="45"/>
      <c r="G29" s="34" t="str">
        <f>HYPERLINK("https://calendar.in.gov/site/isdh/event/isdh-news-release-state-health-department-announces-2nd-covid-19-case/","Source")</f>
        <v>Source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ht="30.0" customHeight="1">
      <c r="A30" s="22" t="s">
        <v>66</v>
      </c>
      <c r="B30" s="26">
        <v>2.0</v>
      </c>
      <c r="C30" s="26">
        <v>0.0</v>
      </c>
      <c r="D30" s="31"/>
      <c r="E30" s="45"/>
      <c r="F30" s="45"/>
      <c r="G30" s="34" t="str">
        <f>HYPERLINK("https://content.govdelivery.com/accounts/MNMDH/bulletins/28000af","Source")</f>
        <v>Source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ht="27.75" customHeight="1">
      <c r="A31" s="24" t="s">
        <v>67</v>
      </c>
      <c r="B31" s="44">
        <v>2.0</v>
      </c>
      <c r="C31" s="28">
        <v>0.0</v>
      </c>
      <c r="D31" s="35"/>
      <c r="E31" s="29"/>
      <c r="F31" s="29"/>
      <c r="G31" s="37" t="str">
        <f>HYPERLINK("https://www.hawaiinewsnow.com/2020/03/09/department-health-announces-second-case-covid-/","Source")</f>
        <v>Source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ht="30.0" customHeight="1">
      <c r="A32" s="22" t="s">
        <v>69</v>
      </c>
      <c r="B32" s="26">
        <v>1.0</v>
      </c>
      <c r="C32" s="26">
        <v>0.0</v>
      </c>
      <c r="D32" s="31"/>
      <c r="E32" s="45"/>
      <c r="F32" s="45"/>
      <c r="G32" s="34" t="str">
        <f>HYPERLINK("https://www.healthvermont.gov/media/newsroom/vermont-announces-first-presumptive-case-new-coronavirus-covid-19-march-7-2020","Source")</f>
        <v>Source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ht="30.0" customHeight="1">
      <c r="A33" s="22" t="s">
        <v>71</v>
      </c>
      <c r="B33" s="26">
        <v>1.0</v>
      </c>
      <c r="C33" s="26">
        <v>0.0</v>
      </c>
      <c r="D33" s="31"/>
      <c r="E33" s="45"/>
      <c r="F33" s="45"/>
      <c r="G33" s="34" t="str">
        <f>HYPERLINK("https://health.utah.gov/featured-news/utah-health-officials-announce-first-case-of-covid-19","Source")</f>
        <v>Source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ht="30.0" customHeight="1">
      <c r="A34" s="22" t="s">
        <v>73</v>
      </c>
      <c r="B34" s="26">
        <v>1.0</v>
      </c>
      <c r="C34" s="26">
        <v>0.0</v>
      </c>
      <c r="D34" s="31"/>
      <c r="E34" s="45"/>
      <c r="F34" s="45"/>
      <c r="G34" s="34" t="str">
        <f>HYPERLINK("https://www.ksnt.com/news/local-news/kansas-woman-tests-positive-for-coronavirus/","Source")</f>
        <v>Source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ht="30.0" customHeight="1">
      <c r="A35" s="22" t="s">
        <v>75</v>
      </c>
      <c r="B35" s="26">
        <v>1.0</v>
      </c>
      <c r="C35" s="26">
        <v>0.0</v>
      </c>
      <c r="D35" s="31"/>
      <c r="E35" s="45"/>
      <c r="F35" s="45"/>
      <c r="G35" s="34" t="str">
        <f>HYPERLINK("https://twitter.com/RobertDEdwards/status/1236451823109758977","Source")</f>
        <v>Source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ht="30.0" customHeight="1">
      <c r="A36" s="22" t="s">
        <v>77</v>
      </c>
      <c r="B36" s="26">
        <v>1.0</v>
      </c>
      <c r="C36" s="26">
        <v>0.0</v>
      </c>
      <c r="D36" s="31"/>
      <c r="E36" s="45"/>
      <c r="F36" s="45"/>
      <c r="G36" s="34" t="str">
        <f>HYPERLINK("https://www.newson6.com/story/41864514/gov-stitt-announces-first-confirmed-case-of-coronavirus-in-oklahoma","Source")</f>
        <v>Source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ht="27.75" customHeight="1">
      <c r="A37" s="24" t="s">
        <v>79</v>
      </c>
      <c r="B37" s="44">
        <v>1.0</v>
      </c>
      <c r="C37" s="28">
        <v>0.0</v>
      </c>
      <c r="D37" s="35"/>
      <c r="E37" s="29"/>
      <c r="F37" s="29"/>
      <c r="G37" s="37" t="str">
        <f>HYPERLINK("https://www.dhs.wisconsin.gov/outbreaks/index.htm","Source")</f>
        <v>Source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ht="27.75" customHeight="1">
      <c r="A38" s="24" t="s">
        <v>80</v>
      </c>
      <c r="B38" s="44">
        <v>1.0</v>
      </c>
      <c r="C38" s="28">
        <v>0.0</v>
      </c>
      <c r="D38" s="35"/>
      <c r="E38" s="29"/>
      <c r="F38" s="29"/>
      <c r="G38" s="37" t="str">
        <f>HYPERLINK("https://governor.nebraska.gov/press/first-presumptive-positive-case-coronavirus-2019-reported-nebraska-dhhs","Source")</f>
        <v>Source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ht="27.75" customHeight="1">
      <c r="A39" s="24" t="s">
        <v>82</v>
      </c>
      <c r="B39" s="44">
        <v>1.0</v>
      </c>
      <c r="C39" s="28">
        <v>0.0</v>
      </c>
      <c r="D39" s="35"/>
      <c r="E39" s="29"/>
      <c r="F39" s="29"/>
      <c r="G39" s="37" t="str">
        <f>HYPERLINK("https://twitter.com/MayorBowser/status/1236422174958895104","Source")</f>
        <v>Source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ht="27.75" customHeight="1">
      <c r="A40" s="24" t="s">
        <v>83</v>
      </c>
      <c r="B40" s="44">
        <v>1.0</v>
      </c>
      <c r="C40" s="28">
        <v>0.0</v>
      </c>
      <c r="D40" s="35"/>
      <c r="E40" s="29"/>
      <c r="F40" s="29"/>
      <c r="G40" s="37" t="str">
        <f>HYPERLINK("https://portal.ct.gov/Office-of-the-Governor/News/Press-Releases/2020/03-2020/Governor-Lamont-Announces-First-Positive-Case-of-Novel-Coronavirus-Involving-a-Connecticut-Resident","Source")</f>
        <v>Source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ht="27.75" customHeight="1">
      <c r="A41" s="24" t="s">
        <v>86</v>
      </c>
      <c r="B41" s="44">
        <v>3.0</v>
      </c>
      <c r="C41" s="28">
        <v>0.0</v>
      </c>
      <c r="D41" s="35"/>
      <c r="E41" s="29"/>
      <c r="F41" s="29"/>
      <c r="G41" s="6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ht="27.75" customHeight="1">
      <c r="A42" s="24" t="s">
        <v>88</v>
      </c>
      <c r="B42" s="44">
        <v>21.0</v>
      </c>
      <c r="C42" s="28">
        <v>0.0</v>
      </c>
      <c r="D42" s="35"/>
      <c r="E42" s="29"/>
      <c r="F42" s="29"/>
      <c r="G42" s="37" t="str">
        <f>HYPERLINK("https://www.youtube.com/watch?v=pAsq7-_3XTI","Source")</f>
        <v>Source</v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ht="24.0" customHeight="1">
      <c r="A43" s="24" t="s">
        <v>44</v>
      </c>
      <c r="B43" s="44">
        <v>45.0</v>
      </c>
      <c r="C43" s="28">
        <v>0.0</v>
      </c>
      <c r="D43" s="35"/>
      <c r="E43" s="29"/>
      <c r="F43" s="35">
        <v>2.0</v>
      </c>
      <c r="G43" s="63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ht="27.75" customHeight="1">
      <c r="A44" s="24" t="s">
        <v>92</v>
      </c>
      <c r="B44" s="44">
        <v>0.0</v>
      </c>
      <c r="C44" s="28">
        <v>0.0</v>
      </c>
      <c r="D44" s="35"/>
      <c r="E44" s="29"/>
      <c r="F44" s="29"/>
      <c r="G44" s="63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ht="27.75" customHeight="1">
      <c r="A45" s="24" t="s">
        <v>94</v>
      </c>
      <c r="B45" s="44">
        <v>0.0</v>
      </c>
      <c r="C45" s="28">
        <v>0.0</v>
      </c>
      <c r="D45" s="35"/>
      <c r="E45" s="29"/>
      <c r="F45" s="29"/>
      <c r="G45" s="63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ht="27.75" customHeight="1">
      <c r="A46" s="24" t="s">
        <v>96</v>
      </c>
      <c r="B46" s="44">
        <v>0.0</v>
      </c>
      <c r="C46" s="28">
        <v>0.0</v>
      </c>
      <c r="D46" s="35"/>
      <c r="E46" s="29"/>
      <c r="F46" s="29"/>
      <c r="G46" s="63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ht="27.75" customHeight="1">
      <c r="A47" s="24" t="s">
        <v>99</v>
      </c>
      <c r="B47" s="44">
        <v>0.0</v>
      </c>
      <c r="C47" s="28">
        <v>0.0</v>
      </c>
      <c r="D47" s="35"/>
      <c r="E47" s="29"/>
      <c r="F47" s="29"/>
      <c r="G47" s="63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7.75" customHeight="1">
      <c r="A48" s="24" t="s">
        <v>103</v>
      </c>
      <c r="B48" s="44">
        <v>0.0</v>
      </c>
      <c r="C48" s="28">
        <v>0.0</v>
      </c>
      <c r="D48" s="35"/>
      <c r="E48" s="29"/>
      <c r="F48" s="29"/>
      <c r="G48" s="63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7.75" customHeight="1">
      <c r="A49" s="24" t="s">
        <v>105</v>
      </c>
      <c r="B49" s="44">
        <v>0.0</v>
      </c>
      <c r="C49" s="28">
        <v>0.0</v>
      </c>
      <c r="D49" s="35"/>
      <c r="E49" s="29"/>
      <c r="F49" s="29"/>
      <c r="G49" s="63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7.75" customHeight="1">
      <c r="A50" s="24" t="s">
        <v>107</v>
      </c>
      <c r="B50" s="44">
        <v>0.0</v>
      </c>
      <c r="C50" s="28">
        <v>0.0</v>
      </c>
      <c r="D50" s="35"/>
      <c r="E50" s="29"/>
      <c r="F50" s="29"/>
      <c r="G50" s="63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7.75" customHeight="1">
      <c r="A51" s="24" t="s">
        <v>110</v>
      </c>
      <c r="B51" s="44">
        <v>0.0</v>
      </c>
      <c r="C51" s="28">
        <v>0.0</v>
      </c>
      <c r="D51" s="35"/>
      <c r="E51" s="29"/>
      <c r="F51" s="29"/>
      <c r="G51" s="63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7.75" customHeight="1">
      <c r="A52" s="24" t="s">
        <v>112</v>
      </c>
      <c r="B52" s="44">
        <v>0.0</v>
      </c>
      <c r="C52" s="28">
        <v>0.0</v>
      </c>
      <c r="D52" s="35"/>
      <c r="E52" s="29"/>
      <c r="F52" s="29"/>
      <c r="G52" s="63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7.75" customHeight="1">
      <c r="A53" s="24" t="s">
        <v>114</v>
      </c>
      <c r="B53" s="44">
        <v>0.0</v>
      </c>
      <c r="C53" s="28">
        <v>0.0</v>
      </c>
      <c r="D53" s="35"/>
      <c r="E53" s="29"/>
      <c r="F53" s="29"/>
      <c r="G53" s="63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7.75" customHeight="1">
      <c r="A54" s="24" t="s">
        <v>116</v>
      </c>
      <c r="B54" s="44">
        <v>0.0</v>
      </c>
      <c r="C54" s="28">
        <v>0.0</v>
      </c>
      <c r="D54" s="35"/>
      <c r="E54" s="29"/>
      <c r="F54" s="29"/>
      <c r="G54" s="63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7.75" customHeight="1">
      <c r="A55" s="24" t="s">
        <v>117</v>
      </c>
      <c r="B55" s="44">
        <v>0.0</v>
      </c>
      <c r="C55" s="28">
        <v>0.0</v>
      </c>
      <c r="D55" s="35"/>
      <c r="E55" s="29"/>
      <c r="F55" s="29"/>
      <c r="G55" s="63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7.75" customHeight="1">
      <c r="A56" s="24" t="s">
        <v>118</v>
      </c>
      <c r="B56" s="44">
        <v>0.0</v>
      </c>
      <c r="C56" s="28">
        <v>0.0</v>
      </c>
      <c r="D56" s="35"/>
      <c r="E56" s="29"/>
      <c r="F56" s="29"/>
      <c r="G56" s="63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7.75" customHeight="1">
      <c r="A57" s="24" t="s">
        <v>120</v>
      </c>
      <c r="B57" s="44">
        <v>0.0</v>
      </c>
      <c r="C57" s="28">
        <v>0.0</v>
      </c>
      <c r="D57" s="35"/>
      <c r="E57" s="29"/>
      <c r="F57" s="29"/>
      <c r="G57" s="63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7.75" customHeight="1">
      <c r="A58" s="24" t="s">
        <v>121</v>
      </c>
      <c r="B58" s="44">
        <v>0.0</v>
      </c>
      <c r="C58" s="28">
        <v>0.0</v>
      </c>
      <c r="D58" s="35"/>
      <c r="E58" s="29"/>
      <c r="F58" s="29"/>
      <c r="G58" s="63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7.75" customHeight="1">
      <c r="A59" s="24" t="s">
        <v>123</v>
      </c>
      <c r="B59" s="44">
        <v>0.0</v>
      </c>
      <c r="C59" s="28">
        <v>0.0</v>
      </c>
      <c r="D59" s="35"/>
      <c r="E59" s="29"/>
      <c r="F59" s="29"/>
      <c r="G59" s="63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7.75" customHeight="1">
      <c r="A60" s="24" t="s">
        <v>125</v>
      </c>
      <c r="B60" s="44">
        <v>0.0</v>
      </c>
      <c r="C60" s="28">
        <v>0.0</v>
      </c>
      <c r="D60" s="35"/>
      <c r="E60" s="29"/>
      <c r="F60" s="29"/>
      <c r="G60" s="63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7.75" customHeight="1">
      <c r="A61" s="24" t="s">
        <v>126</v>
      </c>
      <c r="B61" s="44">
        <v>0.0</v>
      </c>
      <c r="C61" s="28">
        <v>0.0</v>
      </c>
      <c r="D61" s="35"/>
      <c r="E61" s="29"/>
      <c r="F61" s="29"/>
      <c r="G61" s="63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7.75" customHeight="1">
      <c r="A62" s="24" t="s">
        <v>128</v>
      </c>
      <c r="B62" s="44">
        <v>0.0</v>
      </c>
      <c r="C62" s="28">
        <v>0.0</v>
      </c>
      <c r="D62" s="35"/>
      <c r="E62" s="29"/>
      <c r="F62" s="29"/>
      <c r="G62" s="63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7.75" customHeight="1">
      <c r="A63" s="24" t="s">
        <v>129</v>
      </c>
      <c r="B63" s="44">
        <v>0.0</v>
      </c>
      <c r="C63" s="28">
        <v>0.0</v>
      </c>
      <c r="D63" s="35"/>
      <c r="E63" s="29"/>
      <c r="F63" s="29"/>
      <c r="G63" s="63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7.75" customHeight="1">
      <c r="A64" s="24" t="s">
        <v>131</v>
      </c>
      <c r="B64" s="44">
        <v>0.0</v>
      </c>
      <c r="C64" s="28">
        <v>0.0</v>
      </c>
      <c r="D64" s="35"/>
      <c r="E64" s="29"/>
      <c r="F64" s="29"/>
      <c r="G64" s="63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ht="30.0" customHeight="1">
      <c r="A65" s="51" t="s">
        <v>132</v>
      </c>
      <c r="B65" s="52">
        <f t="shared" ref="B65:F65" si="2">SUM(B6:B64)</f>
        <v>637</v>
      </c>
      <c r="C65" s="52">
        <f t="shared" si="2"/>
        <v>27</v>
      </c>
      <c r="D65" s="52">
        <f t="shared" si="2"/>
        <v>0</v>
      </c>
      <c r="E65" s="52">
        <f t="shared" si="2"/>
        <v>1</v>
      </c>
      <c r="F65" s="52">
        <f t="shared" si="2"/>
        <v>7</v>
      </c>
      <c r="G65" s="53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>
      <c r="A66" s="51"/>
      <c r="B66" s="54"/>
      <c r="C66" s="54"/>
      <c r="D66" s="54"/>
      <c r="E66" s="54"/>
      <c r="F66" s="54"/>
      <c r="G66" s="5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57"/>
      <c r="B67" s="58"/>
      <c r="C67" s="59"/>
      <c r="D67" s="59"/>
      <c r="E67" s="59"/>
      <c r="F67" s="59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60"/>
      <c r="B68" s="59"/>
      <c r="C68" s="59"/>
      <c r="D68" s="59"/>
      <c r="E68" s="59"/>
      <c r="F68" s="59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60"/>
      <c r="B69" s="59"/>
      <c r="C69" s="59"/>
      <c r="D69" s="59"/>
      <c r="E69" s="59"/>
      <c r="F69" s="59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</sheetData>
  <mergeCells count="5">
    <mergeCell ref="A1:F1"/>
    <mergeCell ref="B2:C2"/>
    <mergeCell ref="D2:E2"/>
    <mergeCell ref="B3:C3"/>
    <mergeCell ref="D3:E3"/>
  </mergeCell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9">
        <f t="shared" ref="A3:B3" si="1">SUM(B15, B16)</f>
        <v>80754</v>
      </c>
      <c r="B3" s="9">
        <f t="shared" si="1"/>
        <v>3136</v>
      </c>
      <c r="D3" s="11">
        <f>SUM(F15, F16)</f>
        <v>59897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4" t="s">
        <v>5</v>
      </c>
      <c r="B5" s="15" t="s">
        <v>7</v>
      </c>
      <c r="C5" s="15" t="s">
        <v>9</v>
      </c>
      <c r="D5" s="18" t="s">
        <v>10</v>
      </c>
      <c r="E5" s="18" t="s">
        <v>11</v>
      </c>
      <c r="F5" s="18" t="s">
        <v>12</v>
      </c>
      <c r="G5" s="1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30.0" customHeight="1">
      <c r="A6" s="22" t="s">
        <v>14</v>
      </c>
      <c r="B6" s="26">
        <v>67760.0</v>
      </c>
      <c r="C6" s="26">
        <v>3024.0</v>
      </c>
      <c r="D6" s="31">
        <v>4701.0</v>
      </c>
      <c r="E6" s="32" t="s">
        <v>17</v>
      </c>
      <c r="F6" s="31">
        <v>47585.0</v>
      </c>
      <c r="G6" s="34" t="str">
        <f>HYPERLINK("http://www.nhc.gov.cn/yjb/s7860/202003/948a03ad76f54d3583a018785efd7be9.shtml","Source")</f>
        <v>Source</v>
      </c>
      <c r="H6" s="36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ht="30.0" customHeight="1">
      <c r="A7" s="38" t="s">
        <v>18</v>
      </c>
      <c r="B7" s="39">
        <v>1352.0</v>
      </c>
      <c r="C7" s="40">
        <v>8.0</v>
      </c>
      <c r="D7" s="41">
        <v>12.0</v>
      </c>
      <c r="E7" s="41">
        <v>18.0</v>
      </c>
      <c r="F7" s="48">
        <v>1233.0</v>
      </c>
      <c r="G7" s="42" t="str">
        <f>HYPERLINK("http://wsjkw.gd.gov.cn/zwyw_yqxx/content/post_2923554.html","Source")</f>
        <v>Source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ht="30.0" customHeight="1">
      <c r="A8" s="22" t="s">
        <v>30</v>
      </c>
      <c r="B8" s="26">
        <v>1272.0</v>
      </c>
      <c r="C8" s="43">
        <v>22.0</v>
      </c>
      <c r="D8" s="32">
        <v>0.0</v>
      </c>
      <c r="E8" s="32">
        <v>1.0</v>
      </c>
      <c r="F8" s="31">
        <v>1243.0</v>
      </c>
      <c r="G8" s="34" t="str">
        <f>HYPERLINK("https://m.weibo.cn/detail/4479756961900162","Source")</f>
        <v>Source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ht="30.0" customHeight="1">
      <c r="A9" s="22" t="s">
        <v>34</v>
      </c>
      <c r="B9" s="26">
        <v>1215.0</v>
      </c>
      <c r="C9" s="43">
        <v>1.0</v>
      </c>
      <c r="D9" s="32">
        <v>1.0</v>
      </c>
      <c r="E9" s="32">
        <v>1.0</v>
      </c>
      <c r="F9" s="31">
        <v>1161.0</v>
      </c>
      <c r="G9" s="37" t="str">
        <f>HYPERLINK("https://www.zjwjw.gov.cn/art/2020/3/7/art_1202101_42167121.html","Source")</f>
        <v>Source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ht="30.0" customHeight="1">
      <c r="A10" s="22" t="s">
        <v>37</v>
      </c>
      <c r="B10" s="26">
        <v>1018.0</v>
      </c>
      <c r="C10" s="43">
        <v>4.0</v>
      </c>
      <c r="D10" s="32">
        <v>6.0</v>
      </c>
      <c r="E10" s="32" t="s">
        <v>17</v>
      </c>
      <c r="F10" s="32">
        <v>959.0</v>
      </c>
      <c r="G10" s="34" t="str">
        <f>HYPERLINK("http://wjw.hunan.gov.cn/wjw/xxgk/gzdt/zyxw_1/202003/t20200307_11801876.html","Source")</f>
        <v>Source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ht="30.0" customHeight="1">
      <c r="A11" s="22" t="s">
        <v>40</v>
      </c>
      <c r="B11" s="26">
        <v>426.0</v>
      </c>
      <c r="C11" s="43">
        <v>8.0</v>
      </c>
      <c r="D11" s="32" t="s">
        <v>17</v>
      </c>
      <c r="E11" s="32" t="s">
        <v>17</v>
      </c>
      <c r="F11" s="32">
        <v>303.0</v>
      </c>
      <c r="G11" s="37" t="str">
        <f>HYPERLINK("http://wjw.beijing.gov.cn/xwzx_20031/wnxw/202003/t20200307_1682261.html","Source")</f>
        <v>Source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ht="30.0" customHeight="1">
      <c r="A12" s="22" t="s">
        <v>43</v>
      </c>
      <c r="B12" s="26">
        <v>342.0</v>
      </c>
      <c r="C12" s="43">
        <v>3.0</v>
      </c>
      <c r="D12" s="32">
        <v>1.0</v>
      </c>
      <c r="E12" s="32">
        <v>8.0</v>
      </c>
      <c r="F12" s="32">
        <v>306.0</v>
      </c>
      <c r="G12" s="34" t="str">
        <f>HYPERLINK("https://m.weibo.cn/detail/4479750128731513","Source")</f>
        <v>Source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ht="30.0" customHeight="1">
      <c r="A13" s="22" t="s">
        <v>46</v>
      </c>
      <c r="B13" s="26">
        <v>7360.0</v>
      </c>
      <c r="C13" s="43">
        <v>66.0</v>
      </c>
      <c r="D13" s="32" t="s">
        <v>47</v>
      </c>
      <c r="E13" s="32" t="s">
        <v>17</v>
      </c>
      <c r="F13" s="31">
        <v>6731.0</v>
      </c>
      <c r="G13" s="34" t="str">
        <f>HYPERLINK("http://www.nhc.gov.cn/yjb/s7860/202003/948a03ad76f54d3583a018785efd7be9.shtml","Source")</f>
        <v>Source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ht="30.0" customHeight="1">
      <c r="A14" s="22" t="s">
        <v>50</v>
      </c>
      <c r="B14" s="26">
        <v>9.0</v>
      </c>
      <c r="C14" s="43">
        <v>0.0</v>
      </c>
      <c r="D14" s="32" t="s">
        <v>17</v>
      </c>
      <c r="E14" s="32" t="s">
        <v>17</v>
      </c>
      <c r="F14" s="31">
        <v>376.0</v>
      </c>
      <c r="G14" s="5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ht="30.0" customHeight="1">
      <c r="A15" s="51" t="s">
        <v>56</v>
      </c>
      <c r="B15" s="52">
        <f t="shared" ref="B15:C15" si="2">SUM(B6:B14)</f>
        <v>80754</v>
      </c>
      <c r="C15" s="52">
        <f t="shared" si="2"/>
        <v>3136</v>
      </c>
      <c r="D15" s="52">
        <v>4794.0</v>
      </c>
      <c r="E15" s="52"/>
      <c r="F15" s="52">
        <f>SUM(F6:F14)</f>
        <v>59897</v>
      </c>
      <c r="G15" s="53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>
      <c r="A16" s="51"/>
      <c r="B16" s="54"/>
      <c r="C16" s="54"/>
      <c r="D16" s="55"/>
      <c r="E16" s="56"/>
      <c r="F16" s="54"/>
      <c r="G16" s="5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57"/>
      <c r="B17" s="58"/>
      <c r="C17" s="59"/>
      <c r="D17" s="59"/>
      <c r="E17" s="59"/>
      <c r="F17" s="5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60"/>
      <c r="B18" s="59"/>
      <c r="C18" s="59"/>
      <c r="D18" s="59"/>
      <c r="E18" s="59"/>
      <c r="F18" s="5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60"/>
      <c r="B19" s="59"/>
      <c r="C19" s="59"/>
      <c r="D19" s="59"/>
      <c r="E19" s="59"/>
      <c r="F19" s="5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9">
        <f t="shared" ref="A3:B3" si="1">SUM(B19, B20)</f>
        <v>67</v>
      </c>
      <c r="B3" s="9">
        <f t="shared" si="1"/>
        <v>0</v>
      </c>
      <c r="D3" s="11">
        <f>SUM(F19, F20)</f>
        <v>8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4" t="s">
        <v>85</v>
      </c>
      <c r="B5" s="15" t="s">
        <v>7</v>
      </c>
      <c r="C5" s="15" t="s">
        <v>9</v>
      </c>
      <c r="D5" s="18" t="s">
        <v>10</v>
      </c>
      <c r="E5" s="18" t="s">
        <v>11</v>
      </c>
      <c r="F5" s="18" t="s">
        <v>12</v>
      </c>
      <c r="G5" s="1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ht="30.0" customHeight="1">
      <c r="A6" s="38" t="s">
        <v>87</v>
      </c>
      <c r="B6" s="39">
        <v>32.0</v>
      </c>
      <c r="C6" s="40">
        <v>0.0</v>
      </c>
      <c r="D6" s="41"/>
      <c r="E6" s="41"/>
      <c r="F6" s="41">
        <v>4.0</v>
      </c>
      <c r="G6" s="42" t="str">
        <f>HYPERLINK("http://peelregion.ca/news/archiveitem.asp?year=2020&amp;month=2&amp;day=8&amp;file=202028.xml","Source")</f>
        <v>Source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ht="30.0" customHeight="1">
      <c r="A7" s="22" t="s">
        <v>89</v>
      </c>
      <c r="B7" s="26">
        <v>27.0</v>
      </c>
      <c r="C7" s="26">
        <v>0.0</v>
      </c>
      <c r="D7" s="31"/>
      <c r="E7" s="32">
        <v>1.0</v>
      </c>
      <c r="F7" s="32">
        <v>4.0</v>
      </c>
      <c r="G7" s="34" t="str">
        <f>HYPERLINK("https://globalnews.ca/news/6645114/coronavirus-bc-cases-update-march-7/","Source")</f>
        <v>Source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ht="30.0" customHeight="1">
      <c r="A8" s="22" t="s">
        <v>91</v>
      </c>
      <c r="B8" s="26">
        <v>4.0</v>
      </c>
      <c r="C8" s="43">
        <v>0.0</v>
      </c>
      <c r="D8" s="32"/>
      <c r="E8" s="32"/>
      <c r="F8" s="45"/>
      <c r="G8" s="34" t="str">
        <f>HYPERLINK("https://twitter.com/sante_qc/status/1236667244844908547","Source")</f>
        <v>Source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ht="30.0" customHeight="1">
      <c r="A9" s="22" t="s">
        <v>93</v>
      </c>
      <c r="B9" s="26">
        <v>4.0</v>
      </c>
      <c r="C9" s="43">
        <v>0.0</v>
      </c>
      <c r="D9" s="32"/>
      <c r="E9" s="32"/>
      <c r="F9" s="45"/>
      <c r="G9" s="34" t="str">
        <f>HYPERLINK("https://edmonton.ctvnews.ca/2-new-presumptive-cases-of-covid-19-in-alberta-1.4843878","Source")</f>
        <v>Source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ht="30.0" customHeight="1">
      <c r="A10" s="22" t="s">
        <v>95</v>
      </c>
      <c r="B10" s="26">
        <v>0.0</v>
      </c>
      <c r="C10" s="43">
        <v>0.0</v>
      </c>
      <c r="D10" s="32"/>
      <c r="E10" s="32"/>
      <c r="F10" s="45"/>
      <c r="G10" s="5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ht="30.0" customHeight="1">
      <c r="A11" s="22" t="s">
        <v>98</v>
      </c>
      <c r="B11" s="26">
        <v>0.0</v>
      </c>
      <c r="C11" s="43">
        <v>0.0</v>
      </c>
      <c r="D11" s="32"/>
      <c r="E11" s="32"/>
      <c r="F11" s="45"/>
      <c r="G11" s="5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ht="30.0" customHeight="1">
      <c r="A12" s="22" t="s">
        <v>100</v>
      </c>
      <c r="B12" s="26">
        <v>0.0</v>
      </c>
      <c r="C12" s="43">
        <v>0.0</v>
      </c>
      <c r="D12" s="32"/>
      <c r="E12" s="32"/>
      <c r="F12" s="45"/>
      <c r="G12" s="5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ht="30.0" customHeight="1">
      <c r="A13" s="22" t="s">
        <v>102</v>
      </c>
      <c r="B13" s="26">
        <v>0.0</v>
      </c>
      <c r="C13" s="43">
        <v>0.0</v>
      </c>
      <c r="D13" s="32"/>
      <c r="E13" s="32"/>
      <c r="F13" s="45"/>
      <c r="G13" s="5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ht="30.0" customHeight="1">
      <c r="A14" s="22" t="s">
        <v>104</v>
      </c>
      <c r="B14" s="26">
        <v>0.0</v>
      </c>
      <c r="C14" s="43">
        <v>0.0</v>
      </c>
      <c r="D14" s="32"/>
      <c r="E14" s="32"/>
      <c r="F14" s="45"/>
      <c r="G14" s="5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ht="30.0" customHeight="1">
      <c r="A15" s="22" t="s">
        <v>106</v>
      </c>
      <c r="B15" s="26">
        <v>0.0</v>
      </c>
      <c r="C15" s="43">
        <v>0.0</v>
      </c>
      <c r="D15" s="32"/>
      <c r="E15" s="32"/>
      <c r="F15" s="45"/>
      <c r="G15" s="5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ht="30.0" customHeight="1">
      <c r="A16" s="22" t="s">
        <v>108</v>
      </c>
      <c r="B16" s="26">
        <v>0.0</v>
      </c>
      <c r="C16" s="43">
        <v>0.0</v>
      </c>
      <c r="D16" s="32"/>
      <c r="E16" s="32"/>
      <c r="F16" s="45"/>
      <c r="G16" s="5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ht="30.0" customHeight="1">
      <c r="A17" s="22" t="s">
        <v>111</v>
      </c>
      <c r="B17" s="26">
        <v>0.0</v>
      </c>
      <c r="C17" s="43">
        <v>0.0</v>
      </c>
      <c r="D17" s="32"/>
      <c r="E17" s="32"/>
      <c r="F17" s="45"/>
      <c r="G17" s="5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ht="30.0" customHeight="1">
      <c r="A18" s="22" t="s">
        <v>113</v>
      </c>
      <c r="B18" s="26">
        <v>0.0</v>
      </c>
      <c r="C18" s="43">
        <v>0.0</v>
      </c>
      <c r="D18" s="32"/>
      <c r="E18" s="32"/>
      <c r="F18" s="45"/>
      <c r="G18" s="5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ht="30.0" customHeight="1">
      <c r="A19" s="51" t="s">
        <v>56</v>
      </c>
      <c r="B19" s="52">
        <f t="shared" ref="B19:F19" si="2">SUM(B6:B9)</f>
        <v>67</v>
      </c>
      <c r="C19" s="52">
        <f t="shared" si="2"/>
        <v>0</v>
      </c>
      <c r="D19" s="52">
        <f t="shared" si="2"/>
        <v>0</v>
      </c>
      <c r="E19" s="52">
        <f t="shared" si="2"/>
        <v>1</v>
      </c>
      <c r="F19" s="52">
        <f t="shared" si="2"/>
        <v>8</v>
      </c>
      <c r="G19" s="53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>
      <c r="A20" s="60"/>
      <c r="B20" s="59"/>
      <c r="C20" s="59"/>
      <c r="D20" s="59"/>
      <c r="E20" s="59"/>
      <c r="F20" s="5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57"/>
      <c r="B21" s="58"/>
      <c r="C21" s="59"/>
      <c r="D21" s="59"/>
      <c r="E21" s="59"/>
      <c r="F21" s="5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60"/>
      <c r="B22" s="59"/>
      <c r="C22" s="59"/>
      <c r="D22" s="59"/>
      <c r="E22" s="59"/>
      <c r="F22" s="5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60"/>
      <c r="B23" s="59"/>
      <c r="C23" s="59"/>
      <c r="D23" s="59"/>
      <c r="E23" s="59"/>
      <c r="F23" s="5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1.14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9">
        <f t="shared" ref="A3:B3" si="1">SUM(B16, B17)</f>
        <v>91</v>
      </c>
      <c r="B3" s="9">
        <f t="shared" si="1"/>
        <v>3</v>
      </c>
      <c r="D3" s="11">
        <f>SUM(F16, F17)</f>
        <v>2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4" t="s">
        <v>133</v>
      </c>
      <c r="B5" s="15" t="s">
        <v>7</v>
      </c>
      <c r="C5" s="15" t="s">
        <v>9</v>
      </c>
      <c r="D5" s="18" t="s">
        <v>10</v>
      </c>
      <c r="E5" s="18" t="s">
        <v>11</v>
      </c>
      <c r="F5" s="18" t="s">
        <v>12</v>
      </c>
      <c r="G5" s="1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30.0" customHeight="1">
      <c r="A6" s="22" t="s">
        <v>134</v>
      </c>
      <c r="B6" s="26">
        <v>47.0</v>
      </c>
      <c r="C6" s="26">
        <v>2.0</v>
      </c>
      <c r="D6" s="31"/>
      <c r="E6" s="45"/>
      <c r="F6" s="32"/>
      <c r="G6" s="34" t="str">
        <f>HYPERLINK("https://twitter.com/danutakozaki/status/1236865332813283328","Source")</f>
        <v>Source</v>
      </c>
      <c r="H6" s="2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ht="30.0" customHeight="1">
      <c r="A7" s="38" t="s">
        <v>136</v>
      </c>
      <c r="B7" s="39">
        <v>15.0</v>
      </c>
      <c r="C7" s="40"/>
      <c r="D7" s="41"/>
      <c r="E7" s="41"/>
      <c r="F7" s="66"/>
      <c r="G7" s="42" t="str">
        <f>HYPERLINK("https://www.health.qld.gov.au/news-events/doh-media-releases/releases/queensland-coronavirus-update17","Source")</f>
        <v>Source</v>
      </c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ht="30.0" customHeight="1">
      <c r="A8" s="22" t="s">
        <v>138</v>
      </c>
      <c r="B8" s="26">
        <v>15.0</v>
      </c>
      <c r="C8" s="43"/>
      <c r="D8" s="32"/>
      <c r="E8" s="32"/>
      <c r="F8" s="45"/>
      <c r="G8" s="34" t="str">
        <f>HYPERLINK("https://www2.health.vic.gov.au/about/media-centre/MediaReleases/Three%20new%20cases%20of%20COVID-19%20in%20Victoria","Source")</f>
        <v>Source</v>
      </c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ht="30.0" customHeight="1">
      <c r="A9" s="22" t="s">
        <v>139</v>
      </c>
      <c r="B9" s="26">
        <v>7.0</v>
      </c>
      <c r="C9" s="43">
        <v>0.0</v>
      </c>
      <c r="D9" s="32"/>
      <c r="E9" s="32"/>
      <c r="F9" s="32">
        <v>1.0</v>
      </c>
      <c r="G9" s="34" t="str">
        <f>HYPERLINK("https://www.abc.net.au/news/2020-03-05/baby-diagnosed-with-coronavirus-as-two-more-confirmed-in-sa/12029324","Source")</f>
        <v>Source</v>
      </c>
      <c r="H9" s="2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ht="30.0" customHeight="1">
      <c r="A10" s="22" t="s">
        <v>141</v>
      </c>
      <c r="B10" s="26">
        <v>4.0</v>
      </c>
      <c r="C10" s="43">
        <v>1.0</v>
      </c>
      <c r="D10" s="32"/>
      <c r="E10" s="32"/>
      <c r="F10" s="32">
        <v>1.0</v>
      </c>
      <c r="G10" s="34" t="str">
        <f>HYPERLINK("https://ww2.health.wa.gov.au/Media-releases/2020/WA-records-fourth-COVID-19-case","Source")</f>
        <v>Source</v>
      </c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ht="30.0" customHeight="1">
      <c r="A11" s="22" t="s">
        <v>143</v>
      </c>
      <c r="B11" s="26">
        <v>1.0</v>
      </c>
      <c r="C11" s="43">
        <v>0.0</v>
      </c>
      <c r="D11" s="32"/>
      <c r="E11" s="32"/>
      <c r="F11" s="32"/>
      <c r="G11" s="34" t="str">
        <f>HYPERLINK("http://mediareleases.nt.gov.au/mediaRelease/32050","Source")</f>
        <v>Source</v>
      </c>
      <c r="H11" s="20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ht="30.0" customHeight="1">
      <c r="A12" s="22" t="s">
        <v>144</v>
      </c>
      <c r="B12" s="26">
        <v>2.0</v>
      </c>
      <c r="C12" s="43">
        <v>0.0</v>
      </c>
      <c r="D12" s="32">
        <v>0.0</v>
      </c>
      <c r="E12" s="32">
        <v>0.0</v>
      </c>
      <c r="F12" s="32">
        <v>0.0</v>
      </c>
      <c r="G12" s="34" t="str">
        <f>HYPERLINK("https://www.abc.net.au/news/2020-03-07/tas-tasmanian-coronavirus-management-plan-revealed/12036226","Source")</f>
        <v>Source</v>
      </c>
      <c r="H12" s="20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ht="30.0" customHeight="1">
      <c r="A13" s="22" t="s">
        <v>146</v>
      </c>
      <c r="B13" s="26">
        <v>0.0</v>
      </c>
      <c r="C13" s="43">
        <v>0.0</v>
      </c>
      <c r="D13" s="32">
        <v>0.0</v>
      </c>
      <c r="E13" s="32">
        <v>0.0</v>
      </c>
      <c r="F13" s="32">
        <v>0.0</v>
      </c>
      <c r="G13" s="5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ht="30.0" customHeight="1">
      <c r="A14" s="22" t="s">
        <v>147</v>
      </c>
      <c r="B14" s="26">
        <v>0.0</v>
      </c>
      <c r="C14" s="43">
        <v>0.0</v>
      </c>
      <c r="D14" s="32">
        <v>0.0</v>
      </c>
      <c r="E14" s="32">
        <v>0.0</v>
      </c>
      <c r="F14" s="32">
        <v>0.0</v>
      </c>
      <c r="G14" s="5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ht="30.0" customHeight="1">
      <c r="A15" s="22" t="s">
        <v>149</v>
      </c>
      <c r="B15" s="26">
        <v>0.0</v>
      </c>
      <c r="C15" s="43">
        <v>0.0</v>
      </c>
      <c r="D15" s="32">
        <v>0.0</v>
      </c>
      <c r="E15" s="32">
        <v>0.0</v>
      </c>
      <c r="F15" s="32">
        <v>0.0</v>
      </c>
      <c r="G15" s="50" t="s">
        <v>17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ht="30.0" customHeight="1">
      <c r="A16" s="51" t="s">
        <v>56</v>
      </c>
      <c r="B16" s="52">
        <f t="shared" ref="B16:F16" si="2">SUM(B6:B15)</f>
        <v>91</v>
      </c>
      <c r="C16" s="52">
        <f t="shared" si="2"/>
        <v>3</v>
      </c>
      <c r="D16" s="52">
        <f t="shared" si="2"/>
        <v>0</v>
      </c>
      <c r="E16" s="52">
        <f t="shared" si="2"/>
        <v>0</v>
      </c>
      <c r="F16" s="52">
        <f t="shared" si="2"/>
        <v>2</v>
      </c>
      <c r="G16" s="53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>
      <c r="A17" s="51"/>
      <c r="B17" s="54"/>
      <c r="C17" s="54"/>
      <c r="D17" s="55"/>
      <c r="E17" s="56"/>
      <c r="F17" s="54"/>
      <c r="G17" s="5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57"/>
      <c r="B18" s="58"/>
      <c r="C18" s="59"/>
      <c r="D18" s="59"/>
      <c r="E18" s="59"/>
      <c r="F18" s="5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60"/>
      <c r="B19" s="59"/>
      <c r="C19" s="59"/>
      <c r="D19" s="59"/>
      <c r="E19" s="59"/>
      <c r="F19" s="5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60"/>
      <c r="B20" s="59"/>
      <c r="C20" s="59"/>
      <c r="D20" s="59"/>
      <c r="E20" s="59"/>
      <c r="F20" s="5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8.71"/>
    <col customWidth="1" min="6" max="6" width="13.0"/>
    <col customWidth="1" min="7" max="7" width="11.29"/>
  </cols>
  <sheetData>
    <row r="1" ht="27.75" customHeight="1">
      <c r="A1" s="2"/>
      <c r="H1" s="4"/>
      <c r="I1" s="4"/>
      <c r="J1" s="4"/>
    </row>
    <row r="2">
      <c r="A2" s="3" t="s">
        <v>152</v>
      </c>
      <c r="B2" s="3" t="s">
        <v>153</v>
      </c>
      <c r="D2" s="5" t="s">
        <v>154</v>
      </c>
      <c r="F2" s="6"/>
      <c r="G2" s="7"/>
      <c r="H2" s="4"/>
      <c r="I2" s="4"/>
      <c r="J2" s="4"/>
    </row>
    <row r="3">
      <c r="A3" s="9">
        <f t="shared" ref="A3:B3" si="1">SUM(B18, B19)</f>
        <v>1336</v>
      </c>
      <c r="B3" s="9">
        <f t="shared" si="1"/>
        <v>31</v>
      </c>
      <c r="D3" s="11">
        <f>SUM(F18, F19)</f>
        <v>4</v>
      </c>
      <c r="F3" s="6"/>
      <c r="G3" s="7"/>
      <c r="H3" s="4"/>
      <c r="I3" s="4"/>
      <c r="J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</row>
    <row r="5" ht="30.0" customHeight="1">
      <c r="A5" s="14" t="s">
        <v>157</v>
      </c>
      <c r="B5" s="15" t="s">
        <v>158</v>
      </c>
      <c r="C5" s="15" t="s">
        <v>159</v>
      </c>
      <c r="D5" s="18" t="s">
        <v>160</v>
      </c>
      <c r="E5" s="18" t="s">
        <v>161</v>
      </c>
      <c r="F5" s="18" t="s">
        <v>162</v>
      </c>
      <c r="G5" s="15" t="s">
        <v>163</v>
      </c>
      <c r="H5" s="21"/>
      <c r="I5" s="21"/>
      <c r="J5" s="21"/>
    </row>
    <row r="6" ht="30.0" customHeight="1">
      <c r="A6" s="38" t="s">
        <v>164</v>
      </c>
      <c r="B6" s="39">
        <v>1231.0</v>
      </c>
      <c r="C6" s="40">
        <v>30.0</v>
      </c>
      <c r="D6" s="41"/>
      <c r="E6" s="41"/>
      <c r="F6" s="66"/>
      <c r="G6" s="42" t="str">
        <f>HYPERLINK("https://www.rtve.es/noticias/20200309/mapa-del-coronavirus-espana/2004681.shtml","Fuente")</f>
        <v>Fuente</v>
      </c>
      <c r="H6" s="21"/>
      <c r="I6" s="21"/>
      <c r="J6" s="21"/>
    </row>
    <row r="7" ht="30.0" customHeight="1">
      <c r="A7" s="22" t="s">
        <v>166</v>
      </c>
      <c r="B7" s="26">
        <v>25.0</v>
      </c>
      <c r="C7" s="43">
        <v>0.0</v>
      </c>
      <c r="D7" s="32"/>
      <c r="E7" s="32"/>
      <c r="F7" s="45"/>
      <c r="G7" s="34" t="str">
        <f>HYPERLINK("https://g1.globo.com/bemestar/coronavirus/ao-vivo/coronavirus-covid-19.ghtml","Fuente")</f>
        <v>Fuente</v>
      </c>
      <c r="H7" s="21"/>
      <c r="I7" s="21"/>
      <c r="J7" s="21"/>
    </row>
    <row r="8" ht="30.0" customHeight="1">
      <c r="A8" s="22" t="s">
        <v>167</v>
      </c>
      <c r="B8" s="26">
        <v>17.0</v>
      </c>
      <c r="C8" s="43">
        <v>1.0</v>
      </c>
      <c r="D8" s="32"/>
      <c r="E8" s="32"/>
      <c r="F8" s="45"/>
      <c r="G8" s="34" t="str">
        <f>HYPERLINK("https://www.clarin.com/sociedad/gines-gonzalez-garcia-coronavirus-argentina-crei-iba-llegar-tarde-_0_an9LMpUt.html","Fuente")</f>
        <v>Fuente</v>
      </c>
      <c r="H8" s="21"/>
      <c r="I8" s="21"/>
      <c r="J8" s="21"/>
    </row>
    <row r="9" ht="30.0" customHeight="1">
      <c r="A9" s="22" t="s">
        <v>169</v>
      </c>
      <c r="B9" s="26">
        <v>15.0</v>
      </c>
      <c r="C9" s="26">
        <v>0.0</v>
      </c>
      <c r="D9" s="31"/>
      <c r="E9" s="45"/>
      <c r="F9" s="32"/>
      <c r="G9" s="34" t="str">
        <f>HYPERLINK("https://www.eluniverso.com/noticias/2020/03/09/nota/7774683/paciente-extranjero-coronavirus-no-esta-internado-quito","Fuente")</f>
        <v>Fuente</v>
      </c>
      <c r="H9" s="21"/>
      <c r="I9" s="21"/>
      <c r="J9" s="21"/>
    </row>
    <row r="10" ht="30.0" customHeight="1">
      <c r="A10" s="22" t="s">
        <v>170</v>
      </c>
      <c r="B10" s="26">
        <v>13.0</v>
      </c>
      <c r="C10" s="43">
        <v>0.0</v>
      </c>
      <c r="D10" s="32"/>
      <c r="E10" s="32"/>
      <c r="F10" s="45"/>
      <c r="G10" s="34" t="str">
        <f>HYPERLINK("https://www.soychile.cl/Santiago/Sociedad/2020/03/09/642116/Minsal-confirmo-dos-nuevos-casos-y-asegura-que-estamos-ad-portas-de-tener-primeros-pacientes-sin-trazar.aspx","Fuente")</f>
        <v>Fuente</v>
      </c>
      <c r="H10" s="21"/>
      <c r="I10" s="21"/>
      <c r="J10" s="21"/>
    </row>
    <row r="11" ht="30.0" customHeight="1">
      <c r="A11" s="22" t="s">
        <v>173</v>
      </c>
      <c r="B11" s="26">
        <v>9.0</v>
      </c>
      <c r="C11" s="43">
        <v>0.0</v>
      </c>
      <c r="D11" s="32"/>
      <c r="E11" s="32"/>
      <c r="F11" s="45"/>
      <c r="G11" s="34" t="str">
        <f>HYPERLINK("https://rpp.pe/peru/actualidad/minuto-a-minuto-coronavirus-en-peru-nueve-casos-confirmados-mas-de-300-descartados-y-medidas-anunciadas-para-evitar-mas-contagios-live-149","Fuente")</f>
        <v>Fuente</v>
      </c>
      <c r="H11" s="21"/>
      <c r="I11" s="21"/>
      <c r="J11" s="21"/>
    </row>
    <row r="12" ht="30.0" customHeight="1">
      <c r="A12" s="22" t="s">
        <v>175</v>
      </c>
      <c r="B12" s="26">
        <v>9.0</v>
      </c>
      <c r="C12" s="43">
        <v>0.0</v>
      </c>
      <c r="D12" s="32"/>
      <c r="E12" s="32"/>
      <c r="F12" s="45"/>
      <c r="G12" s="34" t="str">
        <f>HYPERLINK("https://www.elmundo.cr/costa-rica/se-confirman-9-casos-de-coronavirus-en-costa-rica/","Fuente")</f>
        <v>Fuente</v>
      </c>
      <c r="H12" s="21"/>
      <c r="I12" s="21"/>
      <c r="J12" s="21"/>
    </row>
    <row r="13" ht="30.0" customHeight="1">
      <c r="A13" s="22" t="s">
        <v>177</v>
      </c>
      <c r="B13" s="26">
        <v>7.0</v>
      </c>
      <c r="C13" s="43">
        <v>0.0</v>
      </c>
      <c r="D13" s="32">
        <v>1.0</v>
      </c>
      <c r="E13" s="32"/>
      <c r="F13" s="32">
        <v>4.0</v>
      </c>
      <c r="G13" s="34" t="str">
        <f>HYPERLINK("https://twitter.com/SSalud_mx/status/1236823420089913344","Fuente")</f>
        <v>Fuente</v>
      </c>
      <c r="H13" s="21"/>
      <c r="I13" s="21"/>
      <c r="J13" s="21"/>
    </row>
    <row r="14" ht="30.0" customHeight="1">
      <c r="A14" s="22" t="s">
        <v>181</v>
      </c>
      <c r="B14" s="26">
        <v>5.0</v>
      </c>
      <c r="C14" s="43">
        <v>0.0</v>
      </c>
      <c r="D14" s="32"/>
      <c r="E14" s="32"/>
      <c r="F14" s="45"/>
      <c r="G14" s="34" t="str">
        <f>HYPERLINK("https://listindiario.com/la-republica/2020/03/09/607425/ya-suman-cinco-los-casos-de-coronavirus-en-el-pais","Fuente")</f>
        <v>Fuente</v>
      </c>
      <c r="H14" s="21"/>
      <c r="I14" s="21"/>
      <c r="J14" s="21"/>
    </row>
    <row r="15" ht="30.0" customHeight="1">
      <c r="A15" s="22" t="s">
        <v>183</v>
      </c>
      <c r="B15" s="26">
        <v>3.0</v>
      </c>
      <c r="C15" s="43">
        <v>0.0</v>
      </c>
      <c r="D15" s="32"/>
      <c r="E15" s="32"/>
      <c r="F15" s="45"/>
      <c r="G15" s="34" t="str">
        <f>HYPERLINK("https://www.eltiempo.com/colombia/cali/estado-de-salud-de-colombiano-con-coronavirus-hospitalizado-en-buga-470598","Fuente")</f>
        <v>Fuente</v>
      </c>
      <c r="H15" s="21"/>
      <c r="I15" s="21"/>
      <c r="J15" s="21"/>
    </row>
    <row r="16" ht="30.0" customHeight="1">
      <c r="A16" s="22" t="s">
        <v>184</v>
      </c>
      <c r="B16" s="26">
        <v>1.0</v>
      </c>
      <c r="C16" s="43">
        <v>0.0</v>
      </c>
      <c r="D16" s="32"/>
      <c r="E16" s="32"/>
      <c r="F16" s="45"/>
      <c r="G16" s="34" t="str">
        <f>HYPERLINK("https://www.ultimahora.com/salud-reporta-25-casos-sospechosos-coronavirus-n2873976.html","Fuente")</f>
        <v>Fuente</v>
      </c>
      <c r="H16" s="21"/>
      <c r="I16" s="21"/>
      <c r="J16" s="21"/>
    </row>
    <row r="17" ht="30.0" customHeight="1">
      <c r="A17" s="22" t="s">
        <v>185</v>
      </c>
      <c r="B17" s="26">
        <v>1.0</v>
      </c>
      <c r="C17" s="43">
        <v>0.0</v>
      </c>
      <c r="D17" s="32"/>
      <c r="E17" s="32"/>
      <c r="F17" s="45"/>
      <c r="G17" s="34" t="str">
        <f>HYPERLINK("https://twitter.com/NitoCortizo/status/1237188894833225733","Fuente")</f>
        <v>Fuente</v>
      </c>
      <c r="H17" s="21"/>
      <c r="I17" s="21"/>
      <c r="J17" s="21"/>
    </row>
    <row r="18" ht="30.0" customHeight="1">
      <c r="A18" s="51" t="s">
        <v>56</v>
      </c>
      <c r="B18" s="52">
        <f t="shared" ref="B18:C18" si="2">SUM(B6:B17)</f>
        <v>1336</v>
      </c>
      <c r="C18" s="52">
        <f t="shared" si="2"/>
        <v>31</v>
      </c>
      <c r="D18" s="52">
        <f t="shared" ref="D18:F18" si="3">SUM(D6:D14)</f>
        <v>1</v>
      </c>
      <c r="E18" s="52">
        <f t="shared" si="3"/>
        <v>0</v>
      </c>
      <c r="F18" s="52">
        <f t="shared" si="3"/>
        <v>4</v>
      </c>
      <c r="G18" s="53"/>
      <c r="H18" s="21"/>
      <c r="I18" s="21"/>
      <c r="J18" s="21"/>
    </row>
    <row r="19">
      <c r="A19" s="60"/>
      <c r="B19" s="59"/>
      <c r="C19" s="59"/>
      <c r="D19" s="59"/>
      <c r="E19" s="59"/>
      <c r="F19" s="59"/>
      <c r="G19" s="4"/>
      <c r="H19" s="4"/>
      <c r="I19" s="4"/>
      <c r="J19" s="4"/>
    </row>
    <row r="20">
      <c r="A20" s="57"/>
      <c r="B20" s="58"/>
      <c r="C20" s="59"/>
      <c r="D20" s="59"/>
      <c r="E20" s="59"/>
      <c r="F20" s="59"/>
      <c r="G20" s="4"/>
      <c r="H20" s="4"/>
      <c r="I20" s="4"/>
      <c r="J20" s="4"/>
    </row>
    <row r="21">
      <c r="A21" s="60"/>
      <c r="B21" s="59"/>
      <c r="C21" s="59"/>
      <c r="D21" s="59"/>
      <c r="E21" s="59"/>
      <c r="F21" s="59"/>
      <c r="G21" s="4"/>
      <c r="H21" s="4"/>
      <c r="I21" s="4"/>
      <c r="J21" s="4"/>
    </row>
    <row r="22">
      <c r="A22" s="60"/>
      <c r="B22" s="59"/>
      <c r="C22" s="59"/>
      <c r="D22" s="59"/>
      <c r="E22" s="59"/>
      <c r="F22" s="59"/>
      <c r="G22" s="4"/>
      <c r="H22" s="4"/>
      <c r="I22" s="4"/>
      <c r="J22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9" t="str">
        <f>sum(B15!)</f>
        <v>#ERROR!</v>
      </c>
      <c r="B3" s="9" t="str">
        <f>sum(C13, #REF!)</f>
        <v>#REF!</v>
      </c>
      <c r="D3" s="11" t="str">
        <f>sum(F13, #REF!)</f>
        <v>#REF!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2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4" t="s">
        <v>85</v>
      </c>
      <c r="B5" s="15" t="s">
        <v>7</v>
      </c>
      <c r="C5" s="15" t="s">
        <v>9</v>
      </c>
      <c r="D5" s="18" t="s">
        <v>10</v>
      </c>
      <c r="E5" s="18" t="s">
        <v>11</v>
      </c>
      <c r="F5" s="18" t="s">
        <v>12</v>
      </c>
      <c r="G5" s="1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ht="30.0" customHeight="1">
      <c r="A6" s="38" t="s">
        <v>172</v>
      </c>
      <c r="B6" s="39">
        <v>105.0</v>
      </c>
      <c r="C6" s="40"/>
      <c r="D6" s="41"/>
      <c r="E6" s="41"/>
      <c r="F6" s="66"/>
      <c r="G6" s="67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ht="30.0" customHeight="1">
      <c r="A7" s="22" t="s">
        <v>176</v>
      </c>
      <c r="B7" s="26">
        <v>3.0</v>
      </c>
      <c r="C7" s="26"/>
      <c r="D7" s="31"/>
      <c r="E7" s="45"/>
      <c r="F7" s="32"/>
      <c r="G7" s="34" t="str">
        <f>HYPERLINK("https://twitter.com/skydavidblevins/status/1235243209447571456","Source")</f>
        <v>Source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ht="30.0" customHeight="1">
      <c r="A8" s="22" t="s">
        <v>178</v>
      </c>
      <c r="B8" s="26">
        <v>2.0</v>
      </c>
      <c r="C8" s="43"/>
      <c r="D8" s="32"/>
      <c r="E8" s="32"/>
      <c r="F8" s="45"/>
      <c r="G8" s="5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ht="30.0" customHeight="1">
      <c r="A9" s="22" t="s">
        <v>180</v>
      </c>
      <c r="B9" s="26">
        <v>6.0</v>
      </c>
      <c r="C9" s="43"/>
      <c r="D9" s="32"/>
      <c r="E9" s="32"/>
      <c r="F9" s="45"/>
      <c r="G9" s="5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ht="30.0" customHeight="1">
      <c r="A10" s="22"/>
      <c r="B10" s="26"/>
      <c r="C10" s="43"/>
      <c r="D10" s="32"/>
      <c r="E10" s="32"/>
      <c r="F10" s="32"/>
      <c r="G10" s="5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ht="30.0" customHeight="1">
      <c r="A11" s="22"/>
      <c r="B11" s="26"/>
      <c r="C11" s="43"/>
      <c r="D11" s="32"/>
      <c r="E11" s="32"/>
      <c r="F11" s="32"/>
      <c r="G11" s="5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ht="30.0" customHeight="1">
      <c r="A12" s="22"/>
      <c r="B12" s="26"/>
      <c r="C12" s="43"/>
      <c r="D12" s="32"/>
      <c r="E12" s="32"/>
      <c r="F12" s="32"/>
      <c r="G12" s="5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ht="30.0" customHeight="1">
      <c r="A13" s="51" t="s">
        <v>56</v>
      </c>
      <c r="B13" s="52">
        <f t="shared" ref="B13:C13" si="1">SUM(B6:B12)</f>
        <v>116</v>
      </c>
      <c r="C13" s="52">
        <f t="shared" si="1"/>
        <v>0</v>
      </c>
      <c r="D13" s="68"/>
      <c r="E13" s="56"/>
      <c r="F13" s="52">
        <f>SUM(F6:F12)</f>
        <v>0</v>
      </c>
      <c r="G13" s="53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>
      <c r="A14" s="51"/>
      <c r="B14" s="54"/>
      <c r="C14" s="54"/>
      <c r="D14" s="55"/>
      <c r="E14" s="56"/>
      <c r="F14" s="54"/>
      <c r="G14" s="5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57"/>
      <c r="B15" s="58"/>
      <c r="C15" s="59"/>
      <c r="D15" s="59"/>
      <c r="E15" s="59"/>
      <c r="F15" s="5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60"/>
      <c r="B16" s="59"/>
      <c r="C16" s="59"/>
      <c r="D16" s="59"/>
      <c r="E16" s="59"/>
      <c r="F16" s="5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60"/>
      <c r="B17" s="59"/>
      <c r="C17" s="59"/>
      <c r="D17" s="59"/>
      <c r="E17" s="59"/>
      <c r="F17" s="5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