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<sst xmlns="http://schemas.openxmlformats.org/spreadsheetml/2006/main" count="709" uniqueCount="325">
  <si>
    <t>Updated throughout the day</t>
  </si>
  <si>
    <t>Currently being updated</t>
  </si>
  <si>
    <t>CASES</t>
  </si>
  <si>
    <t>DEATHS</t>
  </si>
  <si>
    <t>RECOVERED</t>
  </si>
  <si>
    <t>UNRESOLVED</t>
  </si>
  <si>
    <t>UNITED STATES</t>
  </si>
  <si>
    <t>AUSTRALIA</t>
  </si>
  <si>
    <t>WORLD</t>
  </si>
  <si>
    <t>Cases</t>
  </si>
  <si>
    <t>New cases</t>
  </si>
  <si>
    <t>Deaths</t>
  </si>
  <si>
    <t>New deaths</t>
  </si>
  <si>
    <t>Death rate</t>
  </si>
  <si>
    <t>Serious &amp; Critical</t>
  </si>
  <si>
    <t>Recovered</t>
  </si>
  <si>
    <t>Links</t>
  </si>
  <si>
    <t>New York</t>
  </si>
  <si>
    <t>New South Wales</t>
  </si>
  <si>
    <t>United States</t>
  </si>
  <si>
    <t>New Jersey</t>
  </si>
  <si>
    <t>N/A</t>
  </si>
  <si>
    <t>California</t>
  </si>
  <si>
    <t>Victoria</t>
  </si>
  <si>
    <t>Italy</t>
  </si>
  <si>
    <t>Michigan</t>
  </si>
  <si>
    <t>Queensland</t>
  </si>
  <si>
    <t>China</t>
  </si>
  <si>
    <t>Washington</t>
  </si>
  <si>
    <t>Massachusetts</t>
  </si>
  <si>
    <t>South Australia</t>
  </si>
  <si>
    <t>Spain</t>
  </si>
  <si>
    <t>Florida</t>
  </si>
  <si>
    <t>Western Australia</t>
  </si>
  <si>
    <t>Illinois</t>
  </si>
  <si>
    <t>Germany</t>
  </si>
  <si>
    <t>Canberra (ACT)</t>
  </si>
  <si>
    <t>Louisiana</t>
  </si>
  <si>
    <t>Tasmania</t>
  </si>
  <si>
    <t>France</t>
  </si>
  <si>
    <t>Pennsylvania</t>
  </si>
  <si>
    <t>Northern Territory</t>
  </si>
  <si>
    <t>Texas</t>
  </si>
  <si>
    <t>Iran</t>
  </si>
  <si>
    <t>Georgia</t>
  </si>
  <si>
    <t>External territories</t>
  </si>
  <si>
    <t>-</t>
  </si>
  <si>
    <t>United Kingdom</t>
  </si>
  <si>
    <t>Colorado</t>
  </si>
  <si>
    <t>Jervis Bay</t>
  </si>
  <si>
    <t>Connecticut</t>
  </si>
  <si>
    <t>Switzerland</t>
  </si>
  <si>
    <t>Ohio</t>
  </si>
  <si>
    <t>Tennessee</t>
  </si>
  <si>
    <t>Netherlands</t>
  </si>
  <si>
    <t>TOTAL</t>
  </si>
  <si>
    <t>Indiana</t>
  </si>
  <si>
    <t>Maryland</t>
  </si>
  <si>
    <t>South Korea</t>
  </si>
  <si>
    <t>North Carolina</t>
  </si>
  <si>
    <t>Belgium</t>
  </si>
  <si>
    <t>Wisconsin</t>
  </si>
  <si>
    <t>Austria</t>
  </si>
  <si>
    <t>Missouri</t>
  </si>
  <si>
    <t>Turkey</t>
  </si>
  <si>
    <t>Virginia</t>
  </si>
  <si>
    <t>Alabama</t>
  </si>
  <si>
    <t>Canada</t>
  </si>
  <si>
    <t>Arizona</t>
  </si>
  <si>
    <t>Mississippi</t>
  </si>
  <si>
    <t>Portugal</t>
  </si>
  <si>
    <t>South Carolina</t>
  </si>
  <si>
    <t>Norway</t>
  </si>
  <si>
    <t>Nevada</t>
  </si>
  <si>
    <t>Brazil</t>
  </si>
  <si>
    <t>Utah</t>
  </si>
  <si>
    <t>CANADA</t>
  </si>
  <si>
    <t>Australia</t>
  </si>
  <si>
    <t>Oregon</t>
  </si>
  <si>
    <t>Quebec</t>
  </si>
  <si>
    <t>Minnesota</t>
  </si>
  <si>
    <t>Arkansas</t>
  </si>
  <si>
    <t>Israel</t>
  </si>
  <si>
    <t>Kentucky</t>
  </si>
  <si>
    <t>Sweden</t>
  </si>
  <si>
    <t>Oklahoma</t>
  </si>
  <si>
    <t>Ontario</t>
  </si>
  <si>
    <t>Czech Republic</t>
  </si>
  <si>
    <t>District of Columbia</t>
  </si>
  <si>
    <t>Ireland</t>
  </si>
  <si>
    <t>British Columbia</t>
  </si>
  <si>
    <t>Iowa</t>
  </si>
  <si>
    <t>Kansas</t>
  </si>
  <si>
    <t>Alberta</t>
  </si>
  <si>
    <t>Denmark</t>
  </si>
  <si>
    <t>Idaho</t>
  </si>
  <si>
    <t>Saskatchewan</t>
  </si>
  <si>
    <t>Malaysia</t>
  </si>
  <si>
    <t>Delaware</t>
  </si>
  <si>
    <t>Newfoundland &amp; Labrador</t>
  </si>
  <si>
    <t>Chile</t>
  </si>
  <si>
    <t>New Hampshire</t>
  </si>
  <si>
    <t>Maine</t>
  </si>
  <si>
    <t>Luxembourg</t>
  </si>
  <si>
    <t>Nova Scotia</t>
  </si>
  <si>
    <t>Vermont</t>
  </si>
  <si>
    <t>Ecuador</t>
  </si>
  <si>
    <t>Manitoba</t>
  </si>
  <si>
    <t>New Mexico</t>
  </si>
  <si>
    <t>Rhode Island</t>
  </si>
  <si>
    <t>Japan</t>
  </si>
  <si>
    <t>New Brunswick</t>
  </si>
  <si>
    <t>Hawaii</t>
  </si>
  <si>
    <t>Poland</t>
  </si>
  <si>
    <t>Repatriated travellers</t>
  </si>
  <si>
    <t>Montana</t>
  </si>
  <si>
    <t>Prince Edward Island</t>
  </si>
  <si>
    <t>Pakistan</t>
  </si>
  <si>
    <t>West Virginia</t>
  </si>
  <si>
    <t>Yukon</t>
  </si>
  <si>
    <t>Romania</t>
  </si>
  <si>
    <t>Nebraska</t>
  </si>
  <si>
    <t>Russia</t>
  </si>
  <si>
    <t>Northwest Territories</t>
  </si>
  <si>
    <t>Alaska</t>
  </si>
  <si>
    <t>Thailand</t>
  </si>
  <si>
    <t>Nunavut</t>
  </si>
  <si>
    <t>Puerto Rico</t>
  </si>
  <si>
    <t>Saudi Arabia</t>
  </si>
  <si>
    <t>North Dakota</t>
  </si>
  <si>
    <t>Wyoming</t>
  </si>
  <si>
    <t>South Africa</t>
  </si>
  <si>
    <t>South Dakota</t>
  </si>
  <si>
    <t>Finland</t>
  </si>
  <si>
    <t>Guam</t>
  </si>
  <si>
    <t>Diamond Princess (repatriated)</t>
  </si>
  <si>
    <t>Indonesia</t>
  </si>
  <si>
    <t>U.S. Virgin Islands</t>
  </si>
  <si>
    <t>ACTIVE CASES</t>
  </si>
  <si>
    <t>Grand Princess</t>
  </si>
  <si>
    <t>Philippines</t>
  </si>
  <si>
    <t>Wuhan (repatriated)</t>
  </si>
  <si>
    <t>MAINLAND CHINA</t>
  </si>
  <si>
    <t>Greece</t>
  </si>
  <si>
    <t>Serious</t>
  </si>
  <si>
    <t>Critical</t>
  </si>
  <si>
    <t>Hubei province (includes Wuhan)</t>
  </si>
  <si>
    <t>Northern Mariana Islands</t>
  </si>
  <si>
    <t>Iceland</t>
  </si>
  <si>
    <t>American Samoa</t>
  </si>
  <si>
    <t>Guangdong province</t>
  </si>
  <si>
    <t>India</t>
  </si>
  <si>
    <t>TBD</t>
  </si>
  <si>
    <t>Panama</t>
  </si>
  <si>
    <t>Mexico</t>
  </si>
  <si>
    <t>U.S. TOTAL</t>
  </si>
  <si>
    <t>Singapore</t>
  </si>
  <si>
    <t>Henan province</t>
  </si>
  <si>
    <t>Argentina</t>
  </si>
  <si>
    <t>Zhejiang province</t>
  </si>
  <si>
    <t>Dominican Republic</t>
  </si>
  <si>
    <t>Hunan province</t>
  </si>
  <si>
    <t>Diamond Princess</t>
  </si>
  <si>
    <t>Beijing</t>
  </si>
  <si>
    <t>Slovenia</t>
  </si>
  <si>
    <t>Shanghai</t>
  </si>
  <si>
    <t>% of deaths</t>
  </si>
  <si>
    <t>Peru</t>
  </si>
  <si>
    <t>Other regions/TBD</t>
  </si>
  <si>
    <t>&lt;21</t>
  </si>
  <si>
    <t>Serbia</t>
  </si>
  <si>
    <t>Estonia</t>
  </si>
  <si>
    <t>A Marzo 21</t>
  </si>
  <si>
    <t>CASOS</t>
  </si>
  <si>
    <t>MUERTES</t>
  </si>
  <si>
    <t>RECUPERADOS</t>
  </si>
  <si>
    <t>Croatia</t>
  </si>
  <si>
    <t>Mundo Hispano</t>
  </si>
  <si>
    <t>Casos</t>
  </si>
  <si>
    <t>Muertes</t>
  </si>
  <si>
    <t>Serios</t>
  </si>
  <si>
    <t>Recuperados</t>
  </si>
  <si>
    <t>Brasil</t>
  </si>
  <si>
    <t>Colombia</t>
  </si>
  <si>
    <t>México</t>
  </si>
  <si>
    <t>Panamá</t>
  </si>
  <si>
    <t>Costa Rica</t>
  </si>
  <si>
    <t>Uruguay</t>
  </si>
  <si>
    <t>Rep. Dominicana</t>
  </si>
  <si>
    <t>Qatar</t>
  </si>
  <si>
    <t>Honduras</t>
  </si>
  <si>
    <t>Cuba</t>
  </si>
  <si>
    <t>Bolivia</t>
  </si>
  <si>
    <t>Paraguay</t>
  </si>
  <si>
    <t>Guatemala</t>
  </si>
  <si>
    <t>El Salvador</t>
  </si>
  <si>
    <t>Nicaragua</t>
  </si>
  <si>
    <t>Hong Kong</t>
  </si>
  <si>
    <t>Egypt</t>
  </si>
  <si>
    <t>New Zealand</t>
  </si>
  <si>
    <t>Iraq</t>
  </si>
  <si>
    <t>Bahrain</t>
  </si>
  <si>
    <t>United Arab Emirates</t>
  </si>
  <si>
    <t>Algeria</t>
  </si>
  <si>
    <t>Lebanon</t>
  </si>
  <si>
    <t>Morocco</t>
  </si>
  <si>
    <t>Lithuania</t>
  </si>
  <si>
    <t>Ukraine</t>
  </si>
  <si>
    <t>Hungary</t>
  </si>
  <si>
    <t>Armenia</t>
  </si>
  <si>
    <t>Bulgaria</t>
  </si>
  <si>
    <t>Andorra</t>
  </si>
  <si>
    <t>Taiwan</t>
  </si>
  <si>
    <t>Latvia</t>
  </si>
  <si>
    <t>Slovakia</t>
  </si>
  <si>
    <t>Bosnia</t>
  </si>
  <si>
    <t>Jordan</t>
  </si>
  <si>
    <t>Kuwait</t>
  </si>
  <si>
    <t>Moldova</t>
  </si>
  <si>
    <t>Tunisia</t>
  </si>
  <si>
    <t>San Marino</t>
  </si>
  <si>
    <t>Kazakhstan</t>
  </si>
  <si>
    <t>North Macedonia</t>
  </si>
  <si>
    <t>Azerbaijan</t>
  </si>
  <si>
    <t>Vietnam</t>
  </si>
  <si>
    <t>Albania</t>
  </si>
  <si>
    <t>Burkina Faso</t>
  </si>
  <si>
    <t>Oman</t>
  </si>
  <si>
    <t>Cyprus</t>
  </si>
  <si>
    <t>Ghana</t>
  </si>
  <si>
    <t>Malta</t>
  </si>
  <si>
    <t>Senegal</t>
  </si>
  <si>
    <t>Brunei</t>
  </si>
  <si>
    <t>Venezuela</t>
  </si>
  <si>
    <t>Sri Lanka</t>
  </si>
  <si>
    <t>Afghanistan</t>
  </si>
  <si>
    <t>Uzbekistan</t>
  </si>
  <si>
    <t>Mauritius</t>
  </si>
  <si>
    <t>Cambodia</t>
  </si>
  <si>
    <t>Ivory Coast</t>
  </si>
  <si>
    <t>Cameroon</t>
  </si>
  <si>
    <t>Belarus</t>
  </si>
  <si>
    <t>Kosovo</t>
  </si>
  <si>
    <t>Palestine</t>
  </si>
  <si>
    <t>Nigeria</t>
  </si>
  <si>
    <t>Trinidad and Tobago</t>
  </si>
  <si>
    <t>Montenegro</t>
  </si>
  <si>
    <t>Jersey</t>
  </si>
  <si>
    <t>Kyrgyzstan</t>
  </si>
  <si>
    <t>Northern Cyprus</t>
  </si>
  <si>
    <t>Liechtenstein</t>
  </si>
  <si>
    <t>Gibraltar</t>
  </si>
  <si>
    <t>DR Congo</t>
  </si>
  <si>
    <t>Rwanda</t>
  </si>
  <si>
    <t>Bangladesh</t>
  </si>
  <si>
    <t>Aruba</t>
  </si>
  <si>
    <t>Monaco</t>
  </si>
  <si>
    <t>Guernsey</t>
  </si>
  <si>
    <t>Kenya</t>
  </si>
  <si>
    <t>Isle of Man</t>
  </si>
  <si>
    <t>Macau</t>
  </si>
  <si>
    <t>French Polynesia</t>
  </si>
  <si>
    <t>Jamaica</t>
  </si>
  <si>
    <t>Uganda</t>
  </si>
  <si>
    <t>Togo</t>
  </si>
  <si>
    <t>Barbados</t>
  </si>
  <si>
    <t>Madagascar</t>
  </si>
  <si>
    <t>Bermuda</t>
  </si>
  <si>
    <t>Zambia</t>
  </si>
  <si>
    <t>Ethiopia</t>
  </si>
  <si>
    <t>Maldives</t>
  </si>
  <si>
    <t>New Caledonia</t>
  </si>
  <si>
    <t>Tanzania</t>
  </si>
  <si>
    <t>Equatorial Guinea</t>
  </si>
  <si>
    <t>Djibouti</t>
  </si>
  <si>
    <t>Mongolia</t>
  </si>
  <si>
    <t>Greenland</t>
  </si>
  <si>
    <t>Bahamas</t>
  </si>
  <si>
    <t>Eswatini</t>
  </si>
  <si>
    <t>Cayman Islands</t>
  </si>
  <si>
    <t>Niger</t>
  </si>
  <si>
    <t>Suriname</t>
  </si>
  <si>
    <t>Namibia</t>
  </si>
  <si>
    <t>Guyana</t>
  </si>
  <si>
    <t>Haiti</t>
  </si>
  <si>
    <t>Seychelles</t>
  </si>
  <si>
    <t>Grenada</t>
  </si>
  <si>
    <t>Antigua and Barbuda</t>
  </si>
  <si>
    <t>Curaçao</t>
  </si>
  <si>
    <t>Gabon</t>
  </si>
  <si>
    <t>Zimbabwe</t>
  </si>
  <si>
    <t>Laos</t>
  </si>
  <si>
    <t>Benin</t>
  </si>
  <si>
    <t>Eritrea</t>
  </si>
  <si>
    <t>Cape Verde</t>
  </si>
  <si>
    <t>Syria</t>
  </si>
  <si>
    <t>Fiji</t>
  </si>
  <si>
    <t>Mozambique</t>
  </si>
  <si>
    <t>Montserrat</t>
  </si>
  <si>
    <t>Myanmar</t>
  </si>
  <si>
    <t>Chad</t>
  </si>
  <si>
    <t>Guinea</t>
  </si>
  <si>
    <t>Central African Republic</t>
  </si>
  <si>
    <t>Nepal</t>
  </si>
  <si>
    <t>Vatican City</t>
  </si>
  <si>
    <t>Mali</t>
  </si>
  <si>
    <t>The Gambia</t>
  </si>
  <si>
    <t>Congo Republic</t>
  </si>
  <si>
    <t>Liberia</t>
  </si>
  <si>
    <t>Angola</t>
  </si>
  <si>
    <t>Saint Lucia</t>
  </si>
  <si>
    <t>Sint Maarten</t>
  </si>
  <si>
    <t>Mauritania</t>
  </si>
  <si>
    <t>Sudan</t>
  </si>
  <si>
    <t>Bhutan</t>
  </si>
  <si>
    <t>St. Kitts and Nevis</t>
  </si>
  <si>
    <t>British Virgin Islands</t>
  </si>
  <si>
    <t>Guinea-Bissau</t>
  </si>
  <si>
    <t>Somalia</t>
  </si>
  <si>
    <t>Turks and Caicos Islands</t>
  </si>
  <si>
    <t>Belize</t>
  </si>
  <si>
    <t>Timor-Leste</t>
  </si>
  <si>
    <t>Libya</t>
  </si>
  <si>
    <t>Papua New Guinea</t>
  </si>
  <si>
    <t>Saint Vincent and the Grenadines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</si>
</sst>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0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b/>
      <sz val="13.0"/>
      <color theme="1"/>
      <name val="Roboto"/>
    </font>
    <font>
      <sz val="11.0"/>
      <color theme="1"/>
      <name val="Arial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u/>
      <sz val="11.0"/>
      <color rgb="FF0A0A0A"/>
      <name val="Roboto"/>
    </font>
    <font>
      <sz val="11.0"/>
      <color rgb="FF000000"/>
      <name val="Arial"/>
    </font>
    <font>
      <sz val="11.0"/>
      <color rgb="FFFFFFFF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38761D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2" fontId="5" numFmtId="0" xfId="0" applyFill="1" applyFont="1"/>
    <xf borderId="0" fillId="0" fontId="4" numFmtId="0" xfId="0" applyAlignment="1" applyFont="1">
      <alignment horizontal="left" readingOrder="0" vertical="bottom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0" fillId="0" fontId="5" numFmtId="0" xfId="0" applyAlignment="1" applyFont="1">
      <alignment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1" fillId="7" fontId="5" numFmtId="3" xfId="0" applyAlignment="1" applyBorder="1" applyFill="1" applyFont="1" applyNumberFormat="1">
      <alignment horizontal="center" readingOrder="0" vertical="center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2" fontId="5" numFmtId="10" xfId="0" applyAlignment="1" applyBorder="1" applyFont="1" applyNumberFormat="1">
      <alignment horizontal="center" readingOrder="0" vertical="center"/>
    </xf>
    <xf borderId="1" fillId="7" fontId="12" numFmtId="0" xfId="0" applyAlignment="1" applyBorder="1" applyFont="1">
      <alignment horizontal="center" readingOrder="0" shrinkToFit="0" vertical="center" wrapText="1"/>
    </xf>
    <xf borderId="1" fillId="0" fontId="5" numFmtId="3" xfId="0" applyAlignment="1" applyBorder="1" applyFont="1" applyNumberFormat="1">
      <alignment horizontal="center" readingOrder="0" vertical="center"/>
    </xf>
    <xf borderId="1" fillId="7" fontId="12" numFmtId="3" xfId="0" applyAlignment="1" applyBorder="1" applyFont="1" applyNumberFormat="1">
      <alignment horizontal="center" readingOrder="0" shrinkToFit="0" vertical="center" wrapText="1"/>
    </xf>
    <xf borderId="1" fillId="4" fontId="5" numFmtId="3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vertical="center"/>
    </xf>
    <xf borderId="1" fillId="3" fontId="12" numFmtId="0" xfId="0" applyAlignment="1" applyBorder="1" applyFont="1">
      <alignment horizontal="left" readingOrder="0" shrinkToFit="0" vertical="center" wrapText="1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0" fontId="5" numFmtId="3" xfId="0" applyAlignment="1" applyBorder="1" applyFont="1" applyNumberForma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0" fillId="8" fontId="5" numFmtId="0" xfId="0" applyAlignment="1" applyFill="1" applyFont="1">
      <alignment vertical="center"/>
    </xf>
    <xf borderId="1" fillId="4" fontId="5" numFmtId="10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0" fillId="9" fontId="17" numFmtId="0" xfId="0" applyAlignment="1" applyFill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1" fillId="3" fontId="5" numFmtId="10" xfId="0" applyAlignment="1" applyBorder="1" applyFont="1" applyNumberFormat="1">
      <alignment horizontal="center" readingOrder="0" vertical="center"/>
    </xf>
    <xf borderId="0" fillId="8" fontId="5" numFmtId="0" xfId="0" applyAlignment="1" applyFont="1">
      <alignment vertical="center"/>
    </xf>
    <xf borderId="1" fillId="4" fontId="5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vertical="center"/>
    </xf>
    <xf borderId="1" fillId="0" fontId="12" numFmtId="3" xfId="0" applyAlignment="1" applyBorder="1" applyFont="1" applyNumberForma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2" fontId="22" numFmtId="0" xfId="0" applyAlignment="1" applyFont="1">
      <alignment vertical="center"/>
    </xf>
    <xf borderId="0" fillId="2" fontId="23" numFmtId="0" xfId="0" applyFont="1"/>
    <xf borderId="1" fillId="0" fontId="12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0" fontId="5" numFmtId="3" xfId="0" applyAlignment="1" applyFont="1" applyNumberForma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9" fontId="22" numFmtId="0" xfId="0" applyAlignment="1" applyFont="1">
      <alignment vertical="center"/>
    </xf>
    <xf borderId="0" fillId="2" fontId="25" numFmtId="0" xfId="0" applyAlignment="1" applyFont="1">
      <alignment vertical="center"/>
    </xf>
    <xf borderId="0" fillId="4" fontId="12" numFmtId="0" xfId="0" applyAlignment="1" applyFont="1">
      <alignment horizontal="left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2" fontId="26" numFmtId="0" xfId="0" applyAlignment="1" applyFont="1">
      <alignment horizontal="left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2" fontId="26" numFmtId="3" xfId="0" applyAlignment="1" applyFont="1" applyNumberForma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9" fontId="5" numFmtId="0" xfId="0" applyAlignment="1" applyFont="1">
      <alignment vertical="center"/>
    </xf>
    <xf borderId="0" fillId="2" fontId="17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4" fontId="5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27" numFmtId="0" xfId="0" applyAlignment="1" applyFont="1">
      <alignment horizontal="center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7" fontId="7" numFmtId="3" xfId="0" applyAlignment="1" applyFont="1" applyNumberFormat="1">
      <alignment horizontal="center" readingOrder="0" shrinkToFit="0" vertical="center" wrapText="1"/>
    </xf>
    <xf borderId="0" fillId="3" fontId="28" numFmtId="0" xfId="0" applyAlignment="1" applyFon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9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vertical="center"/>
    </xf>
    <xf borderId="3" fillId="6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7" fontId="5" numFmtId="3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2" fontId="26" numFmtId="0" xfId="0" applyAlignment="1" applyFont="1">
      <alignment horizontal="left" readingOrder="0" vertical="center"/>
    </xf>
    <xf borderId="0" fillId="2" fontId="26" numFmtId="0" xfId="0" applyAlignment="1" applyFont="1">
      <alignment horizontal="center" readingOrder="0" vertical="center"/>
    </xf>
    <xf borderId="0" fillId="2" fontId="26" numFmtId="3" xfId="0" applyAlignment="1" applyFont="1" applyNumberFormat="1">
      <alignment horizontal="center" readingOrder="0" vertical="center"/>
    </xf>
    <xf borderId="0" fillId="2" fontId="17" numFmtId="3" xfId="0" applyAlignment="1" applyFont="1" applyNumberFormat="1">
      <alignment horizontal="center" readingOrder="0" vertical="center"/>
    </xf>
    <xf borderId="0" fillId="2" fontId="17" numFmtId="0" xfId="0" applyAlignment="1" applyFont="1">
      <alignment horizontal="center" readingOrder="0" vertical="center"/>
    </xf>
    <xf borderId="0" fillId="2" fontId="26" numFmtId="0" xfId="0" applyAlignment="1" applyFont="1">
      <alignment horizontal="center" readingOrder="0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6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9" numFmtId="3" xfId="0" applyAlignment="1" applyFont="1" applyNumberFormat="1">
      <alignment horizontal="center" readingOrder="0" vertical="center"/>
    </xf>
    <xf borderId="0" fillId="4" fontId="5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23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World!$B$7:$B$199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World!$D$7:$D$200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202" displayName="Table_10" id="10">
  <tableColumns count="1">
    <tableColumn name="Cases" id="1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L5:M20" displayName="Table_4" id="4">
  <tableColumns count="2">
    <tableColumn name="New cases" id="1"/>
    <tableColumn name="New deaths" id="2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5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9" id="9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A6:I202" displayName="Table_11" id="11">
  <tableColumns count="9">
    <tableColumn name="WORLD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202" displayName="Table_12" id="12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M5:M6" displayName="Table_5" id="5">
  <tableColumns count="1">
    <tableColumn name="Deaths" id="1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A5:I68" displayName="Table_6" id="6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7" id="7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A5:I20" displayName="Table_3" id="3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1</v>
      </c>
      <c r="B1" s="3"/>
      <c r="C1" s="3"/>
      <c r="D1" s="3"/>
      <c r="E1" s="4"/>
      <c r="F1" s="4"/>
      <c r="G1" s="4"/>
      <c r="H1" s="6"/>
      <c r="I1" s="7"/>
      <c r="J1" s="5"/>
      <c r="K1" s="5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3"/>
      <c r="C2" s="3"/>
      <c r="D2" s="3"/>
      <c r="E2" s="4"/>
      <c r="F2" s="4"/>
      <c r="G2" s="4"/>
      <c r="H2" s="6"/>
      <c r="I2" s="7"/>
      <c r="J2" s="8"/>
      <c r="K2" s="8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2</v>
      </c>
      <c r="B3" s="10" t="s">
        <v>3</v>
      </c>
      <c r="C3" s="4" t="s">
        <v>4</v>
      </c>
      <c r="E3" s="9" t="s">
        <v>5</v>
      </c>
      <c r="H3" s="6"/>
      <c r="I3" s="7"/>
      <c r="J3" s="8"/>
      <c r="K3" s="8"/>
      <c r="L3" s="10" t="s">
        <v>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>
        <f>SUM(B201, B202)</f>
        <v>670522</v>
      </c>
      <c r="B4" s="12">
        <f>SUM(D201, D202)</f>
        <v>30951</v>
      </c>
      <c r="C4" s="13">
        <f>SUM(H201, H202)</f>
        <v>145686</v>
      </c>
      <c r="E4" s="14">
        <f>MINUS(A4,B4 + C4)</f>
        <v>493885</v>
      </c>
      <c r="F4" s="14"/>
      <c r="G4" s="4"/>
      <c r="H4" s="6"/>
      <c r="I4" s="7"/>
      <c r="J4" s="8"/>
      <c r="K4" s="8"/>
      <c r="L4" s="16">
        <f>SUM(N201, N202)</f>
        <v>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5"/>
      <c r="B5" s="7"/>
      <c r="C5" s="7"/>
      <c r="D5" s="7"/>
      <c r="E5" s="6"/>
      <c r="F5" s="6"/>
      <c r="G5" s="6"/>
      <c r="H5" s="6"/>
      <c r="I5" s="7"/>
      <c r="J5" s="8"/>
      <c r="K5" s="8"/>
      <c r="L5" s="7"/>
      <c r="M5" s="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0.0" customHeight="1">
      <c r="A6" s="18" t="s">
        <v>8</v>
      </c>
      <c r="B6" s="21" t="s">
        <v>9</v>
      </c>
      <c r="C6" s="20" t="s">
        <v>10</v>
      </c>
      <c r="D6" s="21" t="s">
        <v>11</v>
      </c>
      <c r="E6" s="22" t="s">
        <v>12</v>
      </c>
      <c r="F6" s="22" t="s">
        <v>13</v>
      </c>
      <c r="G6" s="22" t="s">
        <v>14</v>
      </c>
      <c r="H6" s="25" t="s">
        <v>15</v>
      </c>
      <c r="I6" s="21" t="s">
        <v>16</v>
      </c>
      <c r="J6" s="24"/>
      <c r="K6" s="24"/>
      <c r="L6" s="21" t="s">
        <v>9</v>
      </c>
      <c r="M6" s="21" t="s">
        <v>11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0.0" customHeight="1">
      <c r="A7" s="28" t="s">
        <v>19</v>
      </c>
      <c r="B7" s="30">
        <f>USA!A3</f>
        <v>123938</v>
      </c>
      <c r="C7" s="32">
        <f t="shared" ref="C7:C156" si="1">MINUS(B7,L7)</f>
        <v>50</v>
      </c>
      <c r="D7" s="30">
        <f>USA!B3</f>
        <v>2223</v>
      </c>
      <c r="E7" s="35">
        <f t="shared" ref="E7:E200" si="2">MINUS(D7, M7)</f>
        <v>2</v>
      </c>
      <c r="F7" s="37">
        <f t="shared" ref="F7:F199" si="3">DIVIDE(D7, B7)</f>
        <v>0.01793638755</v>
      </c>
      <c r="G7" s="39">
        <f>USA!G66</f>
        <v>2234</v>
      </c>
      <c r="H7" s="39">
        <f>USA!C3</f>
        <v>2463</v>
      </c>
      <c r="I7" s="42" t="str">
        <f>HYPERLINK("https://bnonews.com/index.php/2019/12/tracking-coronavirus-u-s-data/","Source")</f>
        <v>Source</v>
      </c>
      <c r="J7" s="44"/>
      <c r="K7" s="49"/>
      <c r="L7" s="30">
        <v>123888.0</v>
      </c>
      <c r="M7" s="56">
        <v>2221.0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30.0" customHeight="1">
      <c r="A8" s="28" t="s">
        <v>24</v>
      </c>
      <c r="B8" s="30">
        <v>92472.0</v>
      </c>
      <c r="C8" s="32">
        <f t="shared" si="1"/>
        <v>0</v>
      </c>
      <c r="D8" s="30">
        <v>10023.0</v>
      </c>
      <c r="E8" s="35">
        <f t="shared" si="2"/>
        <v>0</v>
      </c>
      <c r="F8" s="50">
        <f t="shared" si="3"/>
        <v>0.1083895666</v>
      </c>
      <c r="G8" s="39">
        <v>3856.0</v>
      </c>
      <c r="H8" s="39">
        <v>12384.0</v>
      </c>
      <c r="I8" s="42" t="str">
        <f>HYPERLINK("https://pbs.twimg.com/media/EUNlPkVXQAA8lKS?format=jpg&amp;name=900x900","Source")</f>
        <v>Source</v>
      </c>
      <c r="J8" s="24"/>
      <c r="K8" s="59"/>
      <c r="L8" s="30">
        <v>92472.0</v>
      </c>
      <c r="M8" s="30">
        <v>10023.0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30.0" customHeight="1">
      <c r="A9" s="28" t="s">
        <v>27</v>
      </c>
      <c r="B9" s="30">
        <f>China!A3</f>
        <v>81439</v>
      </c>
      <c r="C9" s="32">
        <f t="shared" si="1"/>
        <v>45</v>
      </c>
      <c r="D9" s="30">
        <f>China!B3</f>
        <v>3300</v>
      </c>
      <c r="E9" s="35">
        <f t="shared" si="2"/>
        <v>5</v>
      </c>
      <c r="F9" s="37">
        <f t="shared" si="3"/>
        <v>0.04052112624</v>
      </c>
      <c r="G9" s="39">
        <f>China!D14</f>
        <v>742</v>
      </c>
      <c r="H9" s="39">
        <f>China!D3</f>
        <v>75448</v>
      </c>
      <c r="I9" s="42" t="str">
        <f>HYPERLINK("https://bnonews.com/index.php/2020/03/tracking-coronavirus-china-data/","Source")</f>
        <v>Source</v>
      </c>
      <c r="J9" s="24"/>
      <c r="K9" s="59"/>
      <c r="L9" s="30">
        <v>81394.0</v>
      </c>
      <c r="M9" s="30">
        <v>3295.0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30.0" customHeight="1">
      <c r="A10" s="28" t="s">
        <v>31</v>
      </c>
      <c r="B10" s="30">
        <v>73235.0</v>
      </c>
      <c r="C10" s="32">
        <f t="shared" si="1"/>
        <v>3</v>
      </c>
      <c r="D10" s="30">
        <v>5982.0</v>
      </c>
      <c r="E10" s="35">
        <f t="shared" si="2"/>
        <v>0</v>
      </c>
      <c r="F10" s="50">
        <f t="shared" si="3"/>
        <v>0.08168225575</v>
      </c>
      <c r="G10" s="39">
        <v>4575.0</v>
      </c>
      <c r="H10" s="39">
        <v>12285.0</v>
      </c>
      <c r="I10" s="42" t="str">
        <f>HYPERLINK("https://www.mscbs.gob.es/en/profesionales/saludPublica/ccayes/alertasActual/nCov-China/documentos/Actualizacion_58_COVID-19.pdf","Source")</f>
        <v>Source</v>
      </c>
      <c r="J10" s="24"/>
      <c r="K10" s="59"/>
      <c r="L10" s="30">
        <v>73232.0</v>
      </c>
      <c r="M10" s="30">
        <v>5982.0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30.0" customHeight="1">
      <c r="A11" s="28" t="s">
        <v>35</v>
      </c>
      <c r="B11" s="62">
        <v>58825.0</v>
      </c>
      <c r="C11" s="32">
        <f t="shared" si="1"/>
        <v>978</v>
      </c>
      <c r="D11" s="56">
        <v>478.0</v>
      </c>
      <c r="E11" s="35">
        <f t="shared" si="2"/>
        <v>45</v>
      </c>
      <c r="F11" s="37">
        <f t="shared" si="3"/>
        <v>0.008125796855</v>
      </c>
      <c r="G11" s="39">
        <v>1053.0</v>
      </c>
      <c r="H11" s="39">
        <v>13885.0</v>
      </c>
      <c r="I11" s="42" t="str">
        <f>HYPERLINK("https://dts-nachrichtenagentur.de/corona-fallzahlen","Source")</f>
        <v>Source</v>
      </c>
      <c r="J11" s="24"/>
      <c r="K11" s="59"/>
      <c r="L11" s="62">
        <v>57847.0</v>
      </c>
      <c r="M11" s="56">
        <v>433.0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30.0" customHeight="1">
      <c r="A12" s="28" t="s">
        <v>39</v>
      </c>
      <c r="B12" s="30">
        <v>37575.0</v>
      </c>
      <c r="C12" s="32">
        <f t="shared" si="1"/>
        <v>0</v>
      </c>
      <c r="D12" s="30">
        <v>2314.0</v>
      </c>
      <c r="E12" s="35">
        <f t="shared" si="2"/>
        <v>0</v>
      </c>
      <c r="F12" s="50">
        <f t="shared" si="3"/>
        <v>0.06158349967</v>
      </c>
      <c r="G12" s="39">
        <v>3375.0</v>
      </c>
      <c r="H12" s="39">
        <v>4948.0</v>
      </c>
      <c r="I12" s="42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2" s="24"/>
      <c r="K12" s="59"/>
      <c r="L12" s="30">
        <v>37575.0</v>
      </c>
      <c r="M12" s="30">
        <v>2314.0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30.0" customHeight="1">
      <c r="A13" s="28" t="s">
        <v>43</v>
      </c>
      <c r="B13" s="30">
        <v>35408.0</v>
      </c>
      <c r="C13" s="32">
        <f t="shared" si="1"/>
        <v>0</v>
      </c>
      <c r="D13" s="30">
        <v>2517.0</v>
      </c>
      <c r="E13" s="35">
        <f t="shared" si="2"/>
        <v>0</v>
      </c>
      <c r="F13" s="37">
        <f t="shared" si="3"/>
        <v>0.07108563037</v>
      </c>
      <c r="G13" s="39">
        <v>3206.0</v>
      </c>
      <c r="H13" s="39">
        <v>11679.0</v>
      </c>
      <c r="I13" s="42" t="str">
        <f>HYPERLINK("https://twitter.com/AbasAslani/status/1243834820192538624","Source")</f>
        <v>Source</v>
      </c>
      <c r="J13" s="24"/>
      <c r="K13" s="59"/>
      <c r="L13" s="30">
        <v>35408.0</v>
      </c>
      <c r="M13" s="30">
        <v>2517.0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30.0" customHeight="1">
      <c r="A14" s="28" t="s">
        <v>47</v>
      </c>
      <c r="B14" s="30">
        <v>17089.0</v>
      </c>
      <c r="C14" s="32">
        <f t="shared" si="1"/>
        <v>0</v>
      </c>
      <c r="D14" s="30">
        <v>1019.0</v>
      </c>
      <c r="E14" s="35">
        <f t="shared" si="2"/>
        <v>0</v>
      </c>
      <c r="F14" s="50">
        <f t="shared" si="3"/>
        <v>0.05962900111</v>
      </c>
      <c r="G14" s="65">
        <v>20.0</v>
      </c>
      <c r="H14" s="65">
        <v>135.0</v>
      </c>
      <c r="I14" s="42" t="str">
        <f>HYPERLINK("https://twitter.com/DHSCgovuk/status/1243901924786790400","Source")</f>
        <v>Source</v>
      </c>
      <c r="J14" s="24"/>
      <c r="K14" s="59"/>
      <c r="L14" s="30">
        <v>17089.0</v>
      </c>
      <c r="M14" s="30">
        <v>1019.0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30.0" customHeight="1">
      <c r="A15" s="28" t="s">
        <v>51</v>
      </c>
      <c r="B15" s="30">
        <v>14123.0</v>
      </c>
      <c r="C15" s="32">
        <f t="shared" si="1"/>
        <v>15</v>
      </c>
      <c r="D15" s="56">
        <v>271.0</v>
      </c>
      <c r="E15" s="35">
        <f t="shared" si="2"/>
        <v>0</v>
      </c>
      <c r="F15" s="37">
        <f t="shared" si="3"/>
        <v>0.01918855767</v>
      </c>
      <c r="G15" s="65" t="s">
        <v>21</v>
      </c>
      <c r="H15" s="39">
        <v>1595.0</v>
      </c>
      <c r="I15" s="42" t="str">
        <f>HYPERLINK("https://www.24heures.ch/monde/direct-nouveau-cas-coronavirus-suisse/story/24581768","Source")</f>
        <v>Source</v>
      </c>
      <c r="J15" s="24"/>
      <c r="K15" s="59"/>
      <c r="L15" s="30">
        <v>14108.0</v>
      </c>
      <c r="M15" s="56">
        <v>271.0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30.0" customHeight="1">
      <c r="A16" s="28" t="s">
        <v>54</v>
      </c>
      <c r="B16" s="30">
        <v>9762.0</v>
      </c>
      <c r="C16" s="32">
        <f t="shared" si="1"/>
        <v>0</v>
      </c>
      <c r="D16" s="73">
        <v>639.0</v>
      </c>
      <c r="E16" s="35">
        <f t="shared" si="2"/>
        <v>0</v>
      </c>
      <c r="F16" s="37">
        <f t="shared" si="3"/>
        <v>0.06545789797</v>
      </c>
      <c r="G16" s="39">
        <v>1034.0</v>
      </c>
      <c r="H16" s="65">
        <v>2.0</v>
      </c>
      <c r="I16" s="42" t="str">
        <f>HYPERLINK("https://www.rivm.nl/nieuws/actuele-informatie-over-coronavirus","Source")</f>
        <v>Source</v>
      </c>
      <c r="J16" s="24"/>
      <c r="K16" s="59"/>
      <c r="L16" s="30">
        <v>9762.0</v>
      </c>
      <c r="M16" s="73">
        <v>639.0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30.0" customHeight="1">
      <c r="A17" s="28" t="s">
        <v>58</v>
      </c>
      <c r="B17" s="30">
        <v>9583.0</v>
      </c>
      <c r="C17" s="32">
        <f t="shared" si="1"/>
        <v>105</v>
      </c>
      <c r="D17" s="56">
        <v>152.0</v>
      </c>
      <c r="E17" s="35">
        <f t="shared" si="2"/>
        <v>8</v>
      </c>
      <c r="F17" s="50">
        <f t="shared" si="3"/>
        <v>0.01586142127</v>
      </c>
      <c r="G17" s="65" t="s">
        <v>21</v>
      </c>
      <c r="H17" s="39">
        <v>5033.0</v>
      </c>
      <c r="I17" s="42" t="str">
        <f>HYPERLINK("http://ncov.mohw.go.kr/tcmBoardView.do?brdId=&amp;brdGubun=&amp;dataGubun=&amp;ncvContSeq=353786&amp;contSeq=353786&amp;board_id=&amp;gubun=ALL","Source")</f>
        <v>Source</v>
      </c>
      <c r="J17" s="24"/>
      <c r="K17" s="59"/>
      <c r="L17" s="30">
        <v>9478.0</v>
      </c>
      <c r="M17" s="56">
        <v>144.0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30.0" customHeight="1">
      <c r="A18" s="28" t="s">
        <v>60</v>
      </c>
      <c r="B18" s="30">
        <v>9134.0</v>
      </c>
      <c r="C18" s="32">
        <f t="shared" si="1"/>
        <v>0</v>
      </c>
      <c r="D18" s="56">
        <v>353.0</v>
      </c>
      <c r="E18" s="35">
        <f t="shared" si="2"/>
        <v>0</v>
      </c>
      <c r="F18" s="37">
        <f t="shared" si="3"/>
        <v>0.0386468141</v>
      </c>
      <c r="G18" s="65">
        <v>789.0</v>
      </c>
      <c r="H18" s="39">
        <v>1063.0</v>
      </c>
      <c r="I18" s="42" t="str">
        <f>HYPERLINK("https://www.youtube.com/watch?v=-0ErsaJ52oY&amp;feature=youtu.be","Source")</f>
        <v>Source</v>
      </c>
      <c r="J18" s="24"/>
      <c r="K18" s="59"/>
      <c r="L18" s="30">
        <v>9134.0</v>
      </c>
      <c r="M18" s="56">
        <v>353.0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30.0" customHeight="1">
      <c r="A19" s="28" t="s">
        <v>62</v>
      </c>
      <c r="B19" s="30">
        <v>8280.0</v>
      </c>
      <c r="C19" s="32">
        <f t="shared" si="1"/>
        <v>250</v>
      </c>
      <c r="D19" s="56">
        <v>68.0</v>
      </c>
      <c r="E19" s="35">
        <f t="shared" si="2"/>
        <v>0</v>
      </c>
      <c r="F19" s="50">
        <f t="shared" si="3"/>
        <v>0.008212560386</v>
      </c>
      <c r="G19" s="65">
        <v>135.0</v>
      </c>
      <c r="H19" s="65">
        <v>9.0</v>
      </c>
      <c r="I19" s="42" t="str">
        <f>HYPERLINK("https://www.sozialministerium.at/Informationen-zum-Coronavirus/Neuartiges-Coronavirus-(2019-nCov).html","Source")</f>
        <v>Source</v>
      </c>
      <c r="J19" s="24"/>
      <c r="K19" s="59"/>
      <c r="L19" s="30">
        <v>8030.0</v>
      </c>
      <c r="M19" s="56">
        <v>68.0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27.75" customHeight="1">
      <c r="A20" s="28" t="s">
        <v>64</v>
      </c>
      <c r="B20" s="30">
        <v>7402.0</v>
      </c>
      <c r="C20" s="32">
        <f t="shared" si="1"/>
        <v>0</v>
      </c>
      <c r="D20" s="56">
        <v>108.0</v>
      </c>
      <c r="E20" s="35">
        <f t="shared" si="2"/>
        <v>0</v>
      </c>
      <c r="F20" s="50">
        <f t="shared" si="3"/>
        <v>0.01459065118</v>
      </c>
      <c r="G20" s="65" t="s">
        <v>21</v>
      </c>
      <c r="H20" s="65">
        <v>42.0</v>
      </c>
      <c r="I20" s="42" t="str">
        <f>HYPERLINK("https://twitter.com/arabnews/status/1243945891913969664","Source")</f>
        <v>Source</v>
      </c>
      <c r="J20" s="24"/>
      <c r="K20" s="59"/>
      <c r="L20" s="30">
        <v>7402.0</v>
      </c>
      <c r="M20" s="56">
        <v>108.0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30.0" customHeight="1">
      <c r="A21" s="28" t="s">
        <v>67</v>
      </c>
      <c r="B21" s="30">
        <f>Canada!A3</f>
        <v>5625</v>
      </c>
      <c r="C21" s="32">
        <f t="shared" si="1"/>
        <v>0</v>
      </c>
      <c r="D21" s="30">
        <f>Canada!B3</f>
        <v>61</v>
      </c>
      <c r="E21" s="35">
        <f t="shared" si="2"/>
        <v>0</v>
      </c>
      <c r="F21" s="37">
        <f t="shared" si="3"/>
        <v>0.01084444444</v>
      </c>
      <c r="G21" s="39">
        <f>Canada!G20</f>
        <v>52</v>
      </c>
      <c r="H21" s="39">
        <f>Canada!C3</f>
        <v>499</v>
      </c>
      <c r="I21" s="42" t="str">
        <f>HYPERLINK("https://bnonews.com/index.php/2019/12/tracking-coronavirus-canada-data/","Source")</f>
        <v>Source</v>
      </c>
      <c r="J21" s="24"/>
      <c r="K21" s="59"/>
      <c r="L21" s="56">
        <v>5625.0</v>
      </c>
      <c r="M21" s="56">
        <v>61.0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30.0" customHeight="1">
      <c r="A22" s="28" t="s">
        <v>70</v>
      </c>
      <c r="B22" s="30">
        <v>5170.0</v>
      </c>
      <c r="C22" s="32">
        <f t="shared" si="1"/>
        <v>0</v>
      </c>
      <c r="D22" s="56">
        <v>100.0</v>
      </c>
      <c r="E22" s="35">
        <f t="shared" si="2"/>
        <v>0</v>
      </c>
      <c r="F22" s="50">
        <f t="shared" si="3"/>
        <v>0.01934235977</v>
      </c>
      <c r="G22" s="65">
        <v>61.0</v>
      </c>
      <c r="H22" s="65">
        <v>43.0</v>
      </c>
      <c r="I22" s="42" t="str">
        <f>HYPERLINK("https://covid19.min-saude.pt/ponto-de-situacao-atual-em-portugal/","Source")</f>
        <v>Source</v>
      </c>
      <c r="J22" s="24"/>
      <c r="K22" s="59"/>
      <c r="L22" s="30">
        <v>5170.0</v>
      </c>
      <c r="M22" s="56">
        <v>100.0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30.0" customHeight="1">
      <c r="A23" s="28" t="s">
        <v>72</v>
      </c>
      <c r="B23" s="30">
        <v>4032.0</v>
      </c>
      <c r="C23" s="32">
        <f t="shared" si="1"/>
        <v>60</v>
      </c>
      <c r="D23" s="56">
        <v>23.0</v>
      </c>
      <c r="E23" s="35">
        <f t="shared" si="2"/>
        <v>2</v>
      </c>
      <c r="F23" s="37">
        <f t="shared" si="3"/>
        <v>0.005704365079</v>
      </c>
      <c r="G23" s="65">
        <v>84.0</v>
      </c>
      <c r="H23" s="65" t="s">
        <v>21</v>
      </c>
      <c r="I23" s="42" t="str">
        <f>HYPERLINK("https://www.vg.no/spesial/2020/corona/","Source")</f>
        <v>Source</v>
      </c>
      <c r="J23" s="24"/>
      <c r="K23" s="59"/>
      <c r="L23" s="30">
        <v>3972.0</v>
      </c>
      <c r="M23" s="56">
        <v>21.0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30.0" customHeight="1">
      <c r="A24" s="28" t="s">
        <v>74</v>
      </c>
      <c r="B24" s="30">
        <v>3904.0</v>
      </c>
      <c r="C24" s="32">
        <f t="shared" si="1"/>
        <v>0</v>
      </c>
      <c r="D24" s="56">
        <v>116.0</v>
      </c>
      <c r="E24" s="35">
        <f t="shared" si="2"/>
        <v>2</v>
      </c>
      <c r="F24" s="37">
        <f t="shared" si="3"/>
        <v>0.02971311475</v>
      </c>
      <c r="G24" s="65">
        <v>148.0</v>
      </c>
      <c r="H24" s="65">
        <v>1.0</v>
      </c>
      <c r="I24" s="42" t="str">
        <f>HYPERLINK("https://g1.globo.com/bemestar/coronavirus/noticia/2020/03/28/brasil-tem-111-mortes-e-3904-casos-confirmados-de-coronavirus-diz-ministerio.ghtml","Source")</f>
        <v>Source</v>
      </c>
      <c r="J24" s="24"/>
      <c r="K24" s="59"/>
      <c r="L24" s="30">
        <v>3904.0</v>
      </c>
      <c r="M24" s="56">
        <v>114.0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30.0" customHeight="1">
      <c r="A25" s="28" t="s">
        <v>77</v>
      </c>
      <c r="B25" s="30">
        <f>Australia!A3</f>
        <v>3935</v>
      </c>
      <c r="C25" s="32">
        <f t="shared" si="1"/>
        <v>295</v>
      </c>
      <c r="D25" s="30">
        <f>Australia!B3</f>
        <v>16</v>
      </c>
      <c r="E25" s="35">
        <f t="shared" si="2"/>
        <v>2</v>
      </c>
      <c r="F25" s="50">
        <f t="shared" si="3"/>
        <v>0.004066073698</v>
      </c>
      <c r="G25" s="39">
        <f>Australia!G17</f>
        <v>32</v>
      </c>
      <c r="H25" s="39">
        <f>Australia!C3</f>
        <v>244</v>
      </c>
      <c r="I25" s="42" t="str">
        <f>HYPERLINK("https://bnonews.com/index.php/2019/12/tracking-coronavirus-australia-data/","Source")</f>
        <v>Source</v>
      </c>
      <c r="J25" s="24"/>
      <c r="K25" s="59"/>
      <c r="L25" s="56">
        <v>3640.0</v>
      </c>
      <c r="M25" s="56">
        <v>14.0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30.0" customHeight="1">
      <c r="A26" s="28" t="s">
        <v>82</v>
      </c>
      <c r="B26" s="30">
        <v>3619.0</v>
      </c>
      <c r="C26" s="32">
        <f t="shared" si="1"/>
        <v>0</v>
      </c>
      <c r="D26" s="56">
        <v>12.0</v>
      </c>
      <c r="E26" s="35">
        <f t="shared" si="2"/>
        <v>0</v>
      </c>
      <c r="F26" s="37">
        <f t="shared" si="3"/>
        <v>0.003315833103</v>
      </c>
      <c r="G26" s="65">
        <v>49.0</v>
      </c>
      <c r="H26" s="65">
        <v>79.0</v>
      </c>
      <c r="I26" s="42" t="str">
        <f>HYPERLINK("https://www.jpost.com/Breaking-News/A-ninth-Israeli-dies-of-coronavirus-622589","Source")</f>
        <v>Source</v>
      </c>
      <c r="J26" s="24"/>
      <c r="K26" s="59"/>
      <c r="L26" s="30">
        <v>3619.0</v>
      </c>
      <c r="M26" s="56">
        <v>12.0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30.0" customHeight="1">
      <c r="A27" s="28" t="s">
        <v>84</v>
      </c>
      <c r="B27" s="30">
        <v>3447.0</v>
      </c>
      <c r="C27" s="32">
        <f t="shared" si="1"/>
        <v>0</v>
      </c>
      <c r="D27" s="56">
        <v>102.0</v>
      </c>
      <c r="E27" s="35">
        <f t="shared" si="2"/>
        <v>0</v>
      </c>
      <c r="F27" s="50">
        <f t="shared" si="3"/>
        <v>0.02959094865</v>
      </c>
      <c r="G27" s="65">
        <v>209.0</v>
      </c>
      <c r="H27" s="65" t="s">
        <v>21</v>
      </c>
      <c r="I27" s="42" t="str">
        <f>HYPERLINK("https://experience.arcgis.com/experience/09f821667ce64bf7be6f9f87457ed9aa","Source")</f>
        <v>Source</v>
      </c>
      <c r="J27" s="24"/>
      <c r="K27" s="24"/>
      <c r="L27" s="30">
        <v>3447.0</v>
      </c>
      <c r="M27" s="56">
        <v>102.0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30.0" customHeight="1">
      <c r="A28" s="28" t="s">
        <v>87</v>
      </c>
      <c r="B28" s="30">
        <v>2631.0</v>
      </c>
      <c r="C28" s="32">
        <f t="shared" si="1"/>
        <v>0</v>
      </c>
      <c r="D28" s="56">
        <v>11.0</v>
      </c>
      <c r="E28" s="35">
        <f t="shared" si="2"/>
        <v>0</v>
      </c>
      <c r="F28" s="50">
        <f t="shared" si="3"/>
        <v>0.004180919802</v>
      </c>
      <c r="G28" s="65">
        <v>2.0</v>
      </c>
      <c r="H28" s="65">
        <v>11.0</v>
      </c>
      <c r="I28" s="42" t="str">
        <f>HYPERLINK("https://onemocneni-aktualne.mzcr.cz/covid-19","Source")</f>
        <v>Source</v>
      </c>
      <c r="J28" s="24"/>
      <c r="K28" s="24"/>
      <c r="L28" s="30">
        <v>2631.0</v>
      </c>
      <c r="M28" s="56">
        <v>11.0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30.0" customHeight="1">
      <c r="A29" s="28" t="s">
        <v>89</v>
      </c>
      <c r="B29" s="30">
        <v>2415.0</v>
      </c>
      <c r="C29" s="32">
        <f t="shared" si="1"/>
        <v>0</v>
      </c>
      <c r="D29" s="56">
        <v>36.0</v>
      </c>
      <c r="E29" s="35">
        <f t="shared" si="2"/>
        <v>0</v>
      </c>
      <c r="F29" s="37">
        <f t="shared" si="3"/>
        <v>0.0149068323</v>
      </c>
      <c r="G29" s="65">
        <v>25.0</v>
      </c>
      <c r="H29" s="65" t="s">
        <v>21</v>
      </c>
      <c r="I29" s="42" t="str">
        <f>HYPERLINK("https://www.gov.ie/en/press-release/f87602-statement-from-the-national-public-health-emergency-team-saturday-28/","Source")</f>
        <v>Source</v>
      </c>
      <c r="J29" s="84"/>
      <c r="K29" s="24"/>
      <c r="L29" s="30">
        <v>2415.0</v>
      </c>
      <c r="M29" s="56">
        <v>36.0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30.0" customHeight="1">
      <c r="A30" s="28" t="s">
        <v>94</v>
      </c>
      <c r="B30" s="30">
        <v>2356.0</v>
      </c>
      <c r="C30" s="32">
        <f t="shared" si="1"/>
        <v>0</v>
      </c>
      <c r="D30" s="56">
        <v>52.0</v>
      </c>
      <c r="E30" s="35">
        <f t="shared" si="2"/>
        <v>0</v>
      </c>
      <c r="F30" s="37">
        <f t="shared" si="3"/>
        <v>0.0220713073</v>
      </c>
      <c r="G30" s="65">
        <v>109.0</v>
      </c>
      <c r="H30" s="65">
        <v>3.0</v>
      </c>
      <c r="I30" s="42" t="str">
        <f>HYPERLINK("https://www.sst.dk/da/corona/tal-og-overvaagning","Source")</f>
        <v>Source</v>
      </c>
      <c r="J30" s="24"/>
      <c r="K30" s="24"/>
      <c r="L30" s="30">
        <v>2356.0</v>
      </c>
      <c r="M30" s="56">
        <v>52.0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30.0" customHeight="1">
      <c r="A31" s="28" t="s">
        <v>97</v>
      </c>
      <c r="B31" s="30">
        <v>2320.0</v>
      </c>
      <c r="C31" s="32">
        <f t="shared" si="1"/>
        <v>0</v>
      </c>
      <c r="D31" s="56">
        <v>27.0</v>
      </c>
      <c r="E31" s="35">
        <f t="shared" si="2"/>
        <v>0</v>
      </c>
      <c r="F31" s="50">
        <f t="shared" si="3"/>
        <v>0.01163793103</v>
      </c>
      <c r="G31" s="65">
        <v>73.0</v>
      </c>
      <c r="H31" s="65">
        <v>320.0</v>
      </c>
      <c r="I31" s="42" t="str">
        <f>HYPERLINK("https://twitter.com/KKMPutrajaya/status/1243826167641026560","Source")</f>
        <v>Source</v>
      </c>
      <c r="J31" s="24"/>
      <c r="K31" s="24"/>
      <c r="L31" s="30">
        <v>2320.0</v>
      </c>
      <c r="M31" s="56">
        <v>27.0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30.0" customHeight="1">
      <c r="A32" s="28" t="s">
        <v>100</v>
      </c>
      <c r="B32" s="30">
        <v>1909.0</v>
      </c>
      <c r="C32" s="32">
        <f t="shared" si="1"/>
        <v>0</v>
      </c>
      <c r="D32" s="56">
        <v>6.0</v>
      </c>
      <c r="E32" s="35">
        <f t="shared" si="2"/>
        <v>0</v>
      </c>
      <c r="F32" s="50">
        <f t="shared" si="3"/>
        <v>0.00314300681</v>
      </c>
      <c r="G32" s="65" t="s">
        <v>21</v>
      </c>
      <c r="H32" s="65">
        <v>33.0</v>
      </c>
      <c r="I32" s="42" t="str">
        <f>HYPERLINK("https://www.minsal.cl/nuevo-coronavirus-2019-ncov/casos-confirmados-en-chile-covid-19/","Source")</f>
        <v>Source</v>
      </c>
      <c r="J32" s="24"/>
      <c r="K32" s="24"/>
      <c r="L32" s="30">
        <v>1909.0</v>
      </c>
      <c r="M32" s="56">
        <v>6.0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30.0" customHeight="1">
      <c r="A33" s="28" t="s">
        <v>103</v>
      </c>
      <c r="B33" s="30">
        <v>1831.0</v>
      </c>
      <c r="C33" s="32">
        <f t="shared" si="1"/>
        <v>0</v>
      </c>
      <c r="D33" s="56">
        <v>18.0</v>
      </c>
      <c r="E33" s="35">
        <f t="shared" si="2"/>
        <v>0</v>
      </c>
      <c r="F33" s="37">
        <f t="shared" si="3"/>
        <v>0.00983069361</v>
      </c>
      <c r="G33" s="65" t="s">
        <v>21</v>
      </c>
      <c r="H33" s="65" t="s">
        <v>21</v>
      </c>
      <c r="I33" s="86" t="str">
        <f>HYPERLINK("https://gouvernement.lu/fr/dossiers.gouv_msan+fr+dossiers+2020+corona-virus.html","Source")</f>
        <v>Source</v>
      </c>
      <c r="J33" s="24"/>
      <c r="K33" s="24"/>
      <c r="L33" s="30">
        <v>1831.0</v>
      </c>
      <c r="M33" s="56">
        <v>18.0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30.0" customHeight="1">
      <c r="A34" s="28" t="s">
        <v>106</v>
      </c>
      <c r="B34" s="30">
        <v>1823.0</v>
      </c>
      <c r="C34" s="32">
        <f t="shared" si="1"/>
        <v>0</v>
      </c>
      <c r="D34" s="56">
        <v>48.0</v>
      </c>
      <c r="E34" s="35">
        <f t="shared" si="2"/>
        <v>0</v>
      </c>
      <c r="F34" s="37">
        <f t="shared" si="3"/>
        <v>0.0263302249</v>
      </c>
      <c r="G34" s="65">
        <v>41.0</v>
      </c>
      <c r="H34" s="65">
        <v>3.0</v>
      </c>
      <c r="I34" s="42" t="str">
        <f>HYPERLINK("https://twitter.com/Salud_Ec/status/1243934449638793216","Source")</f>
        <v>Source</v>
      </c>
      <c r="J34" s="24"/>
      <c r="K34" s="24"/>
      <c r="L34" s="30">
        <v>1823.0</v>
      </c>
      <c r="M34" s="56">
        <v>48.0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30.0" customHeight="1">
      <c r="A35" s="28" t="s">
        <v>110</v>
      </c>
      <c r="B35" s="30">
        <v>1724.0</v>
      </c>
      <c r="C35" s="32">
        <f t="shared" si="1"/>
        <v>72</v>
      </c>
      <c r="D35" s="56">
        <v>55.0</v>
      </c>
      <c r="E35" s="35">
        <f t="shared" si="2"/>
        <v>2</v>
      </c>
      <c r="F35" s="50">
        <f t="shared" si="3"/>
        <v>0.0319025522</v>
      </c>
      <c r="G35" s="65">
        <v>56.0</v>
      </c>
      <c r="H35" s="65">
        <v>359.0</v>
      </c>
      <c r="I35" s="42" t="str">
        <f>HYPERLINK("https://www3.nhk.or.jp/news/html/20200328/k10012355251000.html?utm_int=word_contents_list-items_033&amp;word_result=%E6%96%B0%E5%9E%8B%E3%82%B3%E3%83%AD%E3%83%8A%E3%82%A6%E3%82%A4%E3%83%AB%E3%82%B9","Source")</f>
        <v>Source</v>
      </c>
      <c r="J35" s="84"/>
      <c r="K35" s="24"/>
      <c r="L35" s="30">
        <v>1652.0</v>
      </c>
      <c r="M35" s="56">
        <v>53.0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27.75" customHeight="1">
      <c r="A36" s="28" t="s">
        <v>113</v>
      </c>
      <c r="B36" s="30">
        <v>1638.0</v>
      </c>
      <c r="C36" s="32">
        <f t="shared" si="1"/>
        <v>0</v>
      </c>
      <c r="D36" s="56">
        <v>18.0</v>
      </c>
      <c r="E36" s="35">
        <f t="shared" si="2"/>
        <v>0</v>
      </c>
      <c r="F36" s="50">
        <f t="shared" si="3"/>
        <v>0.01098901099</v>
      </c>
      <c r="G36" s="65">
        <v>2.0</v>
      </c>
      <c r="H36" s="65">
        <v>0.0</v>
      </c>
      <c r="I36" s="42" t="str">
        <f>HYPERLINK("https://twitter.com/MZ_GOV_PL/status/1243976703241859074","Source")</f>
        <v>Source</v>
      </c>
      <c r="J36" s="24"/>
      <c r="K36" s="24"/>
      <c r="L36" s="30">
        <v>1638.0</v>
      </c>
      <c r="M36" s="56">
        <v>18.0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30.0" customHeight="1">
      <c r="A37" s="28" t="s">
        <v>117</v>
      </c>
      <c r="B37" s="30">
        <v>1500.0</v>
      </c>
      <c r="C37" s="32">
        <f t="shared" si="1"/>
        <v>0</v>
      </c>
      <c r="D37" s="56">
        <v>12.0</v>
      </c>
      <c r="E37" s="35">
        <f t="shared" si="2"/>
        <v>0</v>
      </c>
      <c r="F37" s="37">
        <f t="shared" si="3"/>
        <v>0.008</v>
      </c>
      <c r="G37" s="65" t="s">
        <v>21</v>
      </c>
      <c r="H37" s="65">
        <v>26.0</v>
      </c>
      <c r="I37" s="42" t="str">
        <f>HYPERLINK("https://www.dawn.com/live-blog/","Source")</f>
        <v>Source</v>
      </c>
      <c r="J37" s="24"/>
      <c r="K37" s="24"/>
      <c r="L37" s="30">
        <v>1500.0</v>
      </c>
      <c r="M37" s="56">
        <v>12.0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30.0" customHeight="1">
      <c r="A38" s="28" t="s">
        <v>120</v>
      </c>
      <c r="B38" s="30">
        <v>1452.0</v>
      </c>
      <c r="C38" s="32">
        <f t="shared" si="1"/>
        <v>0</v>
      </c>
      <c r="D38" s="56">
        <v>34.0</v>
      </c>
      <c r="E38" s="35">
        <f t="shared" si="2"/>
        <v>0</v>
      </c>
      <c r="F38" s="37">
        <f t="shared" si="3"/>
        <v>0.02341597796</v>
      </c>
      <c r="G38" s="65">
        <v>25.0</v>
      </c>
      <c r="H38" s="65">
        <v>139.0</v>
      </c>
      <c r="I38" s="42" t="str">
        <f>HYPERLINK("http://www.ms.ro/2020/03/28/inca-4-decese-ale-unor-persoane-infectate-cu-noul-coronavirus/","Source")</f>
        <v>Source</v>
      </c>
      <c r="J38" s="24"/>
      <c r="K38" s="24"/>
      <c r="L38" s="30">
        <v>1452.0</v>
      </c>
      <c r="M38" s="56">
        <v>34.0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30.0" customHeight="1">
      <c r="A39" s="28" t="s">
        <v>122</v>
      </c>
      <c r="B39" s="30">
        <v>1264.0</v>
      </c>
      <c r="C39" s="32">
        <f t="shared" si="1"/>
        <v>0</v>
      </c>
      <c r="D39" s="56">
        <v>7.0</v>
      </c>
      <c r="E39" s="35">
        <f t="shared" si="2"/>
        <v>0</v>
      </c>
      <c r="F39" s="37">
        <f t="shared" si="3"/>
        <v>0.005537974684</v>
      </c>
      <c r="G39" s="65" t="s">
        <v>21</v>
      </c>
      <c r="H39" s="65">
        <v>49.0</v>
      </c>
      <c r="I39" s="42" t="str">
        <f>HYPERLINK("https://www.interfax.ru/moscow/701384","Source")</f>
        <v>Source</v>
      </c>
      <c r="J39" s="24"/>
      <c r="K39" s="24"/>
      <c r="L39" s="30">
        <v>1264.0</v>
      </c>
      <c r="M39" s="56">
        <v>7.0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30.0" customHeight="1">
      <c r="A40" s="28" t="s">
        <v>125</v>
      </c>
      <c r="B40" s="30">
        <v>1245.0</v>
      </c>
      <c r="C40" s="32">
        <f t="shared" si="1"/>
        <v>0</v>
      </c>
      <c r="D40" s="56">
        <v>6.0</v>
      </c>
      <c r="E40" s="35">
        <f t="shared" si="2"/>
        <v>0</v>
      </c>
      <c r="F40" s="50">
        <f t="shared" si="3"/>
        <v>0.004819277108</v>
      </c>
      <c r="G40" s="65">
        <v>12.0</v>
      </c>
      <c r="H40" s="65">
        <v>97.0</v>
      </c>
      <c r="I40" s="42" t="str">
        <f>HYPERLINK("https://news.trust.org/item/20200327032532-ibzwu","Source")</f>
        <v>Source</v>
      </c>
      <c r="J40" s="24"/>
      <c r="K40" s="24"/>
      <c r="L40" s="30">
        <v>1245.0</v>
      </c>
      <c r="M40" s="56">
        <v>6.0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30.0" customHeight="1">
      <c r="A41" s="28" t="s">
        <v>128</v>
      </c>
      <c r="B41" s="30">
        <v>1203.0</v>
      </c>
      <c r="C41" s="32">
        <f t="shared" si="1"/>
        <v>0</v>
      </c>
      <c r="D41" s="56">
        <v>4.0</v>
      </c>
      <c r="E41" s="35">
        <f t="shared" si="2"/>
        <v>0</v>
      </c>
      <c r="F41" s="37">
        <f t="shared" si="3"/>
        <v>0.003325020781</v>
      </c>
      <c r="G41" s="65" t="s">
        <v>21</v>
      </c>
      <c r="H41" s="65">
        <v>37.0</v>
      </c>
      <c r="I41" s="42" t="str">
        <f>HYPERLINK("https://twitter.com/SPAregions/status/1243879955320143874","Source")</f>
        <v>Source</v>
      </c>
      <c r="J41" s="24"/>
      <c r="K41" s="24"/>
      <c r="L41" s="30">
        <v>1203.0</v>
      </c>
      <c r="M41" s="56">
        <v>4.0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27.75" customHeight="1">
      <c r="A42" s="28" t="s">
        <v>131</v>
      </c>
      <c r="B42" s="30">
        <v>1187.0</v>
      </c>
      <c r="C42" s="32">
        <f t="shared" si="1"/>
        <v>0</v>
      </c>
      <c r="D42" s="56">
        <v>1.0</v>
      </c>
      <c r="E42" s="35">
        <f t="shared" si="2"/>
        <v>0</v>
      </c>
      <c r="F42" s="50">
        <f t="shared" si="3"/>
        <v>0.0008424599832</v>
      </c>
      <c r="G42" s="65">
        <v>4.0</v>
      </c>
      <c r="H42" s="65">
        <v>31.0</v>
      </c>
      <c r="I42" s="42" t="str">
        <f>HYPERLINK("https://sacoronavirus.co.za/","Source")</f>
        <v>Source</v>
      </c>
      <c r="J42" s="24"/>
      <c r="K42" s="24"/>
      <c r="L42" s="30">
        <v>1187.0</v>
      </c>
      <c r="M42" s="56">
        <v>1.0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30.0" customHeight="1">
      <c r="A43" s="28" t="s">
        <v>133</v>
      </c>
      <c r="B43" s="30">
        <v>1163.0</v>
      </c>
      <c r="C43" s="32">
        <f t="shared" si="1"/>
        <v>0</v>
      </c>
      <c r="D43" s="56">
        <v>7.0</v>
      </c>
      <c r="E43" s="35">
        <f t="shared" si="2"/>
        <v>0</v>
      </c>
      <c r="F43" s="37">
        <f t="shared" si="3"/>
        <v>0.006018916595</v>
      </c>
      <c r="G43" s="65">
        <v>22.0</v>
      </c>
      <c r="H43" s="65">
        <v>10.0</v>
      </c>
      <c r="I43" s="42" t="str">
        <f>HYPERLINK("https://experience.arcgis.com/experience/d40b2aaf08be4b9c8ec38de30b714f26","Source")</f>
        <v>Source</v>
      </c>
      <c r="J43" s="24"/>
      <c r="K43" s="24"/>
      <c r="L43" s="30">
        <v>1163.0</v>
      </c>
      <c r="M43" s="56">
        <v>7.0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30.0" customHeight="1">
      <c r="A44" s="28" t="s">
        <v>136</v>
      </c>
      <c r="B44" s="30">
        <v>1155.0</v>
      </c>
      <c r="C44" s="32">
        <f t="shared" si="1"/>
        <v>0</v>
      </c>
      <c r="D44" s="56">
        <v>102.0</v>
      </c>
      <c r="E44" s="35">
        <f t="shared" si="2"/>
        <v>0</v>
      </c>
      <c r="F44" s="50">
        <f t="shared" si="3"/>
        <v>0.08831168831</v>
      </c>
      <c r="G44" s="65" t="s">
        <v>21</v>
      </c>
      <c r="H44" s="65">
        <v>59.0</v>
      </c>
      <c r="I44" s="42" t="str">
        <f>HYPERLINK("https://news.trust.org/item/20200328082438-pccfm","Source")</f>
        <v>Source</v>
      </c>
      <c r="J44" s="24"/>
      <c r="K44" s="24"/>
      <c r="L44" s="30">
        <v>1155.0</v>
      </c>
      <c r="M44" s="56">
        <v>102.0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30.0" customHeight="1">
      <c r="A45" s="28" t="s">
        <v>140</v>
      </c>
      <c r="B45" s="30">
        <v>1075.0</v>
      </c>
      <c r="C45" s="32">
        <f t="shared" si="1"/>
        <v>0</v>
      </c>
      <c r="D45" s="56">
        <v>68.0</v>
      </c>
      <c r="E45" s="35">
        <f t="shared" si="2"/>
        <v>0</v>
      </c>
      <c r="F45" s="37">
        <f t="shared" si="3"/>
        <v>0.06325581395</v>
      </c>
      <c r="G45" s="65">
        <v>1.0</v>
      </c>
      <c r="H45" s="65">
        <v>35.0</v>
      </c>
      <c r="I45" s="86" t="str">
        <f>HYPERLINK("https://twitter.com/gmanews/status/1243830828787875841","Source")</f>
        <v>Source</v>
      </c>
      <c r="J45" s="24"/>
      <c r="K45" s="24"/>
      <c r="L45" s="30">
        <v>1075.0</v>
      </c>
      <c r="M45" s="56">
        <v>68.0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30.0" customHeight="1">
      <c r="A46" s="28" t="s">
        <v>143</v>
      </c>
      <c r="B46" s="30">
        <v>1061.0</v>
      </c>
      <c r="C46" s="32">
        <f t="shared" si="1"/>
        <v>0</v>
      </c>
      <c r="D46" s="56">
        <v>32.0</v>
      </c>
      <c r="E46" s="35">
        <f t="shared" si="2"/>
        <v>0</v>
      </c>
      <c r="F46" s="50">
        <f t="shared" si="3"/>
        <v>0.0301602262</v>
      </c>
      <c r="G46" s="65">
        <v>69.0</v>
      </c>
      <c r="H46" s="65">
        <v>52.0</v>
      </c>
      <c r="I46" s="42" t="str">
        <f>HYPERLINK("https://www.tanea.gr/2020/03/28/greece/koronoios-95-nea-krousmata-sta-1-061-ta-synolika/","Source")</f>
        <v>Source</v>
      </c>
      <c r="J46" s="24"/>
      <c r="K46" s="24"/>
      <c r="L46" s="30">
        <v>1061.0</v>
      </c>
      <c r="M46" s="56">
        <v>32.0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30.0" customHeight="1">
      <c r="A47" s="28" t="s">
        <v>148</v>
      </c>
      <c r="B47" s="56">
        <v>963.0</v>
      </c>
      <c r="C47" s="32">
        <f t="shared" si="1"/>
        <v>0</v>
      </c>
      <c r="D47" s="56">
        <v>2.0</v>
      </c>
      <c r="E47" s="35">
        <f t="shared" si="2"/>
        <v>0</v>
      </c>
      <c r="F47" s="37">
        <f t="shared" si="3"/>
        <v>0.002076843198</v>
      </c>
      <c r="G47" s="65">
        <v>6.0</v>
      </c>
      <c r="H47" s="65">
        <v>97.0</v>
      </c>
      <c r="I47" s="42" t="str">
        <f>HYPERLINK("https://www.covid.is/tolulegar-upplysingar","Source")</f>
        <v>Source</v>
      </c>
      <c r="J47" s="95"/>
      <c r="K47" s="24"/>
      <c r="L47" s="56">
        <v>963.0</v>
      </c>
      <c r="M47" s="56">
        <v>2.0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30.0" customHeight="1">
      <c r="A48" s="28" t="s">
        <v>151</v>
      </c>
      <c r="B48" s="56">
        <v>918.0</v>
      </c>
      <c r="C48" s="32">
        <f t="shared" si="1"/>
        <v>0</v>
      </c>
      <c r="D48" s="56">
        <v>19.0</v>
      </c>
      <c r="E48" s="35">
        <f t="shared" si="2"/>
        <v>0</v>
      </c>
      <c r="F48" s="50">
        <f t="shared" si="3"/>
        <v>0.02069716776</v>
      </c>
      <c r="G48" s="65" t="s">
        <v>21</v>
      </c>
      <c r="H48" s="65">
        <v>80.0</v>
      </c>
      <c r="I48" s="42" t="str">
        <f>HYPERLINK("https://twitter.com/WIONews/status/1243901343795830784","Source")</f>
        <v>Source</v>
      </c>
      <c r="J48" s="24"/>
      <c r="K48" s="24"/>
      <c r="L48" s="56">
        <v>918.0</v>
      </c>
      <c r="M48" s="56">
        <v>19.0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27.75" customHeight="1">
      <c r="A49" s="28" t="s">
        <v>153</v>
      </c>
      <c r="B49" s="56">
        <v>901.0</v>
      </c>
      <c r="C49" s="32">
        <f t="shared" si="1"/>
        <v>115</v>
      </c>
      <c r="D49" s="56">
        <v>17.0</v>
      </c>
      <c r="E49" s="35">
        <f t="shared" si="2"/>
        <v>3</v>
      </c>
      <c r="F49" s="50">
        <f t="shared" si="3"/>
        <v>0.01886792453</v>
      </c>
      <c r="G49" s="65" t="s">
        <v>21</v>
      </c>
      <c r="H49" s="65">
        <v>4.0</v>
      </c>
      <c r="I49" s="86" t="str">
        <f>HYPERLINK("https://geosocial.maps.arcgis.com/apps/opsdashboard/index.html#/2c6e932c690d467b85375af52b614472","Source")</f>
        <v>Source</v>
      </c>
      <c r="J49" s="104"/>
      <c r="K49" s="24"/>
      <c r="L49" s="56">
        <v>786.0</v>
      </c>
      <c r="M49" s="56">
        <v>14.0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30.0" customHeight="1">
      <c r="A50" s="28" t="s">
        <v>154</v>
      </c>
      <c r="B50" s="56">
        <v>848.0</v>
      </c>
      <c r="C50" s="32">
        <f t="shared" si="1"/>
        <v>131</v>
      </c>
      <c r="D50" s="56">
        <v>16.0</v>
      </c>
      <c r="E50" s="35">
        <f t="shared" si="2"/>
        <v>4</v>
      </c>
      <c r="F50" s="37">
        <f t="shared" si="3"/>
        <v>0.01886792453</v>
      </c>
      <c r="G50" s="65">
        <v>17.0</v>
      </c>
      <c r="H50" s="65">
        <v>23.0</v>
      </c>
      <c r="I50" s="86" t="str">
        <f>HYPERLINK("https://twitter.com/CiroGomezL/status/1244073344179322881","Source")</f>
        <v>Source</v>
      </c>
      <c r="J50" s="24"/>
      <c r="K50" s="24"/>
      <c r="L50" s="56">
        <v>717.0</v>
      </c>
      <c r="M50" s="56">
        <v>12.0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30.0" customHeight="1">
      <c r="A51" s="28" t="s">
        <v>156</v>
      </c>
      <c r="B51" s="56">
        <v>802.0</v>
      </c>
      <c r="C51" s="32">
        <f t="shared" si="1"/>
        <v>0</v>
      </c>
      <c r="D51" s="56">
        <v>2.0</v>
      </c>
      <c r="E51" s="35">
        <f t="shared" si="2"/>
        <v>0</v>
      </c>
      <c r="F51" s="37">
        <f t="shared" si="3"/>
        <v>0.002493765586</v>
      </c>
      <c r="G51" s="65">
        <v>19.0</v>
      </c>
      <c r="H51" s="65">
        <v>198.0</v>
      </c>
      <c r="I51" s="42" t="str">
        <f>HYPERLINK("https://www.moh.gov.sg/news-highlights/details/15-more-cases-discharged-70-new-cases-of-covid-19-infection-confirmed","Source")</f>
        <v>Source</v>
      </c>
      <c r="J51" s="24"/>
      <c r="K51" s="24"/>
      <c r="L51" s="56">
        <v>802.0</v>
      </c>
      <c r="M51" s="56">
        <v>2.0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27.75" customHeight="1">
      <c r="A52" s="28" t="s">
        <v>158</v>
      </c>
      <c r="B52" s="56">
        <v>745.0</v>
      </c>
      <c r="C52" s="32">
        <f t="shared" si="1"/>
        <v>55</v>
      </c>
      <c r="D52" s="56">
        <v>19.0</v>
      </c>
      <c r="E52" s="35">
        <f t="shared" si="2"/>
        <v>2</v>
      </c>
      <c r="F52" s="37">
        <f t="shared" si="3"/>
        <v>0.0255033557</v>
      </c>
      <c r="G52" s="65" t="s">
        <v>21</v>
      </c>
      <c r="H52" s="65">
        <v>63.0</v>
      </c>
      <c r="I52" s="86" t="str">
        <f>HYPERLINK("https://www.clarin.com/sociedad/coronavirus-argentina-murieron-personas-12-fallecidos-pais_0_U6WhpFFxw.html","Source")</f>
        <v>Source</v>
      </c>
      <c r="J52" s="104"/>
      <c r="K52" s="24"/>
      <c r="L52" s="56">
        <v>690.0</v>
      </c>
      <c r="M52" s="56">
        <v>17.0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30.0" customHeight="1">
      <c r="A53" s="28" t="s">
        <v>160</v>
      </c>
      <c r="B53" s="56">
        <v>719.0</v>
      </c>
      <c r="C53" s="32">
        <f t="shared" si="1"/>
        <v>0</v>
      </c>
      <c r="D53" s="56">
        <v>28.0</v>
      </c>
      <c r="E53" s="35">
        <f t="shared" si="2"/>
        <v>0</v>
      </c>
      <c r="F53" s="50">
        <f t="shared" si="3"/>
        <v>0.03894297636</v>
      </c>
      <c r="G53" s="65" t="s">
        <v>21</v>
      </c>
      <c r="H53" s="65">
        <v>3.0</v>
      </c>
      <c r="I53" s="42" t="str">
        <f>HYPERLINK("https://listindiario.com/","Source")</f>
        <v>Source</v>
      </c>
      <c r="J53" s="44"/>
      <c r="K53" s="24"/>
      <c r="L53" s="56">
        <v>719.0</v>
      </c>
      <c r="M53" s="56">
        <v>28.0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30.0" customHeight="1">
      <c r="A54" s="28" t="s">
        <v>162</v>
      </c>
      <c r="B54" s="56">
        <v>712.0</v>
      </c>
      <c r="C54" s="32">
        <f t="shared" si="1"/>
        <v>0</v>
      </c>
      <c r="D54" s="56">
        <v>10.0</v>
      </c>
      <c r="E54" s="35">
        <f t="shared" si="2"/>
        <v>0</v>
      </c>
      <c r="F54" s="50">
        <f t="shared" si="3"/>
        <v>0.01404494382</v>
      </c>
      <c r="G54" s="65">
        <v>9.0</v>
      </c>
      <c r="H54" s="65">
        <v>601.0</v>
      </c>
      <c r="I54" s="42" t="str">
        <f>HYPERLINK("https://www3.nhk.or.jp/news/html/20200325/k10012348851000.html?utm_int=word_contents_list-items_005&amp;word_result=%E6%96%B0%E5%9E%8B%E3%82%B3%E3%83%AD%E3%83%8A%E3%82%A6%E3%82%A4%E3%83%AB%E3%82%B9","Source")</f>
        <v>Source</v>
      </c>
      <c r="J54" s="24"/>
      <c r="K54" s="24"/>
      <c r="L54" s="56">
        <v>712.0</v>
      </c>
      <c r="M54" s="56">
        <v>10.0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27.75" customHeight="1">
      <c r="A55" s="28" t="s">
        <v>164</v>
      </c>
      <c r="B55" s="56">
        <v>684.0</v>
      </c>
      <c r="C55" s="32">
        <f t="shared" si="1"/>
        <v>0</v>
      </c>
      <c r="D55" s="56">
        <v>9.0</v>
      </c>
      <c r="E55" s="35">
        <f t="shared" si="2"/>
        <v>0</v>
      </c>
      <c r="F55" s="50">
        <f t="shared" si="3"/>
        <v>0.01315789474</v>
      </c>
      <c r="G55" s="65">
        <v>25.0</v>
      </c>
      <c r="H55" s="65">
        <v>0.0</v>
      </c>
      <c r="I55" s="42" t="str">
        <f>HYPERLINK("https://www.rtvslo.si/zdravje/novi-koronavirus/stevilo-okuzenih-se-je-povecalo-za-52-na-684-v-vladi-ni-okuzen-nihce/518704","Source")</f>
        <v>Source</v>
      </c>
      <c r="J55" s="24"/>
      <c r="K55" s="24"/>
      <c r="L55" s="56">
        <v>684.0</v>
      </c>
      <c r="M55" s="56">
        <v>9.0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30.0" customHeight="1">
      <c r="A56" s="28" t="s">
        <v>167</v>
      </c>
      <c r="B56" s="56">
        <v>671.0</v>
      </c>
      <c r="C56" s="32">
        <f t="shared" si="1"/>
        <v>0</v>
      </c>
      <c r="D56" s="56">
        <v>16.0</v>
      </c>
      <c r="E56" s="35">
        <f t="shared" si="2"/>
        <v>0</v>
      </c>
      <c r="F56" s="50">
        <f t="shared" si="3"/>
        <v>0.02384500745</v>
      </c>
      <c r="G56" s="65">
        <v>9.0</v>
      </c>
      <c r="H56" s="65">
        <v>16.0</v>
      </c>
      <c r="I56" s="86" t="str">
        <f>HYPERLINK("https://twitter.com/Minsa_Peru/status/1243604762978705409","Source")</f>
        <v>Source</v>
      </c>
      <c r="J56" s="24"/>
      <c r="K56" s="24"/>
      <c r="L56" s="56">
        <v>671.0</v>
      </c>
      <c r="M56" s="56">
        <v>16.0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27.75" customHeight="1">
      <c r="A57" s="28" t="s">
        <v>170</v>
      </c>
      <c r="B57" s="56">
        <v>659.0</v>
      </c>
      <c r="C57" s="32">
        <f t="shared" si="1"/>
        <v>0</v>
      </c>
      <c r="D57" s="56">
        <v>10.0</v>
      </c>
      <c r="E57" s="35">
        <f t="shared" si="2"/>
        <v>0</v>
      </c>
      <c r="F57" s="37">
        <f t="shared" si="3"/>
        <v>0.01517450683</v>
      </c>
      <c r="G57" s="65">
        <v>49.0</v>
      </c>
      <c r="H57" s="65" t="s">
        <v>21</v>
      </c>
      <c r="I57" s="42" t="str">
        <f>HYPERLINK("https://covid19.rs/homepage-english/","Source")</f>
        <v>Source</v>
      </c>
      <c r="J57" s="24"/>
      <c r="K57" s="24"/>
      <c r="L57" s="56">
        <v>659.0</v>
      </c>
      <c r="M57" s="56">
        <v>10.0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30.0" customHeight="1">
      <c r="A58" s="28" t="s">
        <v>171</v>
      </c>
      <c r="B58" s="56">
        <v>640.0</v>
      </c>
      <c r="C58" s="32">
        <f t="shared" si="1"/>
        <v>0</v>
      </c>
      <c r="D58" s="56">
        <v>1.0</v>
      </c>
      <c r="E58" s="35">
        <f t="shared" si="2"/>
        <v>0</v>
      </c>
      <c r="F58" s="37">
        <f t="shared" si="3"/>
        <v>0.0015625</v>
      </c>
      <c r="G58" s="65">
        <v>10.0</v>
      </c>
      <c r="H58" s="65">
        <v>20.0</v>
      </c>
      <c r="I58" s="86" t="str">
        <f>HYPERLINK("https://www.terviseamet.ee/et/uuskoroonaviirus","Source")</f>
        <v>Source</v>
      </c>
      <c r="J58" s="24"/>
      <c r="K58" s="24"/>
      <c r="L58" s="56">
        <v>640.0</v>
      </c>
      <c r="M58" s="56">
        <v>1.0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30.0" customHeight="1">
      <c r="A59" s="28" t="s">
        <v>176</v>
      </c>
      <c r="B59" s="56">
        <v>657.0</v>
      </c>
      <c r="C59" s="32">
        <f t="shared" si="1"/>
        <v>0</v>
      </c>
      <c r="D59" s="56">
        <v>5.0</v>
      </c>
      <c r="E59" s="35">
        <f t="shared" si="2"/>
        <v>0</v>
      </c>
      <c r="F59" s="37">
        <f t="shared" si="3"/>
        <v>0.007610350076</v>
      </c>
      <c r="G59" s="65">
        <v>6.0</v>
      </c>
      <c r="H59" s="65">
        <v>49.0</v>
      </c>
      <c r="I59" s="42" t="str">
        <f>HYPERLINK("https://www.koronavirus.hr/","Source")</f>
        <v>Source</v>
      </c>
      <c r="J59" s="84"/>
      <c r="K59" s="24"/>
      <c r="L59" s="56">
        <v>657.0</v>
      </c>
      <c r="M59" s="56">
        <v>5.0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27.75" customHeight="1">
      <c r="A60" s="28" t="s">
        <v>183</v>
      </c>
      <c r="B60" s="56">
        <v>608.0</v>
      </c>
      <c r="C60" s="32">
        <f t="shared" si="1"/>
        <v>0</v>
      </c>
      <c r="D60" s="56">
        <v>6.0</v>
      </c>
      <c r="E60" s="35">
        <f t="shared" si="2"/>
        <v>0</v>
      </c>
      <c r="F60" s="37">
        <f t="shared" si="3"/>
        <v>0.009868421053</v>
      </c>
      <c r="G60" s="65" t="s">
        <v>21</v>
      </c>
      <c r="H60" s="65">
        <v>8.0</v>
      </c>
      <c r="I60" s="86" t="str">
        <f>HYPERLINK("https://coronaviruscolombia.gov.co/Covid19/index.html","Source")</f>
        <v>Source</v>
      </c>
      <c r="J60" s="24"/>
      <c r="K60" s="24"/>
      <c r="L60" s="56">
        <v>608.0</v>
      </c>
      <c r="M60" s="56">
        <v>6.0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30.0" customHeight="1">
      <c r="A61" s="28" t="s">
        <v>189</v>
      </c>
      <c r="B61" s="56">
        <v>590.0</v>
      </c>
      <c r="C61" s="32">
        <f t="shared" si="1"/>
        <v>0</v>
      </c>
      <c r="D61" s="56">
        <v>1.0</v>
      </c>
      <c r="E61" s="35">
        <f t="shared" si="2"/>
        <v>0</v>
      </c>
      <c r="F61" s="37">
        <f t="shared" si="3"/>
        <v>0.001694915254</v>
      </c>
      <c r="G61" s="65" t="s">
        <v>21</v>
      </c>
      <c r="H61" s="65">
        <v>45.0</v>
      </c>
      <c r="I61" s="42" t="str">
        <f>HYPERLINK("https://twitter.com/MOPHQatar/status/1243938513462181888","Source")</f>
        <v>Source</v>
      </c>
      <c r="J61" s="24"/>
      <c r="K61" s="24"/>
      <c r="L61" s="56">
        <v>590.0</v>
      </c>
      <c r="M61" s="56">
        <v>1.0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30.0" customHeight="1">
      <c r="A62" s="28" t="s">
        <v>197</v>
      </c>
      <c r="B62" s="56">
        <v>583.0</v>
      </c>
      <c r="C62" s="32">
        <f t="shared" si="1"/>
        <v>0</v>
      </c>
      <c r="D62" s="56">
        <v>4.0</v>
      </c>
      <c r="E62" s="35">
        <f t="shared" si="2"/>
        <v>0</v>
      </c>
      <c r="F62" s="50">
        <f t="shared" si="3"/>
        <v>0.006861063465</v>
      </c>
      <c r="G62" s="65" t="s">
        <v>21</v>
      </c>
      <c r="H62" s="65">
        <v>112.0</v>
      </c>
      <c r="I62" s="86" t="str">
        <f>HYPERLINK("https://chp-dashboard.geodata.gov.hk/covid-19/en.html","Source")</f>
        <v>Source</v>
      </c>
      <c r="J62" s="24"/>
      <c r="K62" s="24"/>
      <c r="L62" s="56">
        <v>583.0</v>
      </c>
      <c r="M62" s="56">
        <v>4.0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30.0" customHeight="1">
      <c r="A63" s="28" t="s">
        <v>198</v>
      </c>
      <c r="B63" s="56">
        <v>576.0</v>
      </c>
      <c r="C63" s="32">
        <f t="shared" si="1"/>
        <v>0</v>
      </c>
      <c r="D63" s="56">
        <v>36.0</v>
      </c>
      <c r="E63" s="35">
        <f t="shared" si="2"/>
        <v>0</v>
      </c>
      <c r="F63" s="50">
        <f t="shared" si="3"/>
        <v>0.0625</v>
      </c>
      <c r="G63" s="65" t="s">
        <v>21</v>
      </c>
      <c r="H63" s="65">
        <v>121.0</v>
      </c>
      <c r="I63" s="86" t="str">
        <f>HYPERLINK("https://www.facebook.com/EgyMohpSpokes/photos/a.353628178307691/1134226366914531/?type=3&amp;__xts__%5B0%5D=68.ARBN5KsRt2f73ICDmB7UQ97wzzjEESKQn_RLpqGUTwpc0hWBgo67tWKQlknV5sGNrIwwzXFp5MLElFT5oM9qGrsEW_jfEevN1DVHZ894mJLUOxnu5bTMadydCawERDmFVChBXWQCAYjDRyMB4rEX"&amp;"2Thdj6OWHioKxKI6lMMOyLsjGqfzVfjjwf-UtZkScPhtPAcFerBuUULAAr3RljdIiHhO-zVNpGENIM-lOV9k1oRjsSwfYZ9PIbOfTt2qZbAUGr2U0KWEE82WG5Mau8uXGJwvpNS0OemKqU-1xgpvxNV0r6Cr_PrEm9v2GaE-pbIig3VglK-UaMzjXKYanWnjYAvqow&amp;__tn__=-R","Source")</f>
        <v>Source</v>
      </c>
      <c r="J63" s="24"/>
      <c r="K63" s="24"/>
      <c r="L63" s="56">
        <v>576.0</v>
      </c>
      <c r="M63" s="56">
        <v>36.0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30.0" customHeight="1">
      <c r="A64" s="28" t="s">
        <v>199</v>
      </c>
      <c r="B64" s="56">
        <v>514.0</v>
      </c>
      <c r="C64" s="32">
        <f t="shared" si="1"/>
        <v>63</v>
      </c>
      <c r="D64" s="56">
        <v>1.0</v>
      </c>
      <c r="E64" s="35">
        <f t="shared" si="2"/>
        <v>1</v>
      </c>
      <c r="F64" s="37">
        <f t="shared" si="3"/>
        <v>0.001945525292</v>
      </c>
      <c r="G64" s="65">
        <v>1.0</v>
      </c>
      <c r="H64" s="65">
        <v>56.0</v>
      </c>
      <c r="I64" s="42" t="str">
        <f>HYPERLINK("https://www.health.govt.nz/news-media/media-releases/sadly-first-death-covid-19-new-zealand","Source")</f>
        <v>Source</v>
      </c>
      <c r="J64" s="24"/>
      <c r="K64" s="24"/>
      <c r="L64" s="56">
        <v>451.0</v>
      </c>
      <c r="M64" s="56">
        <v>0.0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30.0" customHeight="1">
      <c r="A65" s="28" t="s">
        <v>200</v>
      </c>
      <c r="B65" s="56">
        <v>506.0</v>
      </c>
      <c r="C65" s="32">
        <f t="shared" si="1"/>
        <v>0</v>
      </c>
      <c r="D65" s="56">
        <v>42.0</v>
      </c>
      <c r="E65" s="35">
        <f t="shared" si="2"/>
        <v>0</v>
      </c>
      <c r="F65" s="50">
        <f t="shared" si="3"/>
        <v>0.08300395257</v>
      </c>
      <c r="G65" s="65" t="s">
        <v>21</v>
      </c>
      <c r="H65" s="65">
        <v>131.0</v>
      </c>
      <c r="I65" s="42" t="str">
        <f>HYPERLINK("https://www.facebook.com/MOH.GOV.IQ/photos/a.860171854037214/2832687596785620/?type=3&amp;__xts__%5B0%5D=68.ARA6G34w9b-QnwKeRBkU884fPWkrLSu79DiheDSNd3lXvqg18FRR39bsY4lPEEZCsEMd6m97FehRbfOFTe1SpbH-_4uvTl6p-ZsFihcl5736M1VPM59WEkuhrOzY3LtBPQ-5ExbkHJ_qxNMl1RJvqci"&amp;"fstcpEmrvMT5mmS6Db6Fhzoc3sSmHAYkKh4mt3z5FQeMXqkLB_Iv5NK3dEqQa38He4o9eGhxHPxVxhsQCl6R_kxrPp4uCF_uCxio58Y9bJ7kG_vaMAwtMosPSO1qBWJ1gxyZkk4RGAIfnngrktdLazw63BJw20V49saAbwRiSnd6_c0bgfyBuxrGjJI9atZrwaQ&amp;__tn__=-R","Source")</f>
        <v>Source</v>
      </c>
      <c r="J65" s="24"/>
      <c r="K65" s="24"/>
      <c r="L65" s="56">
        <v>506.0</v>
      </c>
      <c r="M65" s="56">
        <v>42.0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30.0" customHeight="1">
      <c r="A66" s="28" t="s">
        <v>201</v>
      </c>
      <c r="B66" s="56">
        <v>476.0</v>
      </c>
      <c r="C66" s="32">
        <f t="shared" si="1"/>
        <v>0</v>
      </c>
      <c r="D66" s="56">
        <v>4.0</v>
      </c>
      <c r="E66" s="35">
        <f t="shared" si="2"/>
        <v>0</v>
      </c>
      <c r="F66" s="37">
        <f t="shared" si="3"/>
        <v>0.008403361345</v>
      </c>
      <c r="G66" s="65">
        <v>1.0</v>
      </c>
      <c r="H66" s="65">
        <v>265.0</v>
      </c>
      <c r="I66" s="42" t="str">
        <f>HYPERLINK("https://www.moh.gov.bh/COVID19","Source")</f>
        <v>Source</v>
      </c>
      <c r="J66" s="84"/>
      <c r="K66" s="24"/>
      <c r="L66" s="56">
        <v>476.0</v>
      </c>
      <c r="M66" s="56">
        <v>4.0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30.0" customHeight="1">
      <c r="A67" s="28" t="s">
        <v>202</v>
      </c>
      <c r="B67" s="56">
        <v>468.0</v>
      </c>
      <c r="C67" s="32">
        <f t="shared" si="1"/>
        <v>0</v>
      </c>
      <c r="D67" s="56">
        <v>2.0</v>
      </c>
      <c r="E67" s="35">
        <f t="shared" si="2"/>
        <v>0</v>
      </c>
      <c r="F67" s="50">
        <f t="shared" si="3"/>
        <v>0.004273504274</v>
      </c>
      <c r="G67" s="65">
        <v>0.0</v>
      </c>
      <c r="H67" s="65">
        <v>55.0</v>
      </c>
      <c r="I67" s="42" t="str">
        <f>HYPERLINK("https://twitter.com/Ash_Stewart_/status/1243892204504059906","Source")</f>
        <v>Source</v>
      </c>
      <c r="J67" s="24"/>
      <c r="K67" s="24"/>
      <c r="L67" s="56">
        <v>468.0</v>
      </c>
      <c r="M67" s="56">
        <v>2.0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30.0" customHeight="1">
      <c r="A68" s="28" t="s">
        <v>203</v>
      </c>
      <c r="B68" s="56">
        <v>454.0</v>
      </c>
      <c r="C68" s="32">
        <f t="shared" si="1"/>
        <v>0</v>
      </c>
      <c r="D68" s="56">
        <v>29.0</v>
      </c>
      <c r="E68" s="35">
        <f t="shared" si="2"/>
        <v>0</v>
      </c>
      <c r="F68" s="37">
        <f t="shared" si="3"/>
        <v>0.06387665198</v>
      </c>
      <c r="G68" s="65" t="s">
        <v>21</v>
      </c>
      <c r="H68" s="65">
        <v>77.0</v>
      </c>
      <c r="I68" s="42" t="str">
        <f>HYPERLINK("http://www.aps.dz/sante-science-technologie/103487-covid-19-quarante-cinq-45-nouveaux-cas-confirmes-dont-trois-03-deces-en-algerie","Source")</f>
        <v>Source</v>
      </c>
      <c r="J68" s="24"/>
      <c r="K68" s="24"/>
      <c r="L68" s="56">
        <v>454.0</v>
      </c>
      <c r="M68" s="56">
        <v>29.0</v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30.0" customHeight="1">
      <c r="A69" s="28" t="s">
        <v>204</v>
      </c>
      <c r="B69" s="56">
        <v>412.0</v>
      </c>
      <c r="C69" s="32">
        <f t="shared" si="1"/>
        <v>0</v>
      </c>
      <c r="D69" s="56">
        <v>8.0</v>
      </c>
      <c r="E69" s="35">
        <f t="shared" si="2"/>
        <v>0</v>
      </c>
      <c r="F69" s="50">
        <f t="shared" si="3"/>
        <v>0.01941747573</v>
      </c>
      <c r="G69" s="65">
        <v>2.0</v>
      </c>
      <c r="H69" s="65">
        <v>3.0</v>
      </c>
      <c r="I69" s="42" t="str">
        <f>HYPERLINK("https://maps.moph.gov.lb/portal/apps/opsdashboard/index.html?fbclid=IwAR16xBrtR1w9HaYhO1_aHHOR2zyN1W5p_vezLF_lV3jTqgjphMy95ttgEHw#/d19be998323548278e088076d46d24f8","Source")</f>
        <v>Source</v>
      </c>
      <c r="J69" s="24"/>
      <c r="K69" s="24"/>
      <c r="L69" s="56">
        <v>412.0</v>
      </c>
      <c r="M69" s="56">
        <v>8.0</v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30.0" customHeight="1">
      <c r="A70" s="28" t="s">
        <v>205</v>
      </c>
      <c r="B70" s="56">
        <v>402.0</v>
      </c>
      <c r="C70" s="32">
        <f t="shared" si="1"/>
        <v>0</v>
      </c>
      <c r="D70" s="56">
        <v>25.0</v>
      </c>
      <c r="E70" s="35">
        <f t="shared" si="2"/>
        <v>0</v>
      </c>
      <c r="F70" s="50">
        <f t="shared" si="3"/>
        <v>0.06218905473</v>
      </c>
      <c r="G70" s="65" t="s">
        <v>21</v>
      </c>
      <c r="H70" s="65">
        <v>12.0</v>
      </c>
      <c r="I70" s="42" t="str">
        <f>HYPERLINK("http://www.covidmaroc.ma/Pages/AccueilAR.aspx","Source")</f>
        <v>Source</v>
      </c>
      <c r="J70" s="24"/>
      <c r="K70" s="24"/>
      <c r="L70" s="56">
        <v>402.0</v>
      </c>
      <c r="M70" s="56">
        <v>25.0</v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30.0" customHeight="1">
      <c r="A71" s="28" t="s">
        <v>206</v>
      </c>
      <c r="B71" s="56">
        <v>382.0</v>
      </c>
      <c r="C71" s="32">
        <f t="shared" si="1"/>
        <v>0</v>
      </c>
      <c r="D71" s="56">
        <v>5.0</v>
      </c>
      <c r="E71" s="35">
        <f t="shared" si="2"/>
        <v>0</v>
      </c>
      <c r="F71" s="37">
        <f t="shared" si="3"/>
        <v>0.01308900524</v>
      </c>
      <c r="G71" s="65" t="s">
        <v>21</v>
      </c>
      <c r="H71" s="65">
        <v>1.0</v>
      </c>
      <c r="I71" s="42" t="str">
        <f>HYPERLINK("http://sam.lrv.lt/koronavirusas","Source")</f>
        <v>Source</v>
      </c>
      <c r="J71" s="84"/>
      <c r="K71" s="24"/>
      <c r="L71" s="56">
        <v>382.0</v>
      </c>
      <c r="M71" s="56">
        <v>5.0</v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30.0" customHeight="1">
      <c r="A72" s="28" t="s">
        <v>207</v>
      </c>
      <c r="B72" s="56">
        <v>356.0</v>
      </c>
      <c r="C72" s="32">
        <f t="shared" si="1"/>
        <v>0</v>
      </c>
      <c r="D72" s="56">
        <v>9.0</v>
      </c>
      <c r="E72" s="35">
        <f t="shared" si="2"/>
        <v>0</v>
      </c>
      <c r="F72" s="50">
        <f t="shared" si="3"/>
        <v>0.02528089888</v>
      </c>
      <c r="G72" s="65" t="s">
        <v>21</v>
      </c>
      <c r="H72" s="65">
        <v>5.0</v>
      </c>
      <c r="I72" s="42" t="str">
        <f>HYPERLINK("https://t.me/s/COVID19_Ukraine","Source")</f>
        <v>Source</v>
      </c>
      <c r="J72" s="24"/>
      <c r="K72" s="24"/>
      <c r="L72" s="56">
        <v>356.0</v>
      </c>
      <c r="M72" s="56">
        <v>9.0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30.0" customHeight="1">
      <c r="A73" s="28" t="s">
        <v>208</v>
      </c>
      <c r="B73" s="56">
        <v>343.0</v>
      </c>
      <c r="C73" s="32">
        <f t="shared" si="1"/>
        <v>0</v>
      </c>
      <c r="D73" s="56">
        <v>11.0</v>
      </c>
      <c r="E73" s="35">
        <f t="shared" si="2"/>
        <v>0</v>
      </c>
      <c r="F73" s="37">
        <f t="shared" si="3"/>
        <v>0.03206997085</v>
      </c>
      <c r="G73" s="65" t="s">
        <v>21</v>
      </c>
      <c r="H73" s="65">
        <v>34.0</v>
      </c>
      <c r="I73" s="42" t="str">
        <f>HYPERLINK("https://koronavirus.gov.hu/#aktualis","Source")</f>
        <v>Source</v>
      </c>
      <c r="J73" s="24"/>
      <c r="K73" s="24"/>
      <c r="L73" s="56">
        <v>343.0</v>
      </c>
      <c r="M73" s="56">
        <v>11.0</v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30.0" customHeight="1">
      <c r="A74" s="28" t="s">
        <v>209</v>
      </c>
      <c r="B74" s="56">
        <v>329.0</v>
      </c>
      <c r="C74" s="32">
        <f t="shared" si="1"/>
        <v>0</v>
      </c>
      <c r="D74" s="56">
        <v>1.0</v>
      </c>
      <c r="E74" s="35">
        <f t="shared" si="2"/>
        <v>0</v>
      </c>
      <c r="F74" s="50">
        <f t="shared" si="3"/>
        <v>0.003039513678</v>
      </c>
      <c r="G74" s="65">
        <v>0.0</v>
      </c>
      <c r="H74" s="65">
        <v>18.0</v>
      </c>
      <c r="I74" s="42" t="str">
        <f>HYPERLINK("https://news.am/eng/news/568678.html","Source")</f>
        <v>Source</v>
      </c>
      <c r="J74" s="24"/>
      <c r="K74" s="24"/>
      <c r="L74" s="56">
        <v>329.0</v>
      </c>
      <c r="M74" s="56">
        <v>1.0</v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30.0" customHeight="1">
      <c r="A75" s="28" t="s">
        <v>210</v>
      </c>
      <c r="B75" s="56">
        <v>313.0</v>
      </c>
      <c r="C75" s="32">
        <f t="shared" si="1"/>
        <v>0</v>
      </c>
      <c r="D75" s="56">
        <v>4.0</v>
      </c>
      <c r="E75" s="35">
        <f t="shared" si="2"/>
        <v>0</v>
      </c>
      <c r="F75" s="37">
        <f t="shared" si="3"/>
        <v>0.01277955272</v>
      </c>
      <c r="G75" s="65">
        <v>2.0</v>
      </c>
      <c r="H75" s="65">
        <v>3.0</v>
      </c>
      <c r="I75" s="42" t="str">
        <f>HYPERLINK("http://www.mh.government.bg/bg/novini/aktualno/313-sa-laboratorno-potvrdenite-sluchai-na-covid-19/","Source")</f>
        <v>Source</v>
      </c>
      <c r="J75" s="24"/>
      <c r="K75" s="24"/>
      <c r="L75" s="56">
        <v>313.0</v>
      </c>
      <c r="M75" s="56">
        <v>4.0</v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30.0" customHeight="1">
      <c r="A76" s="28" t="s">
        <v>211</v>
      </c>
      <c r="B76" s="56">
        <v>308.0</v>
      </c>
      <c r="C76" s="32">
        <f t="shared" si="1"/>
        <v>0</v>
      </c>
      <c r="D76" s="56">
        <v>4.0</v>
      </c>
      <c r="E76" s="35">
        <f t="shared" si="2"/>
        <v>0</v>
      </c>
      <c r="F76" s="37">
        <f t="shared" si="3"/>
        <v>0.01298701299</v>
      </c>
      <c r="G76" s="65" t="s">
        <v>21</v>
      </c>
      <c r="H76" s="65">
        <v>5.0</v>
      </c>
      <c r="I76" s="42" t="str">
        <f>HYPERLINK("https://www.govern.ad/coronavirus","Source")</f>
        <v>Source</v>
      </c>
      <c r="J76" s="24"/>
      <c r="K76" s="24"/>
      <c r="L76" s="56">
        <v>308.0</v>
      </c>
      <c r="M76" s="56">
        <v>4.0</v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30.0" customHeight="1">
      <c r="A77" s="28" t="s">
        <v>186</v>
      </c>
      <c r="B77" s="56">
        <v>295.0</v>
      </c>
      <c r="C77" s="32">
        <f t="shared" si="1"/>
        <v>0</v>
      </c>
      <c r="D77" s="56">
        <v>2.0</v>
      </c>
      <c r="E77" s="35">
        <f t="shared" si="2"/>
        <v>0</v>
      </c>
      <c r="F77" s="37">
        <f t="shared" si="3"/>
        <v>0.006779661017</v>
      </c>
      <c r="G77" s="65" t="s">
        <v>21</v>
      </c>
      <c r="H77" s="65">
        <v>2.0</v>
      </c>
      <c r="I77" s="42" t="str">
        <f>HYPERLINK("https://twitter.com/msaludcr/status/1243254303609020417","Source")</f>
        <v>Source</v>
      </c>
      <c r="J77" s="24"/>
      <c r="K77" s="24"/>
      <c r="L77" s="56">
        <v>295.0</v>
      </c>
      <c r="M77" s="56">
        <v>2.0</v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30.0" customHeight="1">
      <c r="A78" s="28" t="s">
        <v>212</v>
      </c>
      <c r="B78" s="56">
        <v>283.0</v>
      </c>
      <c r="C78" s="32">
        <f t="shared" si="1"/>
        <v>0</v>
      </c>
      <c r="D78" s="56">
        <v>2.0</v>
      </c>
      <c r="E78" s="35">
        <f t="shared" si="2"/>
        <v>0</v>
      </c>
      <c r="F78" s="50">
        <f t="shared" si="3"/>
        <v>0.007067137809</v>
      </c>
      <c r="G78" s="65">
        <v>0.0</v>
      </c>
      <c r="H78" s="65">
        <v>30.0</v>
      </c>
      <c r="I78" s="42" t="str">
        <f>HYPERLINK("https://www.cdc.gov.tw/Bulletin/Detail/HpNJ8bNWb0Qg8WNTSuMfWw?typeid=9","Source")</f>
        <v>Source</v>
      </c>
      <c r="J78" s="24"/>
      <c r="K78" s="24"/>
      <c r="L78" s="56">
        <v>283.0</v>
      </c>
      <c r="M78" s="56">
        <v>2.0</v>
      </c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30.0" customHeight="1">
      <c r="A79" s="28" t="s">
        <v>213</v>
      </c>
      <c r="B79" s="56">
        <v>280.0</v>
      </c>
      <c r="C79" s="32">
        <f t="shared" si="1"/>
        <v>0</v>
      </c>
      <c r="D79" s="56">
        <v>0.0</v>
      </c>
      <c r="E79" s="35">
        <f t="shared" si="2"/>
        <v>0</v>
      </c>
      <c r="F79" s="37">
        <f t="shared" si="3"/>
        <v>0</v>
      </c>
      <c r="G79" s="65" t="s">
        <v>21</v>
      </c>
      <c r="H79" s="65" t="s">
        <v>21</v>
      </c>
      <c r="I79" s="42" t="str">
        <f>HYPERLINK("https://twitter.com/veselibasmin/status/1243237787119296517","Source")</f>
        <v>Source</v>
      </c>
      <c r="J79" s="24"/>
      <c r="K79" s="24"/>
      <c r="L79" s="56">
        <v>280.0</v>
      </c>
      <c r="M79" s="56">
        <v>0.0</v>
      </c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30.0" customHeight="1">
      <c r="A80" s="28" t="s">
        <v>187</v>
      </c>
      <c r="B80" s="56">
        <v>274.0</v>
      </c>
      <c r="C80" s="32">
        <f t="shared" si="1"/>
        <v>0</v>
      </c>
      <c r="D80" s="56">
        <v>0.0</v>
      </c>
      <c r="E80" s="35">
        <f t="shared" si="2"/>
        <v>0</v>
      </c>
      <c r="F80" s="50">
        <f t="shared" si="3"/>
        <v>0</v>
      </c>
      <c r="G80" s="65">
        <v>8.0</v>
      </c>
      <c r="H80" s="65">
        <v>2.0</v>
      </c>
      <c r="I80" s="42" t="str">
        <f>HYPERLINK("https://twitter.com/MSPUruguay/status/1243156773583929344","Source")</f>
        <v>Source</v>
      </c>
      <c r="J80" s="24"/>
      <c r="K80" s="24"/>
      <c r="L80" s="56">
        <v>274.0</v>
      </c>
      <c r="M80" s="56">
        <v>0.0</v>
      </c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30.0" customHeight="1">
      <c r="A81" s="28" t="s">
        <v>214</v>
      </c>
      <c r="B81" s="56">
        <v>269.0</v>
      </c>
      <c r="C81" s="32">
        <f t="shared" si="1"/>
        <v>0</v>
      </c>
      <c r="D81" s="56">
        <v>0.0</v>
      </c>
      <c r="E81" s="35">
        <f t="shared" si="2"/>
        <v>0</v>
      </c>
      <c r="F81" s="37">
        <f t="shared" si="3"/>
        <v>0</v>
      </c>
      <c r="G81" s="65" t="s">
        <v>21</v>
      </c>
      <c r="H81" s="65" t="s">
        <v>21</v>
      </c>
      <c r="I81" s="42" t="str">
        <f>HYPERLINK("https://www.korona.gov.sk/","Source")</f>
        <v>Source</v>
      </c>
      <c r="J81" s="24"/>
      <c r="K81" s="24"/>
      <c r="L81" s="56">
        <v>269.0</v>
      </c>
      <c r="M81" s="56">
        <v>0.0</v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27.75" customHeight="1">
      <c r="A82" s="28" t="s">
        <v>215</v>
      </c>
      <c r="B82" s="56">
        <v>265.0</v>
      </c>
      <c r="C82" s="32">
        <f t="shared" si="1"/>
        <v>0</v>
      </c>
      <c r="D82" s="56">
        <v>6.0</v>
      </c>
      <c r="E82" s="35">
        <f t="shared" si="2"/>
        <v>0</v>
      </c>
      <c r="F82" s="37">
        <f t="shared" si="3"/>
        <v>0.02264150943</v>
      </c>
      <c r="G82" s="65" t="s">
        <v>21</v>
      </c>
      <c r="H82" s="65">
        <v>5.0</v>
      </c>
      <c r="I82" s="42" t="str">
        <f>HYPERLINK("https://www.klix.ba/vijesti/bih/jos-jedna-osoba-iz-gruda-pozitivna-na-koronavirus-broj-zarazenih-u-bih-sada-je-192/200327029","Source")</f>
        <v>Source</v>
      </c>
      <c r="J82" s="24"/>
      <c r="K82" s="24"/>
      <c r="L82" s="56">
        <v>265.0</v>
      </c>
      <c r="M82" s="56">
        <v>6.0</v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30.0" customHeight="1">
      <c r="A83" s="28" t="s">
        <v>216</v>
      </c>
      <c r="B83" s="56">
        <v>246.0</v>
      </c>
      <c r="C83" s="32">
        <f t="shared" si="1"/>
        <v>0</v>
      </c>
      <c r="D83" s="56">
        <v>0.0</v>
      </c>
      <c r="E83" s="35">
        <f t="shared" si="2"/>
        <v>0</v>
      </c>
      <c r="F83" s="50">
        <f t="shared" si="3"/>
        <v>0</v>
      </c>
      <c r="G83" s="65" t="s">
        <v>21</v>
      </c>
      <c r="H83" s="65">
        <v>18.0</v>
      </c>
      <c r="I83" s="42" t="str">
        <f>HYPERLINK("https://corona.moh.gov.jo/ar","Source")</f>
        <v>Source</v>
      </c>
      <c r="J83" s="24"/>
      <c r="K83" s="24"/>
      <c r="L83" s="56">
        <v>246.0</v>
      </c>
      <c r="M83" s="56">
        <v>0.0</v>
      </c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30.0" customHeight="1">
      <c r="A84" s="28" t="s">
        <v>217</v>
      </c>
      <c r="B84" s="56">
        <v>235.0</v>
      </c>
      <c r="C84" s="32">
        <f t="shared" si="1"/>
        <v>0</v>
      </c>
      <c r="D84" s="56">
        <v>0.0</v>
      </c>
      <c r="E84" s="35">
        <f t="shared" si="2"/>
        <v>0</v>
      </c>
      <c r="F84" s="37">
        <f t="shared" si="3"/>
        <v>0</v>
      </c>
      <c r="G84" s="65">
        <v>11.0</v>
      </c>
      <c r="H84" s="65">
        <v>64.0</v>
      </c>
      <c r="I84" s="42" t="str">
        <f>HYPERLINK("https://twitter.com/KUWAIT_MOH/status/1243825900065632256","Source")</f>
        <v>Source</v>
      </c>
      <c r="J84" s="24"/>
      <c r="K84" s="24"/>
      <c r="L84" s="56">
        <v>235.0</v>
      </c>
      <c r="M84" s="56">
        <v>0.0</v>
      </c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27.75" customHeight="1">
      <c r="A85" s="28" t="s">
        <v>218</v>
      </c>
      <c r="B85" s="56">
        <v>231.0</v>
      </c>
      <c r="C85" s="32">
        <f t="shared" si="1"/>
        <v>0</v>
      </c>
      <c r="D85" s="56">
        <v>2.0</v>
      </c>
      <c r="E85" s="35">
        <f t="shared" si="2"/>
        <v>0</v>
      </c>
      <c r="F85" s="50">
        <f t="shared" si="3"/>
        <v>0.008658008658</v>
      </c>
      <c r="G85" s="65" t="s">
        <v>21</v>
      </c>
      <c r="H85" s="65">
        <v>11.0</v>
      </c>
      <c r="I85" s="42" t="str">
        <f>HYPERLINK("https://gismoldova.maps.arcgis.com/apps/opsdashboard/index.html#/d274da857ed345efa66e1fbc959b021b","Source")</f>
        <v>Source</v>
      </c>
      <c r="J85" s="24"/>
      <c r="K85" s="24"/>
      <c r="L85" s="56">
        <v>231.0</v>
      </c>
      <c r="M85" s="56">
        <v>2.0</v>
      </c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30.0" customHeight="1">
      <c r="A86" s="28" t="s">
        <v>219</v>
      </c>
      <c r="B86" s="56">
        <v>227.0</v>
      </c>
      <c r="C86" s="32">
        <f t="shared" si="1"/>
        <v>0</v>
      </c>
      <c r="D86" s="56">
        <v>6.0</v>
      </c>
      <c r="E86" s="35">
        <f t="shared" si="2"/>
        <v>0</v>
      </c>
      <c r="F86" s="37">
        <f t="shared" si="3"/>
        <v>0.02643171806</v>
      </c>
      <c r="G86" s="65" t="s">
        <v>21</v>
      </c>
      <c r="H86" s="65">
        <v>1.0</v>
      </c>
      <c r="I86" s="42" t="str">
        <f>HYPERLINK("https://twitter.com/AJABreaking/status/1243237828101840897","Source")</f>
        <v>Source</v>
      </c>
      <c r="J86" s="24"/>
      <c r="K86" s="24"/>
      <c r="L86" s="56">
        <v>227.0</v>
      </c>
      <c r="M86" s="56">
        <v>6.0</v>
      </c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30.0" customHeight="1">
      <c r="A87" s="28" t="s">
        <v>220</v>
      </c>
      <c r="B87" s="56">
        <v>224.0</v>
      </c>
      <c r="C87" s="32">
        <f t="shared" si="1"/>
        <v>1</v>
      </c>
      <c r="D87" s="56">
        <v>22.0</v>
      </c>
      <c r="E87" s="35">
        <f t="shared" si="2"/>
        <v>1</v>
      </c>
      <c r="F87" s="50">
        <f t="shared" si="3"/>
        <v>0.09821428571</v>
      </c>
      <c r="G87" s="65">
        <v>16.0</v>
      </c>
      <c r="H87" s="65">
        <v>6.0</v>
      </c>
      <c r="I87" s="42" t="str">
        <f>HYPERLINK("http://www.iss.sm/on-line/home/articolo49014188.html","Source")</f>
        <v>Source</v>
      </c>
      <c r="J87" s="95"/>
      <c r="K87" s="24"/>
      <c r="L87" s="56">
        <v>223.0</v>
      </c>
      <c r="M87" s="56">
        <v>21.0</v>
      </c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30.0" customHeight="1">
      <c r="A88" s="28" t="s">
        <v>221</v>
      </c>
      <c r="B88" s="56">
        <v>204.0</v>
      </c>
      <c r="C88" s="32">
        <f t="shared" si="1"/>
        <v>0</v>
      </c>
      <c r="D88" s="56">
        <v>0.0</v>
      </c>
      <c r="E88" s="35">
        <f t="shared" si="2"/>
        <v>0</v>
      </c>
      <c r="F88" s="50">
        <f t="shared" si="3"/>
        <v>0</v>
      </c>
      <c r="G88" s="65" t="s">
        <v>21</v>
      </c>
      <c r="H88" s="65" t="s">
        <v>21</v>
      </c>
      <c r="I88" s="42" t="str">
        <f>HYPERLINK("https://www.facebook.com/MinzdravRK/posts/1442700415907816","Source")</f>
        <v>Source</v>
      </c>
      <c r="J88" s="24"/>
      <c r="K88" s="24"/>
      <c r="L88" s="56">
        <v>204.0</v>
      </c>
      <c r="M88" s="56">
        <v>0.0</v>
      </c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30.0" customHeight="1">
      <c r="A89" s="28" t="s">
        <v>222</v>
      </c>
      <c r="B89" s="56">
        <v>201.0</v>
      </c>
      <c r="C89" s="32">
        <f t="shared" si="1"/>
        <v>0</v>
      </c>
      <c r="D89" s="56">
        <v>3.0</v>
      </c>
      <c r="E89" s="35">
        <f t="shared" si="2"/>
        <v>0</v>
      </c>
      <c r="F89" s="50">
        <f t="shared" si="3"/>
        <v>0.01492537313</v>
      </c>
      <c r="G89" s="65">
        <v>0.0</v>
      </c>
      <c r="H89" s="65">
        <v>3.0</v>
      </c>
      <c r="I89" s="42" t="str">
        <f>HYPERLINK("https://twitter.com/ZdravstvoMK/status/1243153270207627264","Source")</f>
        <v>Source</v>
      </c>
      <c r="J89" s="24"/>
      <c r="K89" s="24"/>
      <c r="L89" s="56">
        <v>201.0</v>
      </c>
      <c r="M89" s="56">
        <v>3.0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30.0" customHeight="1">
      <c r="A90" s="28" t="s">
        <v>223</v>
      </c>
      <c r="B90" s="56">
        <v>182.0</v>
      </c>
      <c r="C90" s="32">
        <f t="shared" si="1"/>
        <v>0</v>
      </c>
      <c r="D90" s="56">
        <v>4.0</v>
      </c>
      <c r="E90" s="35">
        <f t="shared" si="2"/>
        <v>0</v>
      </c>
      <c r="F90" s="37">
        <f t="shared" si="3"/>
        <v>0.02197802198</v>
      </c>
      <c r="G90" s="65">
        <v>23.0</v>
      </c>
      <c r="H90" s="65">
        <v>15.0</v>
      </c>
      <c r="I90" s="42" t="str">
        <f>HYPERLINK("https://koronavirusinfo.az/az%C9%99rbaycanda-cari-v%C9%99ziyy%C9%99t/","Source")</f>
        <v>Source</v>
      </c>
      <c r="J90" s="84"/>
      <c r="K90" s="24"/>
      <c r="L90" s="56">
        <v>182.0</v>
      </c>
      <c r="M90" s="56">
        <v>4.0</v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30.0" customHeight="1">
      <c r="A91" s="28" t="s">
        <v>224</v>
      </c>
      <c r="B91" s="56">
        <v>179.0</v>
      </c>
      <c r="C91" s="32">
        <f t="shared" si="1"/>
        <v>0</v>
      </c>
      <c r="D91" s="56">
        <v>0.0</v>
      </c>
      <c r="E91" s="35">
        <f t="shared" si="2"/>
        <v>0</v>
      </c>
      <c r="F91" s="50">
        <f t="shared" si="3"/>
        <v>0</v>
      </c>
      <c r="G91" s="65" t="s">
        <v>21</v>
      </c>
      <c r="H91" s="65">
        <v>17.0</v>
      </c>
      <c r="I91" s="42" t="str">
        <f>HYPERLINK("https://twitter.com/VNGovtPortal/status/1244073771390009346","Source")</f>
        <v>Source</v>
      </c>
      <c r="J91" s="24"/>
      <c r="K91" s="24"/>
      <c r="L91" s="56">
        <v>179.0</v>
      </c>
      <c r="M91" s="56">
        <v>0.0</v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30.0" customHeight="1">
      <c r="A92" s="28" t="s">
        <v>225</v>
      </c>
      <c r="B92" s="56">
        <v>174.0</v>
      </c>
      <c r="C92" s="32">
        <f t="shared" si="1"/>
        <v>0</v>
      </c>
      <c r="D92" s="56">
        <v>6.0</v>
      </c>
      <c r="E92" s="35">
        <f t="shared" si="2"/>
        <v>0</v>
      </c>
      <c r="F92" s="37">
        <f t="shared" si="3"/>
        <v>0.03448275862</v>
      </c>
      <c r="G92" s="65">
        <v>3.0</v>
      </c>
      <c r="H92" s="65">
        <v>17.0</v>
      </c>
      <c r="I92" s="42" t="str">
        <f>HYPERLINK("https://shendetesia.gov.al/26-mars-2020-situata-e-perditesuar-per-koronavirusin-covid-19/","Source")</f>
        <v>Source</v>
      </c>
      <c r="J92" s="24"/>
      <c r="K92" s="24"/>
      <c r="L92" s="56">
        <v>174.0</v>
      </c>
      <c r="M92" s="56">
        <v>6.0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27.75" customHeight="1">
      <c r="A93" s="28" t="s">
        <v>226</v>
      </c>
      <c r="B93" s="56">
        <v>152.0</v>
      </c>
      <c r="C93" s="32">
        <f t="shared" si="1"/>
        <v>0</v>
      </c>
      <c r="D93" s="56">
        <v>7.0</v>
      </c>
      <c r="E93" s="35">
        <f t="shared" si="2"/>
        <v>0</v>
      </c>
      <c r="F93" s="37">
        <f t="shared" si="3"/>
        <v>0.04605263158</v>
      </c>
      <c r="G93" s="65" t="s">
        <v>21</v>
      </c>
      <c r="H93" s="65">
        <v>10.0</v>
      </c>
      <c r="I93" s="42" t="str">
        <f>HYPERLINK("https://lefaso.net/spip.php?article95746","Source")</f>
        <v>Source</v>
      </c>
      <c r="J93" s="24"/>
      <c r="K93" s="24"/>
      <c r="L93" s="56">
        <v>152.0</v>
      </c>
      <c r="M93" s="56">
        <v>7.0</v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30.0" customHeight="1">
      <c r="A94" s="28" t="s">
        <v>227</v>
      </c>
      <c r="B94" s="56">
        <v>152.0</v>
      </c>
      <c r="C94" s="32">
        <f t="shared" si="1"/>
        <v>0</v>
      </c>
      <c r="D94" s="56">
        <v>0.0</v>
      </c>
      <c r="E94" s="35">
        <f t="shared" si="2"/>
        <v>0</v>
      </c>
      <c r="F94" s="37">
        <f t="shared" si="3"/>
        <v>0</v>
      </c>
      <c r="G94" s="65">
        <v>0.0</v>
      </c>
      <c r="H94" s="65">
        <v>23.0</v>
      </c>
      <c r="I94" s="42" t="str">
        <f>HYPERLINK("https://twitter.com/OmanVSCovid19/status/1243794944504074240","Source")</f>
        <v>Source</v>
      </c>
      <c r="J94" s="84"/>
      <c r="K94" s="24"/>
      <c r="L94" s="56">
        <v>152.0</v>
      </c>
      <c r="M94" s="56">
        <v>0.0</v>
      </c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30.0" customHeight="1">
      <c r="A95" s="28" t="s">
        <v>228</v>
      </c>
      <c r="B95" s="56">
        <v>146.0</v>
      </c>
      <c r="C95" s="32">
        <f t="shared" si="1"/>
        <v>0</v>
      </c>
      <c r="D95" s="56">
        <v>3.0</v>
      </c>
      <c r="E95" s="35">
        <f t="shared" si="2"/>
        <v>0</v>
      </c>
      <c r="F95" s="50">
        <f t="shared" si="3"/>
        <v>0.02054794521</v>
      </c>
      <c r="G95" s="65">
        <v>6.0</v>
      </c>
      <c r="H95" s="65">
        <v>1.0</v>
      </c>
      <c r="I95" s="42" t="str">
        <f>HYPERLINK("https://in-cyprus.philenews.com/coronavirus-14-more-test-positive-total-now-146/","Source")</f>
        <v>Source</v>
      </c>
      <c r="J95" s="24"/>
      <c r="K95" s="24"/>
      <c r="L95" s="56">
        <v>146.0</v>
      </c>
      <c r="M95" s="56">
        <v>3.0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30.0" customHeight="1">
      <c r="A96" s="28" t="s">
        <v>229</v>
      </c>
      <c r="B96" s="56">
        <v>141.0</v>
      </c>
      <c r="C96" s="32">
        <f t="shared" si="1"/>
        <v>0</v>
      </c>
      <c r="D96" s="56">
        <v>5.0</v>
      </c>
      <c r="E96" s="35">
        <f t="shared" si="2"/>
        <v>0</v>
      </c>
      <c r="F96" s="50">
        <f t="shared" si="3"/>
        <v>0.03546099291</v>
      </c>
      <c r="G96" s="65" t="s">
        <v>21</v>
      </c>
      <c r="H96" s="65">
        <v>2.0</v>
      </c>
      <c r="I96" s="42" t="str">
        <f>HYPERLINK("https://www.ghanahealthservice.org/covid19/","Source")</f>
        <v>Source</v>
      </c>
      <c r="J96" s="24"/>
      <c r="K96" s="24"/>
      <c r="L96" s="56">
        <v>141.0</v>
      </c>
      <c r="M96" s="56">
        <v>5.0</v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27.75" customHeight="1">
      <c r="A97" s="28" t="s">
        <v>230</v>
      </c>
      <c r="B97" s="56">
        <v>134.0</v>
      </c>
      <c r="C97" s="32">
        <f t="shared" si="1"/>
        <v>0</v>
      </c>
      <c r="D97" s="56">
        <v>0.0</v>
      </c>
      <c r="E97" s="35">
        <f t="shared" si="2"/>
        <v>0</v>
      </c>
      <c r="F97" s="37">
        <f t="shared" si="3"/>
        <v>0</v>
      </c>
      <c r="G97" s="65">
        <v>1.0</v>
      </c>
      <c r="H97" s="65">
        <v>2.0</v>
      </c>
      <c r="I97" s="42" t="str">
        <f>HYPERLINK("https://timesofmalta.com/articles/view/watch-live-health-authorities-give-daily-update-on-coronavirus-cases.781058","Source")</f>
        <v>Source</v>
      </c>
      <c r="J97" s="24"/>
      <c r="K97" s="24"/>
      <c r="L97" s="56">
        <v>134.0</v>
      </c>
      <c r="M97" s="56">
        <v>0.0</v>
      </c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30.0" customHeight="1">
      <c r="A98" s="28" t="s">
        <v>231</v>
      </c>
      <c r="B98" s="56">
        <v>130.0</v>
      </c>
      <c r="C98" s="32">
        <f t="shared" si="1"/>
        <v>0</v>
      </c>
      <c r="D98" s="56">
        <v>0.0</v>
      </c>
      <c r="E98" s="35">
        <f t="shared" si="2"/>
        <v>0</v>
      </c>
      <c r="F98" s="37">
        <f t="shared" si="3"/>
        <v>0</v>
      </c>
      <c r="G98" s="65" t="s">
        <v>21</v>
      </c>
      <c r="H98" s="65">
        <v>18.0</v>
      </c>
      <c r="I98" s="42" t="str">
        <f>HYPERLINK("https://twitter.com/MinisteredelaS1/status/1243850140353540096","Source")</f>
        <v>Source</v>
      </c>
      <c r="J98" s="44"/>
      <c r="K98" s="24"/>
      <c r="L98" s="56">
        <v>130.0</v>
      </c>
      <c r="M98" s="56">
        <v>0.0</v>
      </c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30.0" customHeight="1">
      <c r="A99" s="28" t="s">
        <v>232</v>
      </c>
      <c r="B99" s="56">
        <v>120.0</v>
      </c>
      <c r="C99" s="32">
        <f t="shared" si="1"/>
        <v>0</v>
      </c>
      <c r="D99" s="56">
        <v>1.0</v>
      </c>
      <c r="E99" s="35">
        <f t="shared" si="2"/>
        <v>0</v>
      </c>
      <c r="F99" s="50">
        <f t="shared" si="3"/>
        <v>0.008333333333</v>
      </c>
      <c r="G99" s="65" t="s">
        <v>21</v>
      </c>
      <c r="H99" s="65">
        <v>25.0</v>
      </c>
      <c r="I99" s="42" t="str">
        <f>HYPERLINK("https://www.healthinfo.gov.bn/covid19/#/home","Source")</f>
        <v>Source</v>
      </c>
      <c r="J99" s="24"/>
      <c r="K99" s="24"/>
      <c r="L99" s="56">
        <v>120.0</v>
      </c>
      <c r="M99" s="56">
        <v>1.0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27.75" customHeight="1">
      <c r="A100" s="28" t="s">
        <v>191</v>
      </c>
      <c r="B100" s="56">
        <v>119.0</v>
      </c>
      <c r="C100" s="32">
        <f t="shared" si="1"/>
        <v>0</v>
      </c>
      <c r="D100" s="56">
        <v>3.0</v>
      </c>
      <c r="E100" s="35">
        <f t="shared" si="2"/>
        <v>0</v>
      </c>
      <c r="F100" s="37">
        <f t="shared" si="3"/>
        <v>0.02521008403</v>
      </c>
      <c r="G100" s="65">
        <v>2.0</v>
      </c>
      <c r="H100" s="65">
        <v>4.0</v>
      </c>
      <c r="I100" s="42" t="str">
        <f>HYPERLINK("https://salud.msp.gob.cu/?p=4331","Source")</f>
        <v>Source</v>
      </c>
      <c r="J100" s="24"/>
      <c r="K100" s="24"/>
      <c r="L100" s="56">
        <v>119.0</v>
      </c>
      <c r="M100" s="56">
        <v>3.0</v>
      </c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30.0" customHeight="1">
      <c r="A101" s="28" t="s">
        <v>233</v>
      </c>
      <c r="B101" s="56">
        <v>113.0</v>
      </c>
      <c r="C101" s="32">
        <f t="shared" si="1"/>
        <v>0</v>
      </c>
      <c r="D101" s="56">
        <v>2.0</v>
      </c>
      <c r="E101" s="35">
        <f t="shared" si="2"/>
        <v>0</v>
      </c>
      <c r="F101" s="37">
        <f t="shared" si="3"/>
        <v>0.01769911504</v>
      </c>
      <c r="G101" s="65">
        <v>2.0</v>
      </c>
      <c r="H101" s="65">
        <v>31.0</v>
      </c>
      <c r="I101" s="42" t="str">
        <f>HYPERLINK("https://twitter.com/VPITV/status/1243678580502126594","Source")</f>
        <v>Source</v>
      </c>
      <c r="J101" s="24"/>
      <c r="K101" s="24"/>
      <c r="L101" s="56">
        <v>113.0</v>
      </c>
      <c r="M101" s="56">
        <v>2.0</v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30.0" customHeight="1">
      <c r="A102" s="28" t="s">
        <v>234</v>
      </c>
      <c r="B102" s="56">
        <v>113.0</v>
      </c>
      <c r="C102" s="32">
        <f t="shared" si="1"/>
        <v>0</v>
      </c>
      <c r="D102" s="56">
        <v>1.0</v>
      </c>
      <c r="E102" s="35">
        <f t="shared" si="2"/>
        <v>0</v>
      </c>
      <c r="F102" s="50">
        <f t="shared" si="3"/>
        <v>0.008849557522</v>
      </c>
      <c r="G102" s="65" t="s">
        <v>21</v>
      </c>
      <c r="H102" s="65">
        <v>9.0</v>
      </c>
      <c r="I102" s="42" t="str">
        <f>HYPERLINK("https://www.newsfirst.lk/2020/03/28/sri-lankan-dies-of-covid-19/","Source")</f>
        <v>Source</v>
      </c>
      <c r="J102" s="24"/>
      <c r="K102" s="24"/>
      <c r="L102" s="56">
        <v>113.0</v>
      </c>
      <c r="M102" s="56">
        <v>1.0</v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30.0" customHeight="1">
      <c r="A103" s="28" t="s">
        <v>235</v>
      </c>
      <c r="B103" s="56">
        <v>110.0</v>
      </c>
      <c r="C103" s="32">
        <f t="shared" si="1"/>
        <v>0</v>
      </c>
      <c r="D103" s="56">
        <v>3.0</v>
      </c>
      <c r="E103" s="35">
        <f t="shared" si="2"/>
        <v>0</v>
      </c>
      <c r="F103" s="50">
        <f t="shared" si="3"/>
        <v>0.02727272727</v>
      </c>
      <c r="G103" s="65" t="s">
        <v>21</v>
      </c>
      <c r="H103" s="65">
        <v>3.0</v>
      </c>
      <c r="I103" s="42" t="str">
        <f>HYPERLINK("https://tolonews.com/health/coronavirus-cases-reach-110-afghanistan","Source")</f>
        <v>Source</v>
      </c>
      <c r="J103" s="24"/>
      <c r="K103" s="24"/>
      <c r="L103" s="56">
        <v>110.0</v>
      </c>
      <c r="M103" s="56">
        <v>3.0</v>
      </c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30.0" customHeight="1">
      <c r="A104" s="28" t="s">
        <v>236</v>
      </c>
      <c r="B104" s="56">
        <v>104.0</v>
      </c>
      <c r="C104" s="32">
        <f t="shared" si="1"/>
        <v>0</v>
      </c>
      <c r="D104" s="56">
        <v>2.0</v>
      </c>
      <c r="E104" s="35">
        <f t="shared" si="2"/>
        <v>0</v>
      </c>
      <c r="F104" s="37">
        <f t="shared" si="3"/>
        <v>0.01923076923</v>
      </c>
      <c r="G104" s="65">
        <v>4.0</v>
      </c>
      <c r="H104" s="65" t="s">
        <v>21</v>
      </c>
      <c r="I104" s="42" t="str">
        <f>HYPERLINK("https://t.me/s/ssvuz","Source")</f>
        <v>Source</v>
      </c>
      <c r="J104" s="24"/>
      <c r="K104" s="24"/>
      <c r="L104" s="56">
        <v>104.0</v>
      </c>
      <c r="M104" s="56">
        <v>2.0</v>
      </c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30.0" customHeight="1">
      <c r="A105" s="28" t="s">
        <v>237</v>
      </c>
      <c r="B105" s="56">
        <v>102.0</v>
      </c>
      <c r="C105" s="32">
        <f t="shared" si="1"/>
        <v>0</v>
      </c>
      <c r="D105" s="56">
        <v>2.0</v>
      </c>
      <c r="E105" s="35">
        <f t="shared" si="2"/>
        <v>0</v>
      </c>
      <c r="F105" s="50">
        <f t="shared" si="3"/>
        <v>0.01960784314</v>
      </c>
      <c r="G105" s="65" t="s">
        <v>21</v>
      </c>
      <c r="H105" s="65" t="s">
        <v>21</v>
      </c>
      <c r="I105" s="42" t="str">
        <f>HYPERLINK("https://www.lemauricien.com/covid19/","Source")</f>
        <v>Source</v>
      </c>
      <c r="J105" s="24"/>
      <c r="K105" s="24"/>
      <c r="L105" s="56">
        <v>102.0</v>
      </c>
      <c r="M105" s="56">
        <v>2.0</v>
      </c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30.0" customHeight="1">
      <c r="A106" s="28" t="s">
        <v>238</v>
      </c>
      <c r="B106" s="56">
        <v>98.0</v>
      </c>
      <c r="C106" s="32">
        <f t="shared" si="1"/>
        <v>0</v>
      </c>
      <c r="D106" s="56">
        <v>0.0</v>
      </c>
      <c r="E106" s="35">
        <f t="shared" si="2"/>
        <v>0</v>
      </c>
      <c r="F106" s="50">
        <f t="shared" si="3"/>
        <v>0</v>
      </c>
      <c r="G106" s="65" t="s">
        <v>21</v>
      </c>
      <c r="H106" s="65">
        <v>11.0</v>
      </c>
      <c r="I106" s="42" t="str">
        <f>HYPERLINK("http://en.freshnewsasia.com/index.php/en/localnews/17525-2020-03-26-15-18-53.html","Source")</f>
        <v>Source</v>
      </c>
      <c r="J106" s="24"/>
      <c r="K106" s="24"/>
      <c r="L106" s="56">
        <v>98.0</v>
      </c>
      <c r="M106" s="56">
        <v>0.0</v>
      </c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27.75" customHeight="1">
      <c r="A107" s="28" t="s">
        <v>239</v>
      </c>
      <c r="B107" s="56">
        <v>96.0</v>
      </c>
      <c r="C107" s="32">
        <f t="shared" si="1"/>
        <v>0</v>
      </c>
      <c r="D107" s="56">
        <v>0.0</v>
      </c>
      <c r="E107" s="35">
        <f t="shared" si="2"/>
        <v>0</v>
      </c>
      <c r="F107" s="37">
        <f t="shared" si="3"/>
        <v>0</v>
      </c>
      <c r="G107" s="65" t="s">
        <v>21</v>
      </c>
      <c r="H107" s="65">
        <v>3.0</v>
      </c>
      <c r="I107" s="42" t="str">
        <f>HYPERLINK("https://twitter.com/OmsCotedivoire/status/1243269346203443201","Source")</f>
        <v>Source</v>
      </c>
      <c r="J107" s="24"/>
      <c r="K107" s="24"/>
      <c r="L107" s="56">
        <v>96.0</v>
      </c>
      <c r="M107" s="56">
        <v>0.0</v>
      </c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27.75" customHeight="1">
      <c r="A108" s="28" t="s">
        <v>190</v>
      </c>
      <c r="B108" s="56">
        <v>95.0</v>
      </c>
      <c r="C108" s="32">
        <f t="shared" si="1"/>
        <v>0</v>
      </c>
      <c r="D108" s="56">
        <v>1.0</v>
      </c>
      <c r="E108" s="35">
        <f t="shared" si="2"/>
        <v>0</v>
      </c>
      <c r="F108" s="50">
        <f t="shared" si="3"/>
        <v>0.01052631579</v>
      </c>
      <c r="G108" s="65" t="s">
        <v>21</v>
      </c>
      <c r="H108" s="65" t="s">
        <v>21</v>
      </c>
      <c r="I108" s="42" t="str">
        <f>HYPERLINK("https://news.trust.org/item/20200326155916-nbjww","Source")</f>
        <v>Source</v>
      </c>
      <c r="J108" s="24"/>
      <c r="K108" s="24"/>
      <c r="L108" s="56">
        <v>95.0</v>
      </c>
      <c r="M108" s="56">
        <v>1.0</v>
      </c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27.75" customHeight="1">
      <c r="A109" s="28" t="s">
        <v>240</v>
      </c>
      <c r="B109" s="56">
        <v>94.0</v>
      </c>
      <c r="C109" s="32">
        <f t="shared" si="1"/>
        <v>0</v>
      </c>
      <c r="D109" s="56">
        <v>1.0</v>
      </c>
      <c r="E109" s="35">
        <f t="shared" si="2"/>
        <v>0</v>
      </c>
      <c r="F109" s="37">
        <f t="shared" si="3"/>
        <v>0.01063829787</v>
      </c>
      <c r="G109" s="65" t="s">
        <v>21</v>
      </c>
      <c r="H109" s="65">
        <v>2.0</v>
      </c>
      <c r="I109" s="42" t="str">
        <f>HYPERLINK("https://twitter.com/DrManaouda/status/1243784059580485632","Source")</f>
        <v>Source</v>
      </c>
      <c r="J109" s="24"/>
      <c r="K109" s="24"/>
      <c r="L109" s="56">
        <v>94.0</v>
      </c>
      <c r="M109" s="56">
        <v>1.0</v>
      </c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30.0" customHeight="1">
      <c r="A110" s="28" t="s">
        <v>241</v>
      </c>
      <c r="B110" s="56">
        <v>94.0</v>
      </c>
      <c r="C110" s="32">
        <f t="shared" si="1"/>
        <v>0</v>
      </c>
      <c r="D110" s="56">
        <v>0.0</v>
      </c>
      <c r="E110" s="35">
        <f t="shared" si="2"/>
        <v>0</v>
      </c>
      <c r="F110" s="37">
        <f t="shared" si="3"/>
        <v>0</v>
      </c>
      <c r="G110" s="65" t="s">
        <v>21</v>
      </c>
      <c r="H110" s="65">
        <v>32.0</v>
      </c>
      <c r="I110" s="42" t="str">
        <f>HYPERLINK("https://people.onliner.by/2020/03/27/minzdrav-43","Source")</f>
        <v>Source</v>
      </c>
      <c r="J110" s="24"/>
      <c r="K110" s="24"/>
      <c r="L110" s="56">
        <v>94.0</v>
      </c>
      <c r="M110" s="56">
        <v>0.0</v>
      </c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30.0" customHeight="1">
      <c r="A111" s="28" t="s">
        <v>242</v>
      </c>
      <c r="B111" s="56">
        <v>91.0</v>
      </c>
      <c r="C111" s="32">
        <f t="shared" si="1"/>
        <v>0</v>
      </c>
      <c r="D111" s="56">
        <v>1.0</v>
      </c>
      <c r="E111" s="35">
        <f t="shared" si="2"/>
        <v>0</v>
      </c>
      <c r="F111" s="50">
        <f t="shared" si="3"/>
        <v>0.01098901099</v>
      </c>
      <c r="G111" s="65" t="s">
        <v>21</v>
      </c>
      <c r="H111" s="65">
        <v>1.0</v>
      </c>
      <c r="I111" s="42" t="str">
        <f>HYPERLINK("https://kosova.health/en/","Source")</f>
        <v>Source</v>
      </c>
      <c r="J111" s="24"/>
      <c r="K111" s="24"/>
      <c r="L111" s="56">
        <v>91.0</v>
      </c>
      <c r="M111" s="56">
        <v>1.0</v>
      </c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30.0" customHeight="1">
      <c r="A112" s="28" t="s">
        <v>44</v>
      </c>
      <c r="B112" s="56">
        <v>90.0</v>
      </c>
      <c r="C112" s="32">
        <f t="shared" si="1"/>
        <v>0</v>
      </c>
      <c r="D112" s="56">
        <v>0.0</v>
      </c>
      <c r="E112" s="35">
        <f t="shared" si="2"/>
        <v>0</v>
      </c>
      <c r="F112" s="37">
        <f t="shared" si="3"/>
        <v>0</v>
      </c>
      <c r="G112" s="65">
        <v>1.0</v>
      </c>
      <c r="H112" s="65">
        <v>16.0</v>
      </c>
      <c r="I112" s="42" t="str">
        <f>HYPERLINK("https://stopcov.ge/en","Source")</f>
        <v>Source</v>
      </c>
      <c r="J112" s="24"/>
      <c r="K112" s="24"/>
      <c r="L112" s="56">
        <v>90.0</v>
      </c>
      <c r="M112" s="56">
        <v>0.0</v>
      </c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30.0" customHeight="1">
      <c r="A113" s="28" t="s">
        <v>243</v>
      </c>
      <c r="B113" s="56">
        <v>97.0</v>
      </c>
      <c r="C113" s="32">
        <f t="shared" si="1"/>
        <v>0</v>
      </c>
      <c r="D113" s="56">
        <v>1.0</v>
      </c>
      <c r="E113" s="35">
        <f t="shared" si="2"/>
        <v>0</v>
      </c>
      <c r="F113" s="50">
        <f t="shared" si="3"/>
        <v>0.01030927835</v>
      </c>
      <c r="G113" s="65">
        <v>0.0</v>
      </c>
      <c r="H113" s="65">
        <v>17.0</v>
      </c>
      <c r="I113" s="42" t="str">
        <f>HYPERLINK("https://twitter.com/AJABreaking/status/1243811656754434049","Source")</f>
        <v>Source</v>
      </c>
      <c r="J113" s="24"/>
      <c r="K113" s="24"/>
      <c r="L113" s="56">
        <v>97.0</v>
      </c>
      <c r="M113" s="56">
        <v>1.0</v>
      </c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30.0" customHeight="1">
      <c r="A114" s="28" t="s">
        <v>244</v>
      </c>
      <c r="B114" s="56">
        <v>97.0</v>
      </c>
      <c r="C114" s="32">
        <f t="shared" si="1"/>
        <v>0</v>
      </c>
      <c r="D114" s="56">
        <v>1.0</v>
      </c>
      <c r="E114" s="35">
        <f t="shared" si="2"/>
        <v>0</v>
      </c>
      <c r="F114" s="50">
        <f t="shared" si="3"/>
        <v>0.01030927835</v>
      </c>
      <c r="G114" s="65" t="s">
        <v>21</v>
      </c>
      <c r="H114" s="65">
        <v>3.0</v>
      </c>
      <c r="I114" s="42" t="str">
        <f>HYPERLINK("https://twitter.com/NCDCgov/status/1243918869204475909","Source")</f>
        <v>Source</v>
      </c>
      <c r="J114" s="24"/>
      <c r="K114" s="24"/>
      <c r="L114" s="56">
        <v>97.0</v>
      </c>
      <c r="M114" s="56">
        <v>1.0</v>
      </c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30.0" customHeight="1">
      <c r="A115" s="28" t="s">
        <v>192</v>
      </c>
      <c r="B115" s="56">
        <v>74.0</v>
      </c>
      <c r="C115" s="32">
        <f t="shared" si="1"/>
        <v>0</v>
      </c>
      <c r="D115" s="56">
        <v>0.0</v>
      </c>
      <c r="E115" s="35">
        <f t="shared" si="2"/>
        <v>0</v>
      </c>
      <c r="F115" s="50">
        <f t="shared" si="3"/>
        <v>0</v>
      </c>
      <c r="G115" s="65" t="s">
        <v>21</v>
      </c>
      <c r="H115" s="65" t="s">
        <v>21</v>
      </c>
      <c r="I115" s="42" t="str">
        <f>HYPERLINK("https://twitter.com/MinSaludBolivia/status/1243333359893270528","Source")</f>
        <v>Source</v>
      </c>
      <c r="J115" s="24"/>
      <c r="K115" s="24"/>
      <c r="L115" s="56">
        <v>74.0</v>
      </c>
      <c r="M115" s="56">
        <v>0.0</v>
      </c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30.0" customHeight="1">
      <c r="A116" s="28" t="s">
        <v>245</v>
      </c>
      <c r="B116" s="56">
        <v>74.0</v>
      </c>
      <c r="C116" s="32">
        <f t="shared" si="1"/>
        <v>0</v>
      </c>
      <c r="D116" s="56">
        <v>2.0</v>
      </c>
      <c r="E116" s="35">
        <f t="shared" si="2"/>
        <v>0</v>
      </c>
      <c r="F116" s="37">
        <f t="shared" si="3"/>
        <v>0.02702702703</v>
      </c>
      <c r="G116" s="65" t="s">
        <v>21</v>
      </c>
      <c r="H116" s="65">
        <v>1.0</v>
      </c>
      <c r="I116" s="42" t="str">
        <f>HYPERLINK("https://twitter.com/MOH_TT/status/1243922794049687553","Source")</f>
        <v>Source</v>
      </c>
      <c r="J116" s="24"/>
      <c r="K116" s="24"/>
      <c r="L116" s="56">
        <v>74.0</v>
      </c>
      <c r="M116" s="56">
        <v>2.0</v>
      </c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30.0" customHeight="1">
      <c r="A117" s="28" t="s">
        <v>246</v>
      </c>
      <c r="B117" s="56">
        <v>70.0</v>
      </c>
      <c r="C117" s="32">
        <f t="shared" si="1"/>
        <v>0</v>
      </c>
      <c r="D117" s="56">
        <v>1.0</v>
      </c>
      <c r="E117" s="35">
        <f t="shared" si="2"/>
        <v>0</v>
      </c>
      <c r="F117" s="50">
        <f t="shared" si="3"/>
        <v>0.01428571429</v>
      </c>
      <c r="G117" s="65" t="s">
        <v>21</v>
      </c>
      <c r="H117" s="65" t="s">
        <v>21</v>
      </c>
      <c r="I117" s="42" t="str">
        <f>HYPERLINK("https://twitter.com/ijzcg/status/1243432913510817792","Source")</f>
        <v>Source</v>
      </c>
      <c r="J117" s="24"/>
      <c r="K117" s="24"/>
      <c r="L117" s="56">
        <v>70.0</v>
      </c>
      <c r="M117" s="56">
        <v>1.0</v>
      </c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30.0" customHeight="1">
      <c r="A118" s="28" t="s">
        <v>247</v>
      </c>
      <c r="B118" s="56">
        <v>61.0</v>
      </c>
      <c r="C118" s="32">
        <f t="shared" si="1"/>
        <v>0</v>
      </c>
      <c r="D118" s="56">
        <v>1.0</v>
      </c>
      <c r="E118" s="35">
        <f t="shared" si="2"/>
        <v>0</v>
      </c>
      <c r="F118" s="50">
        <f t="shared" si="3"/>
        <v>0.01639344262</v>
      </c>
      <c r="G118" s="65" t="s">
        <v>21</v>
      </c>
      <c r="H118" s="65" t="s">
        <v>21</v>
      </c>
      <c r="I118" s="42" t="str">
        <f>HYPERLINK("https://www.gov.je/Health/Coronavirus/Pages/CoronavirusCases.aspx","Source")</f>
        <v>Source</v>
      </c>
      <c r="J118" s="24"/>
      <c r="K118" s="24"/>
      <c r="L118" s="56">
        <v>61.0</v>
      </c>
      <c r="M118" s="56">
        <v>1.0</v>
      </c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30.0" customHeight="1">
      <c r="A119" s="28" t="s">
        <v>248</v>
      </c>
      <c r="B119" s="56">
        <v>58.0</v>
      </c>
      <c r="C119" s="32">
        <f t="shared" si="1"/>
        <v>0</v>
      </c>
      <c r="D119" s="56">
        <v>0.0</v>
      </c>
      <c r="E119" s="35">
        <f t="shared" si="2"/>
        <v>0</v>
      </c>
      <c r="F119" s="37">
        <f t="shared" si="3"/>
        <v>0</v>
      </c>
      <c r="G119" s="65" t="s">
        <v>21</v>
      </c>
      <c r="H119" s="65" t="s">
        <v>21</v>
      </c>
      <c r="I119" s="42" t="str">
        <f>HYPERLINK("https://akipress.com/news:638252:14_more_new_coronavirus_cases_confirmed_in_Kyrgyzstan,_58_in_total/","Source")</f>
        <v>Source</v>
      </c>
      <c r="J119" s="24"/>
      <c r="K119" s="24"/>
      <c r="L119" s="56">
        <v>58.0</v>
      </c>
      <c r="M119" s="56">
        <v>0.0</v>
      </c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27.75" customHeight="1">
      <c r="A120" s="28" t="s">
        <v>249</v>
      </c>
      <c r="B120" s="56">
        <v>56.0</v>
      </c>
      <c r="C120" s="32">
        <f t="shared" si="1"/>
        <v>0</v>
      </c>
      <c r="D120" s="56">
        <v>0.0</v>
      </c>
      <c r="E120" s="35">
        <f t="shared" si="2"/>
        <v>0</v>
      </c>
      <c r="F120" s="50">
        <f t="shared" si="3"/>
        <v>0</v>
      </c>
      <c r="G120" s="65" t="s">
        <v>21</v>
      </c>
      <c r="H120" s="65">
        <v>3.0</v>
      </c>
      <c r="I120" s="42" t="str">
        <f>HYPERLINK("https://in-cyprus.philenews.com/coronavirus-another-nine-test-positive-in-turkish-held-north-cyprus/","Source")</f>
        <v>Source</v>
      </c>
      <c r="J120" s="24"/>
      <c r="K120" s="24"/>
      <c r="L120" s="56">
        <v>56.0</v>
      </c>
      <c r="M120" s="56">
        <v>0.0</v>
      </c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27.75" customHeight="1">
      <c r="A121" s="28" t="s">
        <v>250</v>
      </c>
      <c r="B121" s="56">
        <v>56.0</v>
      </c>
      <c r="C121" s="32">
        <f t="shared" si="1"/>
        <v>0</v>
      </c>
      <c r="D121" s="56">
        <v>0.0</v>
      </c>
      <c r="E121" s="35">
        <f t="shared" si="2"/>
        <v>0</v>
      </c>
      <c r="F121" s="37">
        <f t="shared" si="3"/>
        <v>0</v>
      </c>
      <c r="G121" s="65" t="s">
        <v>21</v>
      </c>
      <c r="H121" s="65" t="s">
        <v>21</v>
      </c>
      <c r="I121" s="42" t="str">
        <f>HYPERLINK("https://www.regierung.li/media/attachments/140-corona-regierung-0323.pdf?t=637206370335906569","Source")</f>
        <v>Source</v>
      </c>
      <c r="J121" s="24"/>
      <c r="K121" s="24"/>
      <c r="L121" s="56">
        <v>56.0</v>
      </c>
      <c r="M121" s="56">
        <v>0.0</v>
      </c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27.75" customHeight="1">
      <c r="A122" s="28" t="s">
        <v>251</v>
      </c>
      <c r="B122" s="56">
        <v>56.0</v>
      </c>
      <c r="C122" s="32">
        <f t="shared" si="1"/>
        <v>0</v>
      </c>
      <c r="D122" s="56">
        <v>0.0</v>
      </c>
      <c r="E122" s="35">
        <f t="shared" si="2"/>
        <v>0</v>
      </c>
      <c r="F122" s="37">
        <f t="shared" si="3"/>
        <v>0</v>
      </c>
      <c r="G122" s="65" t="s">
        <v>21</v>
      </c>
      <c r="H122" s="65">
        <v>14.0</v>
      </c>
      <c r="I122" s="42" t="str">
        <f>HYPERLINK("https://www.gibraltar.gov.gi/covid19","Source")</f>
        <v>Source</v>
      </c>
      <c r="J122" s="24"/>
      <c r="K122" s="24"/>
      <c r="L122" s="56">
        <v>56.0</v>
      </c>
      <c r="M122" s="56">
        <v>0.0</v>
      </c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30.0" customHeight="1">
      <c r="A123" s="28" t="s">
        <v>252</v>
      </c>
      <c r="B123" s="56">
        <v>54.0</v>
      </c>
      <c r="C123" s="32">
        <f t="shared" si="1"/>
        <v>0</v>
      </c>
      <c r="D123" s="56">
        <v>5.0</v>
      </c>
      <c r="E123" s="35">
        <f t="shared" si="2"/>
        <v>0</v>
      </c>
      <c r="F123" s="50">
        <f t="shared" si="3"/>
        <v>0.09259259259</v>
      </c>
      <c r="G123" s="65" t="s">
        <v>21</v>
      </c>
      <c r="H123" s="65">
        <v>2.0</v>
      </c>
      <c r="I123" s="42" t="str">
        <f>HYPERLINK("https://twitter.com/OMSRDCONGO/status/1243429895113289728","Source")</f>
        <v>Source</v>
      </c>
      <c r="J123" s="24"/>
      <c r="K123" s="24"/>
      <c r="L123" s="56">
        <v>54.0</v>
      </c>
      <c r="M123" s="56">
        <v>5.0</v>
      </c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27.75" customHeight="1">
      <c r="A124" s="28" t="s">
        <v>193</v>
      </c>
      <c r="B124" s="56">
        <v>52.0</v>
      </c>
      <c r="C124" s="32">
        <f t="shared" si="1"/>
        <v>0</v>
      </c>
      <c r="D124" s="56">
        <v>3.0</v>
      </c>
      <c r="E124" s="35">
        <f t="shared" si="2"/>
        <v>0</v>
      </c>
      <c r="F124" s="37">
        <f t="shared" si="3"/>
        <v>0.05769230769</v>
      </c>
      <c r="G124" s="65" t="s">
        <v>21</v>
      </c>
      <c r="H124" s="65" t="s">
        <v>21</v>
      </c>
      <c r="I124" s="42" t="str">
        <f>HYPERLINK("https://twitter.com/msaludpy/status/1243344642093076481","Source")</f>
        <v>Source</v>
      </c>
      <c r="J124" s="24"/>
      <c r="K124" s="24"/>
      <c r="L124" s="56">
        <v>52.0</v>
      </c>
      <c r="M124" s="56">
        <v>3.0</v>
      </c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30.0" customHeight="1">
      <c r="A125" s="28" t="s">
        <v>253</v>
      </c>
      <c r="B125" s="56">
        <v>50.0</v>
      </c>
      <c r="C125" s="32">
        <f t="shared" si="1"/>
        <v>0</v>
      </c>
      <c r="D125" s="56">
        <v>0.0</v>
      </c>
      <c r="E125" s="35">
        <f t="shared" si="2"/>
        <v>0</v>
      </c>
      <c r="F125" s="37">
        <f t="shared" si="3"/>
        <v>0</v>
      </c>
      <c r="G125" s="65">
        <v>0.0</v>
      </c>
      <c r="H125" s="65">
        <v>0.0</v>
      </c>
      <c r="I125" s="42" t="str">
        <f>HYPERLINK("https://twitter.com/RwandaHealth/status/1243262114338308103","Source")</f>
        <v>Source</v>
      </c>
      <c r="J125" s="24"/>
      <c r="K125" s="24"/>
      <c r="L125" s="56">
        <v>50.0</v>
      </c>
      <c r="M125" s="56">
        <v>0.0</v>
      </c>
      <c r="N125" s="26"/>
      <c r="O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27.75" customHeight="1">
      <c r="A126" s="28" t="s">
        <v>254</v>
      </c>
      <c r="B126" s="56">
        <v>48.0</v>
      </c>
      <c r="C126" s="32">
        <f t="shared" si="1"/>
        <v>0</v>
      </c>
      <c r="D126" s="56">
        <v>5.0</v>
      </c>
      <c r="E126" s="35">
        <f t="shared" si="2"/>
        <v>0</v>
      </c>
      <c r="F126" s="50">
        <f t="shared" si="3"/>
        <v>0.1041666667</v>
      </c>
      <c r="G126" s="65" t="s">
        <v>21</v>
      </c>
      <c r="H126" s="65">
        <v>11.0</v>
      </c>
      <c r="I126" s="42" t="str">
        <f>HYPERLINK("https://www.thedailystar.net/coronavirus-update-in-bangladesh-4-more-infected-1886599","Source")</f>
        <v>Source</v>
      </c>
      <c r="J126" s="24"/>
      <c r="K126" s="24"/>
      <c r="L126" s="56">
        <v>48.0</v>
      </c>
      <c r="M126" s="56">
        <v>5.0</v>
      </c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30.0" customHeight="1">
      <c r="A127" s="28" t="s">
        <v>255</v>
      </c>
      <c r="B127" s="56">
        <v>46.0</v>
      </c>
      <c r="C127" s="32">
        <f t="shared" si="1"/>
        <v>0</v>
      </c>
      <c r="D127" s="56">
        <v>0.0</v>
      </c>
      <c r="E127" s="35">
        <f t="shared" si="2"/>
        <v>0</v>
      </c>
      <c r="F127" s="37">
        <f t="shared" si="3"/>
        <v>0</v>
      </c>
      <c r="G127" s="65" t="s">
        <v>21</v>
      </c>
      <c r="H127" s="65">
        <v>1.0</v>
      </c>
      <c r="I127" s="42" t="str">
        <f>HYPERLINK("https://www.arubacovid19.org/","Source")</f>
        <v>Source</v>
      </c>
      <c r="J127" s="24"/>
      <c r="K127" s="24"/>
      <c r="L127" s="56">
        <v>46.0</v>
      </c>
      <c r="M127" s="56">
        <v>0.0</v>
      </c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30.0" customHeight="1">
      <c r="A128" s="28" t="s">
        <v>256</v>
      </c>
      <c r="B128" s="56">
        <v>43.0</v>
      </c>
      <c r="C128" s="32">
        <f t="shared" si="1"/>
        <v>10</v>
      </c>
      <c r="D128" s="56">
        <v>1.0</v>
      </c>
      <c r="E128" s="35">
        <f t="shared" si="2"/>
        <v>1</v>
      </c>
      <c r="F128" s="37">
        <f t="shared" si="3"/>
        <v>0.02325581395</v>
      </c>
      <c r="G128" s="65" t="s">
        <v>21</v>
      </c>
      <c r="H128" s="65">
        <v>1.0</v>
      </c>
      <c r="I128" s="42" t="str">
        <f>HYPERLINK("https://en.gouv.mc/Policy-Practice/Coronavirus-Covid-2019/Actualites/CORONAVIRUS-un-nouveau-cas-positif-revele-a-Monaco2","Source")</f>
        <v>Source</v>
      </c>
      <c r="J128" s="24"/>
      <c r="K128" s="24"/>
      <c r="L128" s="56">
        <v>33.0</v>
      </c>
      <c r="M128" s="56">
        <v>0.0</v>
      </c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30.0" customHeight="1">
      <c r="A129" s="28" t="s">
        <v>257</v>
      </c>
      <c r="B129" s="56">
        <v>39.0</v>
      </c>
      <c r="C129" s="32">
        <f t="shared" si="1"/>
        <v>0</v>
      </c>
      <c r="D129" s="56">
        <v>0.0</v>
      </c>
      <c r="E129" s="35">
        <f t="shared" si="2"/>
        <v>0</v>
      </c>
      <c r="F129" s="50">
        <f t="shared" si="3"/>
        <v>0</v>
      </c>
      <c r="G129" s="65" t="s">
        <v>21</v>
      </c>
      <c r="H129" s="65" t="s">
        <v>21</v>
      </c>
      <c r="I129" s="42" t="str">
        <f>HYPERLINK("https://www.gov.gg/coronavirus","Source")</f>
        <v>Source</v>
      </c>
      <c r="J129" s="24"/>
      <c r="K129" s="24"/>
      <c r="L129" s="56">
        <v>39.0</v>
      </c>
      <c r="M129" s="56">
        <v>0.0</v>
      </c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30.0" customHeight="1">
      <c r="A130" s="28" t="s">
        <v>258</v>
      </c>
      <c r="B130" s="56">
        <v>38.0</v>
      </c>
      <c r="C130" s="32">
        <f t="shared" si="1"/>
        <v>0</v>
      </c>
      <c r="D130" s="56">
        <v>1.0</v>
      </c>
      <c r="E130" s="35">
        <f t="shared" si="2"/>
        <v>0</v>
      </c>
      <c r="F130" s="37">
        <f t="shared" si="3"/>
        <v>0.02631578947</v>
      </c>
      <c r="G130" s="65">
        <v>0.0</v>
      </c>
      <c r="H130" s="65">
        <v>1.0</v>
      </c>
      <c r="I130" s="42" t="str">
        <f>HYPERLINK("https://www.nation.co.ke/","Source")</f>
        <v>Source</v>
      </c>
      <c r="J130" s="24"/>
      <c r="K130" s="24"/>
      <c r="L130" s="56">
        <v>38.0</v>
      </c>
      <c r="M130" s="56">
        <v>1.0</v>
      </c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27.75" customHeight="1">
      <c r="A131" s="28" t="s">
        <v>194</v>
      </c>
      <c r="B131" s="56">
        <v>34.0</v>
      </c>
      <c r="C131" s="32">
        <f t="shared" si="1"/>
        <v>0</v>
      </c>
      <c r="D131" s="56">
        <v>1.0</v>
      </c>
      <c r="E131" s="35">
        <f t="shared" si="2"/>
        <v>0</v>
      </c>
      <c r="F131" s="37">
        <f t="shared" si="3"/>
        <v>0.02941176471</v>
      </c>
      <c r="G131" s="65" t="s">
        <v>21</v>
      </c>
      <c r="H131" s="65">
        <v>10.0</v>
      </c>
      <c r="I131" s="42" t="str">
        <f>HYPERLINK("https://www.mspas.gob.gt/index.php/noticias/coronavirus-2019-ncov","Source")</f>
        <v>Source</v>
      </c>
      <c r="J131" s="24"/>
      <c r="K131" s="24"/>
      <c r="L131" s="56">
        <v>34.0</v>
      </c>
      <c r="M131" s="56">
        <v>1.0</v>
      </c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30.0" customHeight="1">
      <c r="A132" s="28" t="s">
        <v>259</v>
      </c>
      <c r="B132" s="56">
        <v>32.0</v>
      </c>
      <c r="C132" s="32">
        <f t="shared" si="1"/>
        <v>0</v>
      </c>
      <c r="D132" s="56">
        <v>0.0</v>
      </c>
      <c r="E132" s="35">
        <f t="shared" si="2"/>
        <v>0</v>
      </c>
      <c r="F132" s="50">
        <f t="shared" si="3"/>
        <v>0</v>
      </c>
      <c r="G132" s="65" t="s">
        <v>21</v>
      </c>
      <c r="H132" s="65" t="s">
        <v>21</v>
      </c>
      <c r="I132" s="42" t="str">
        <f>HYPERLINK("https://covid19.gov.im/general-information/latest-updates/","Source")</f>
        <v>Source</v>
      </c>
      <c r="J132" s="24"/>
      <c r="K132" s="24"/>
      <c r="L132" s="56">
        <v>32.0</v>
      </c>
      <c r="M132" s="56">
        <v>0.0</v>
      </c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30.0" customHeight="1">
      <c r="A133" s="28" t="s">
        <v>260</v>
      </c>
      <c r="B133" s="56">
        <v>31.0</v>
      </c>
      <c r="C133" s="32">
        <f t="shared" si="1"/>
        <v>0</v>
      </c>
      <c r="D133" s="56">
        <v>0.0</v>
      </c>
      <c r="E133" s="35">
        <f t="shared" si="2"/>
        <v>0</v>
      </c>
      <c r="F133" s="50">
        <f t="shared" si="3"/>
        <v>0</v>
      </c>
      <c r="G133" s="65" t="s">
        <v>21</v>
      </c>
      <c r="H133" s="65">
        <v>10.0</v>
      </c>
      <c r="I133" s="42" t="str">
        <f>HYPERLINK("https://www.ssm.gov.mo/docs/17754/17754_6d86a053e10a4043998072203539296b_000.pdf","Source")</f>
        <v>Source</v>
      </c>
      <c r="J133" s="24"/>
      <c r="K133" s="24"/>
      <c r="L133" s="56">
        <v>31.0</v>
      </c>
      <c r="M133" s="56">
        <v>0.0</v>
      </c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30.0" customHeight="1">
      <c r="A134" s="28" t="s">
        <v>261</v>
      </c>
      <c r="B134" s="56">
        <v>30.0</v>
      </c>
      <c r="C134" s="32">
        <f t="shared" si="1"/>
        <v>0</v>
      </c>
      <c r="D134" s="56">
        <v>0.0</v>
      </c>
      <c r="E134" s="35">
        <f t="shared" si="2"/>
        <v>0</v>
      </c>
      <c r="F134" s="37">
        <f t="shared" si="3"/>
        <v>0</v>
      </c>
      <c r="G134" s="65" t="s">
        <v>21</v>
      </c>
      <c r="H134" s="65" t="s">
        <v>21</v>
      </c>
      <c r="I134" s="42" t="str">
        <f>HYPERLINK("https://www.tahitinews.co/index.php/2020/03/26/coronavirus-30-cas-et-330-personnes-depistees-jeudi-26-mars/","Source")</f>
        <v>Source</v>
      </c>
      <c r="J134" s="24"/>
      <c r="K134" s="24"/>
      <c r="L134" s="56">
        <v>30.0</v>
      </c>
      <c r="M134" s="56">
        <v>0.0</v>
      </c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30.0" customHeight="1">
      <c r="A135" s="28" t="s">
        <v>262</v>
      </c>
      <c r="B135" s="56">
        <v>30.0</v>
      </c>
      <c r="C135" s="32">
        <f t="shared" si="1"/>
        <v>0</v>
      </c>
      <c r="D135" s="56">
        <v>1.0</v>
      </c>
      <c r="E135" s="35">
        <f t="shared" si="2"/>
        <v>0</v>
      </c>
      <c r="F135" s="50">
        <f t="shared" si="3"/>
        <v>0.03333333333</v>
      </c>
      <c r="G135" s="65" t="s">
        <v>21</v>
      </c>
      <c r="H135" s="65" t="s">
        <v>21</v>
      </c>
      <c r="I135" s="42" t="str">
        <f>HYPERLINK("https://twitter.com/christufton/status/1243686131243397126","Source")</f>
        <v>Source</v>
      </c>
      <c r="J135" s="24"/>
      <c r="K135" s="24"/>
      <c r="L135" s="56">
        <v>30.0</v>
      </c>
      <c r="M135" s="56">
        <v>1.0</v>
      </c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30.0" customHeight="1">
      <c r="A136" s="28" t="s">
        <v>263</v>
      </c>
      <c r="B136" s="56">
        <v>30.0</v>
      </c>
      <c r="C136" s="32">
        <f t="shared" si="1"/>
        <v>0</v>
      </c>
      <c r="D136" s="56">
        <v>0.0</v>
      </c>
      <c r="E136" s="35">
        <f t="shared" si="2"/>
        <v>0</v>
      </c>
      <c r="F136" s="37">
        <f t="shared" si="3"/>
        <v>0</v>
      </c>
      <c r="G136" s="65" t="s">
        <v>21</v>
      </c>
      <c r="H136" s="65">
        <v>0.0</v>
      </c>
      <c r="I136" s="42" t="str">
        <f>HYPERLINK("https://covid19.gou.go.ug/","Source")</f>
        <v>Source</v>
      </c>
      <c r="J136" s="24"/>
      <c r="K136" s="24"/>
      <c r="L136" s="56">
        <v>30.0</v>
      </c>
      <c r="M136" s="56">
        <v>0.0</v>
      </c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27.75" customHeight="1">
      <c r="A137" s="28" t="s">
        <v>264</v>
      </c>
      <c r="B137" s="56">
        <v>28.0</v>
      </c>
      <c r="C137" s="32">
        <f t="shared" si="1"/>
        <v>0</v>
      </c>
      <c r="D137" s="56">
        <v>1.0</v>
      </c>
      <c r="E137" s="35">
        <f t="shared" si="2"/>
        <v>0</v>
      </c>
      <c r="F137" s="50">
        <f t="shared" si="3"/>
        <v>0.03571428571</v>
      </c>
      <c r="G137" s="65" t="s">
        <v>21</v>
      </c>
      <c r="H137" s="65">
        <v>1.0</v>
      </c>
      <c r="I137" s="42" t="str">
        <f>HYPERLINK("https://covid19.gouv.tg/","Source")</f>
        <v>Source</v>
      </c>
      <c r="J137" s="24"/>
      <c r="K137" s="24"/>
      <c r="L137" s="56">
        <v>28.0</v>
      </c>
      <c r="M137" s="56">
        <v>1.0</v>
      </c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30.0" customHeight="1">
      <c r="A138" s="28" t="s">
        <v>265</v>
      </c>
      <c r="B138" s="56">
        <v>24.0</v>
      </c>
      <c r="C138" s="32">
        <f t="shared" si="1"/>
        <v>0</v>
      </c>
      <c r="D138" s="56">
        <v>0.0</v>
      </c>
      <c r="E138" s="35">
        <f t="shared" si="2"/>
        <v>0</v>
      </c>
      <c r="F138" s="37">
        <f t="shared" si="3"/>
        <v>0</v>
      </c>
      <c r="G138" s="65">
        <v>0.0</v>
      </c>
      <c r="H138" s="65">
        <v>0.0</v>
      </c>
      <c r="I138" s="42" t="str">
        <f>HYPERLINK("http://www.loopcayman.com/content/barbados-has-24-covid-positive-cases-march-26-8-pm-0","Source")</f>
        <v>Source</v>
      </c>
      <c r="J138" s="24"/>
      <c r="K138" s="24"/>
      <c r="L138" s="56">
        <v>24.0</v>
      </c>
      <c r="M138" s="56">
        <v>0.0</v>
      </c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30.0" customHeight="1">
      <c r="A139" s="28" t="s">
        <v>266</v>
      </c>
      <c r="B139" s="56">
        <v>23.0</v>
      </c>
      <c r="C139" s="32">
        <f t="shared" si="1"/>
        <v>0</v>
      </c>
      <c r="D139" s="56">
        <v>0.0</v>
      </c>
      <c r="E139" s="35">
        <f t="shared" si="2"/>
        <v>0</v>
      </c>
      <c r="F139" s="50">
        <f t="shared" si="3"/>
        <v>0</v>
      </c>
      <c r="G139" s="65">
        <v>1.0</v>
      </c>
      <c r="H139" s="65">
        <v>0.0</v>
      </c>
      <c r="I139" s="42" t="str">
        <f>HYPERLINK("https://lexpress.mg/27/03/2020/pandemie-quatre-nouveaux-cas-confirmes/","Source")</f>
        <v>Source</v>
      </c>
      <c r="J139" s="24"/>
      <c r="K139" s="24"/>
      <c r="L139" s="56">
        <v>23.0</v>
      </c>
      <c r="M139" s="56">
        <v>0.0</v>
      </c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30.0" customHeight="1">
      <c r="A140" s="28" t="s">
        <v>267</v>
      </c>
      <c r="B140" s="56">
        <v>17.0</v>
      </c>
      <c r="C140" s="32">
        <f t="shared" si="1"/>
        <v>0</v>
      </c>
      <c r="D140" s="56">
        <v>0.0</v>
      </c>
      <c r="E140" s="35">
        <f t="shared" si="2"/>
        <v>0</v>
      </c>
      <c r="F140" s="37">
        <f t="shared" si="3"/>
        <v>0</v>
      </c>
      <c r="G140" s="65" t="s">
        <v>21</v>
      </c>
      <c r="H140" s="65" t="s">
        <v>21</v>
      </c>
      <c r="I140" s="42" t="str">
        <f>HYPERLINK("https://www.gov.bm/articles/covid-19-update-premier-david-burt-26-march-2020","Source")</f>
        <v>Source</v>
      </c>
      <c r="J140" s="24"/>
      <c r="K140" s="24"/>
      <c r="L140" s="56">
        <v>17.0</v>
      </c>
      <c r="M140" s="56">
        <v>0.0</v>
      </c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30.0" customHeight="1">
      <c r="A141" s="28" t="s">
        <v>268</v>
      </c>
      <c r="B141" s="56">
        <v>16.0</v>
      </c>
      <c r="C141" s="32">
        <f t="shared" si="1"/>
        <v>0</v>
      </c>
      <c r="D141" s="56">
        <v>0.0</v>
      </c>
      <c r="E141" s="35">
        <f t="shared" si="2"/>
        <v>0</v>
      </c>
      <c r="F141" s="37">
        <f t="shared" si="3"/>
        <v>0</v>
      </c>
      <c r="G141" s="65" t="s">
        <v>21</v>
      </c>
      <c r="H141" s="65">
        <v>0.0</v>
      </c>
      <c r="I141" s="42" t="str">
        <f>HYPERLINK("https://www.facebook.com/EdgarChagwaLungu/photos/a.831065900282970/2957230877666451/?type=3&amp;theater","Source")</f>
        <v>Source</v>
      </c>
      <c r="J141" s="24"/>
      <c r="K141" s="24"/>
      <c r="L141" s="56">
        <v>16.0</v>
      </c>
      <c r="M141" s="56">
        <v>0.0</v>
      </c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30.0" customHeight="1">
      <c r="A142" s="28" t="s">
        <v>269</v>
      </c>
      <c r="B142" s="56">
        <v>16.0</v>
      </c>
      <c r="C142" s="32">
        <f t="shared" si="1"/>
        <v>0</v>
      </c>
      <c r="D142" s="56">
        <v>0.0</v>
      </c>
      <c r="E142" s="35">
        <f t="shared" si="2"/>
        <v>0</v>
      </c>
      <c r="F142" s="50">
        <f t="shared" si="3"/>
        <v>0</v>
      </c>
      <c r="G142" s="65" t="s">
        <v>21</v>
      </c>
      <c r="H142" s="65">
        <v>1.0</v>
      </c>
      <c r="I142" s="42" t="str">
        <f>HYPERLINK("https://twitter.com/lia_tadesse/status/1243852051324506112","Source")</f>
        <v>Source</v>
      </c>
      <c r="J142" s="24"/>
      <c r="K142" s="24"/>
      <c r="L142" s="56">
        <v>16.0</v>
      </c>
      <c r="M142" s="56">
        <v>0.0</v>
      </c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27.75" customHeight="1">
      <c r="A143" s="28" t="s">
        <v>270</v>
      </c>
      <c r="B143" s="56">
        <v>16.0</v>
      </c>
      <c r="C143" s="32">
        <f t="shared" si="1"/>
        <v>0</v>
      </c>
      <c r="D143" s="56">
        <v>0.0</v>
      </c>
      <c r="E143" s="35">
        <f t="shared" si="2"/>
        <v>0</v>
      </c>
      <c r="F143" s="50">
        <f t="shared" si="3"/>
        <v>0</v>
      </c>
      <c r="G143" s="65" t="s">
        <v>21</v>
      </c>
      <c r="H143" s="65">
        <v>11.0</v>
      </c>
      <c r="I143" s="42" t="str">
        <f>HYPERLINK("https://covid19.health.gov.mv/en/","Source")</f>
        <v>Source</v>
      </c>
      <c r="J143" s="24"/>
      <c r="K143" s="24"/>
      <c r="L143" s="56">
        <v>16.0</v>
      </c>
      <c r="M143" s="56">
        <v>0.0</v>
      </c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30.0" customHeight="1">
      <c r="A144" s="28" t="s">
        <v>271</v>
      </c>
      <c r="B144" s="56">
        <v>15.0</v>
      </c>
      <c r="C144" s="32">
        <f t="shared" si="1"/>
        <v>0</v>
      </c>
      <c r="D144" s="56">
        <v>0.0</v>
      </c>
      <c r="E144" s="35">
        <f t="shared" si="2"/>
        <v>0</v>
      </c>
      <c r="F144" s="50">
        <f t="shared" si="3"/>
        <v>0</v>
      </c>
      <c r="G144" s="65" t="s">
        <v>21</v>
      </c>
      <c r="H144" s="65" t="s">
        <v>21</v>
      </c>
      <c r="I144" s="42" t="str">
        <f>HYPERLINK("https://gouv.nc/coronavirus","Source")</f>
        <v>Source</v>
      </c>
      <c r="J144" s="24"/>
      <c r="K144" s="24"/>
      <c r="L144" s="56">
        <v>15.0</v>
      </c>
      <c r="M144" s="56">
        <v>0.0</v>
      </c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30.0" customHeight="1">
      <c r="A145" s="28" t="s">
        <v>195</v>
      </c>
      <c r="B145" s="56">
        <v>13.0</v>
      </c>
      <c r="C145" s="32">
        <f t="shared" si="1"/>
        <v>0</v>
      </c>
      <c r="D145" s="56">
        <v>0.0</v>
      </c>
      <c r="E145" s="35">
        <f t="shared" si="2"/>
        <v>0</v>
      </c>
      <c r="F145" s="37">
        <f t="shared" si="3"/>
        <v>0</v>
      </c>
      <c r="G145" s="65" t="s">
        <v>21</v>
      </c>
      <c r="H145" s="65" t="s">
        <v>21</v>
      </c>
      <c r="I145" s="42" t="str">
        <f>HYPERLINK("https://twitter.com/SecPrensaSV/status/1243017484200030210","Source")</f>
        <v>Source</v>
      </c>
      <c r="J145" s="24"/>
      <c r="K145" s="24"/>
      <c r="L145" s="56">
        <v>13.0</v>
      </c>
      <c r="M145" s="56">
        <v>0.0</v>
      </c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30.0" customHeight="1">
      <c r="A146" s="28" t="s">
        <v>272</v>
      </c>
      <c r="B146" s="56">
        <v>13.0</v>
      </c>
      <c r="C146" s="32">
        <f t="shared" si="1"/>
        <v>0</v>
      </c>
      <c r="D146" s="56">
        <v>0.0</v>
      </c>
      <c r="E146" s="35">
        <f t="shared" si="2"/>
        <v>0</v>
      </c>
      <c r="F146" s="50">
        <f t="shared" si="3"/>
        <v>0</v>
      </c>
      <c r="G146" s="65" t="s">
        <v>21</v>
      </c>
      <c r="H146" s="65" t="s">
        <v>21</v>
      </c>
      <c r="I146" s="42" t="str">
        <f>HYPERLINK("https://twitter.com/AfricaCDC/status/1243444282230538240","Source")</f>
        <v>Source</v>
      </c>
      <c r="J146" s="24"/>
      <c r="K146" s="24"/>
      <c r="L146" s="56">
        <v>13.0</v>
      </c>
      <c r="M146" s="56">
        <v>0.0</v>
      </c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30.0" customHeight="1">
      <c r="A147" s="28" t="s">
        <v>273</v>
      </c>
      <c r="B147" s="56">
        <v>12.0</v>
      </c>
      <c r="C147" s="32">
        <f t="shared" si="1"/>
        <v>0</v>
      </c>
      <c r="D147" s="56">
        <v>0.0</v>
      </c>
      <c r="E147" s="35">
        <f t="shared" si="2"/>
        <v>0</v>
      </c>
      <c r="F147" s="37">
        <f t="shared" si="3"/>
        <v>0</v>
      </c>
      <c r="G147" s="65" t="s">
        <v>21</v>
      </c>
      <c r="H147" s="65" t="s">
        <v>21</v>
      </c>
      <c r="I147" s="42" t="str">
        <f>HYPERLINK("https://www.guineaecuatorialpress.com/noticia.php?id=15173","Source")</f>
        <v>Source</v>
      </c>
      <c r="J147" s="24"/>
      <c r="K147" s="24"/>
      <c r="L147" s="56">
        <v>12.0</v>
      </c>
      <c r="M147" s="56">
        <v>0.0</v>
      </c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30.0" customHeight="1">
      <c r="A148" s="28" t="s">
        <v>274</v>
      </c>
      <c r="B148" s="56">
        <v>11.0</v>
      </c>
      <c r="C148" s="32">
        <f t="shared" si="1"/>
        <v>0</v>
      </c>
      <c r="D148" s="56">
        <v>0.0</v>
      </c>
      <c r="E148" s="35">
        <f t="shared" si="2"/>
        <v>0</v>
      </c>
      <c r="F148" s="50">
        <f t="shared" si="3"/>
        <v>0</v>
      </c>
      <c r="G148" s="65">
        <v>0.0</v>
      </c>
      <c r="H148" s="65">
        <v>0.0</v>
      </c>
      <c r="I148" s="42" t="str">
        <f>HYPERLINK("https://www.facebook.com/minister.sante.dj/photos/a.1390385961000334/2960716433967271/?type=3&amp;theater","Source")</f>
        <v>Source</v>
      </c>
      <c r="J148" s="24"/>
      <c r="K148" s="24"/>
      <c r="L148" s="56">
        <v>11.0</v>
      </c>
      <c r="M148" s="56">
        <v>0.0</v>
      </c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30.0" customHeight="1">
      <c r="A149" s="28" t="s">
        <v>275</v>
      </c>
      <c r="B149" s="56">
        <v>11.0</v>
      </c>
      <c r="C149" s="32">
        <f t="shared" si="1"/>
        <v>0</v>
      </c>
      <c r="D149" s="56">
        <v>0.0</v>
      </c>
      <c r="E149" s="35">
        <f t="shared" si="2"/>
        <v>0</v>
      </c>
      <c r="F149" s="37">
        <f t="shared" si="3"/>
        <v>0</v>
      </c>
      <c r="G149" s="65">
        <v>2.0</v>
      </c>
      <c r="H149" s="65" t="s">
        <v>21</v>
      </c>
      <c r="I149" s="42" t="str">
        <f>HYPERLINK("https://montsame.mn/en/read/220182","Source")</f>
        <v>Source</v>
      </c>
      <c r="J149" s="24"/>
      <c r="K149" s="24"/>
      <c r="L149" s="56">
        <v>11.0</v>
      </c>
      <c r="M149" s="56">
        <v>0.0</v>
      </c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30.0" customHeight="1">
      <c r="A150" s="28" t="s">
        <v>276</v>
      </c>
      <c r="B150" s="56">
        <v>10.0</v>
      </c>
      <c r="C150" s="32">
        <f t="shared" si="1"/>
        <v>0</v>
      </c>
      <c r="D150" s="56">
        <v>0.0</v>
      </c>
      <c r="E150" s="35">
        <f t="shared" si="2"/>
        <v>0</v>
      </c>
      <c r="F150" s="50">
        <f t="shared" si="3"/>
        <v>0</v>
      </c>
      <c r="G150" s="65" t="s">
        <v>21</v>
      </c>
      <c r="H150" s="65">
        <v>2.0</v>
      </c>
      <c r="I150" s="42" t="str">
        <f>HYPERLINK("https://nun.gl/Emner/Borgere/Coronavirus_emne/Foelg_smittespredningen?sc_lang=da","Source")</f>
        <v>Source</v>
      </c>
      <c r="J150" s="24"/>
      <c r="K150" s="24"/>
      <c r="L150" s="56">
        <v>10.0</v>
      </c>
      <c r="M150" s="56">
        <v>0.0</v>
      </c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30.0" customHeight="1">
      <c r="A151" s="28" t="s">
        <v>277</v>
      </c>
      <c r="B151" s="56">
        <v>9.0</v>
      </c>
      <c r="C151" s="32">
        <f t="shared" si="1"/>
        <v>0</v>
      </c>
      <c r="D151" s="56">
        <v>0.0</v>
      </c>
      <c r="E151" s="35">
        <f t="shared" si="2"/>
        <v>0</v>
      </c>
      <c r="F151" s="50">
        <f t="shared" si="3"/>
        <v>0</v>
      </c>
      <c r="G151" s="65">
        <v>0.0</v>
      </c>
      <c r="H151" s="65">
        <v>1.0</v>
      </c>
      <c r="I151" s="42" t="str">
        <f>HYPERLINK("https://covid19.gov.bs/wp-content/uploads/2020/03/Health-Press-Conference-Remarks-26.3.20-v.3.pdf","Source")</f>
        <v>Source</v>
      </c>
      <c r="J151" s="24"/>
      <c r="K151" s="24"/>
      <c r="L151" s="56">
        <v>9.0</v>
      </c>
      <c r="M151" s="56">
        <v>0.0</v>
      </c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30.0" customHeight="1">
      <c r="A152" s="28" t="s">
        <v>278</v>
      </c>
      <c r="B152" s="56">
        <v>9.0</v>
      </c>
      <c r="C152" s="32">
        <f t="shared" si="1"/>
        <v>0</v>
      </c>
      <c r="D152" s="56">
        <v>0.0</v>
      </c>
      <c r="E152" s="35">
        <f t="shared" si="2"/>
        <v>0</v>
      </c>
      <c r="F152" s="37">
        <f t="shared" si="3"/>
        <v>0</v>
      </c>
      <c r="G152" s="65">
        <v>0.0</v>
      </c>
      <c r="H152" s="65">
        <v>0.0</v>
      </c>
      <c r="I152" s="42" t="str">
        <f>HYPERLINK("https://twitter.com/EswatiniGovern1/status/1243216761832570881","Source")</f>
        <v>Source</v>
      </c>
      <c r="J152" s="24"/>
      <c r="K152" s="24"/>
      <c r="L152" s="56">
        <v>9.0</v>
      </c>
      <c r="M152" s="56">
        <v>0.0</v>
      </c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30.0" customHeight="1">
      <c r="A153" s="28" t="s">
        <v>279</v>
      </c>
      <c r="B153" s="56">
        <v>8.0</v>
      </c>
      <c r="C153" s="32">
        <f t="shared" si="1"/>
        <v>0</v>
      </c>
      <c r="D153" s="56">
        <v>1.0</v>
      </c>
      <c r="E153" s="35">
        <f t="shared" si="2"/>
        <v>0</v>
      </c>
      <c r="F153" s="37">
        <f t="shared" si="3"/>
        <v>0.125</v>
      </c>
      <c r="G153" s="65" t="s">
        <v>21</v>
      </c>
      <c r="H153" s="65" t="s">
        <v>21</v>
      </c>
      <c r="I153" s="42" t="str">
        <f>HYPERLINK("http://www.gov.ky/portal/page/portal/cighome/pressroom/archive/March%202020/thursday-covid-19-%20update","Source")</f>
        <v>Source</v>
      </c>
      <c r="J153" s="24"/>
      <c r="K153" s="24"/>
      <c r="L153" s="56">
        <v>8.0</v>
      </c>
      <c r="M153" s="56">
        <v>1.0</v>
      </c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30.0" customHeight="1">
      <c r="A154" s="28" t="s">
        <v>280</v>
      </c>
      <c r="B154" s="56">
        <v>8.0</v>
      </c>
      <c r="C154" s="32">
        <f t="shared" si="1"/>
        <v>0</v>
      </c>
      <c r="D154" s="56">
        <v>1.0</v>
      </c>
      <c r="E154" s="35">
        <f t="shared" si="2"/>
        <v>0</v>
      </c>
      <c r="F154" s="50">
        <f t="shared" si="3"/>
        <v>0.125</v>
      </c>
      <c r="G154" s="65" t="s">
        <v>21</v>
      </c>
      <c r="H154" s="65" t="s">
        <v>21</v>
      </c>
      <c r="I154" s="42" t="str">
        <f>HYPERLINK("http://www.lesahel.org/index.php/2020/03/27/le-ministre-en-charge-des-affaires-etrangeres-rencontre-le-corps-diplomatique-a-propos-de-la-lutte-contre-le-coronavirus-au-niger-les-diplomates-saluent-les-mesures-prises-par-le-gouvernement/","Source")</f>
        <v>Source</v>
      </c>
      <c r="J154" s="24"/>
      <c r="K154" s="24"/>
      <c r="L154" s="56">
        <v>8.0</v>
      </c>
      <c r="M154" s="56">
        <v>1.0</v>
      </c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30.0" customHeight="1">
      <c r="A155" s="28" t="s">
        <v>281</v>
      </c>
      <c r="B155" s="56">
        <v>8.0</v>
      </c>
      <c r="C155" s="32">
        <f t="shared" si="1"/>
        <v>0</v>
      </c>
      <c r="D155" s="56">
        <v>0.0</v>
      </c>
      <c r="E155" s="35">
        <f t="shared" si="2"/>
        <v>0</v>
      </c>
      <c r="F155" s="37">
        <f t="shared" si="3"/>
        <v>0</v>
      </c>
      <c r="G155" s="65" t="s">
        <v>21</v>
      </c>
      <c r="H155" s="65" t="s">
        <v>21</v>
      </c>
      <c r="I155" s="42" t="str">
        <f>HYPERLINK("https://covid-19.sr/","Source")</f>
        <v>Source</v>
      </c>
      <c r="J155" s="24"/>
      <c r="K155" s="24"/>
      <c r="L155" s="56">
        <v>8.0</v>
      </c>
      <c r="M155" s="56">
        <v>0.0</v>
      </c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30.0" customHeight="1">
      <c r="A156" s="28" t="s">
        <v>282</v>
      </c>
      <c r="B156" s="56">
        <v>8.0</v>
      </c>
      <c r="C156" s="32">
        <f t="shared" si="1"/>
        <v>0</v>
      </c>
      <c r="D156" s="56">
        <v>0.0</v>
      </c>
      <c r="E156" s="35">
        <f t="shared" si="2"/>
        <v>0</v>
      </c>
      <c r="F156" s="50">
        <f t="shared" si="3"/>
        <v>0</v>
      </c>
      <c r="G156" s="65">
        <v>0.0</v>
      </c>
      <c r="H156" s="65">
        <v>0.0</v>
      </c>
      <c r="I156" s="42" t="str">
        <f>HYPERLINK("https://live.namibian.com.na/eighth-covid-19-case-confirmed/","Source")</f>
        <v>Source</v>
      </c>
      <c r="J156" s="24"/>
      <c r="K156" s="24"/>
      <c r="L156" s="56">
        <v>8.0</v>
      </c>
      <c r="M156" s="56">
        <v>0.0</v>
      </c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30.0" customHeight="1">
      <c r="A157" s="28" t="s">
        <v>283</v>
      </c>
      <c r="B157" s="56">
        <v>8.0</v>
      </c>
      <c r="C157" s="32">
        <v>0.0</v>
      </c>
      <c r="D157" s="56">
        <v>1.0</v>
      </c>
      <c r="E157" s="35">
        <f t="shared" si="2"/>
        <v>0</v>
      </c>
      <c r="F157" s="50">
        <f t="shared" si="3"/>
        <v>0.125</v>
      </c>
      <c r="G157" s="65" t="s">
        <v>21</v>
      </c>
      <c r="H157" s="65" t="s">
        <v>21</v>
      </c>
      <c r="I157" s="42" t="str">
        <f>HYPERLINK("https://dpi.gov.gy/covid19/","Source")</f>
        <v>Source</v>
      </c>
      <c r="J157" s="24"/>
      <c r="K157" s="24"/>
      <c r="L157" s="56">
        <v>8.0</v>
      </c>
      <c r="M157" s="56">
        <v>1.0</v>
      </c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30.0" customHeight="1">
      <c r="A158" s="28" t="s">
        <v>284</v>
      </c>
      <c r="B158" s="56">
        <v>8.0</v>
      </c>
      <c r="C158" s="32">
        <f t="shared" ref="C158:C200" si="4">MINUS(B158,L158)</f>
        <v>0</v>
      </c>
      <c r="D158" s="56">
        <v>0.0</v>
      </c>
      <c r="E158" s="35">
        <f t="shared" si="2"/>
        <v>0</v>
      </c>
      <c r="F158" s="37">
        <f t="shared" si="3"/>
        <v>0</v>
      </c>
      <c r="G158" s="65" t="s">
        <v>21</v>
      </c>
      <c r="H158" s="65" t="s">
        <v>21</v>
      </c>
      <c r="I158" s="42" t="str">
        <f>HYPERLINK("https://twitter.com/MsppOfficiel/status/1242916359954194432","Source")</f>
        <v>Source</v>
      </c>
      <c r="J158" s="24"/>
      <c r="K158" s="24"/>
      <c r="L158" s="56">
        <v>8.0</v>
      </c>
      <c r="M158" s="56">
        <v>0.0</v>
      </c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30.0" customHeight="1">
      <c r="A159" s="28" t="s">
        <v>285</v>
      </c>
      <c r="B159" s="56">
        <v>8.0</v>
      </c>
      <c r="C159" s="32">
        <f t="shared" si="4"/>
        <v>0</v>
      </c>
      <c r="D159" s="56">
        <v>0.0</v>
      </c>
      <c r="E159" s="35">
        <f t="shared" si="2"/>
        <v>0</v>
      </c>
      <c r="F159" s="50">
        <f t="shared" si="3"/>
        <v>0</v>
      </c>
      <c r="G159" s="65">
        <v>1.0</v>
      </c>
      <c r="H159" s="65">
        <v>0.0</v>
      </c>
      <c r="I159" s="42" t="str">
        <f>HYPERLINK("http://www.health.gov.sc/index.php/2020/03/25/press-update-25th-march-2020/","Source")</f>
        <v>Source</v>
      </c>
      <c r="J159" s="24"/>
      <c r="K159" s="24"/>
      <c r="L159" s="56">
        <v>8.0</v>
      </c>
      <c r="M159" s="56">
        <v>0.0</v>
      </c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30.0" customHeight="1">
      <c r="A160" s="28" t="s">
        <v>286</v>
      </c>
      <c r="B160" s="56">
        <v>7.0</v>
      </c>
      <c r="C160" s="32">
        <f t="shared" si="4"/>
        <v>0</v>
      </c>
      <c r="D160" s="56">
        <v>0.0</v>
      </c>
      <c r="E160" s="35">
        <f t="shared" si="2"/>
        <v>0</v>
      </c>
      <c r="F160" s="37">
        <f t="shared" si="3"/>
        <v>0</v>
      </c>
      <c r="G160" s="65">
        <v>1.0</v>
      </c>
      <c r="H160" s="65">
        <v>0.0</v>
      </c>
      <c r="I160" s="42" t="str">
        <f>HYPERLINK("https://www.mgovernance.net/grenada-confirms-six-additional-cases-coronavirus","Source")</f>
        <v>Source</v>
      </c>
      <c r="J160" s="24"/>
      <c r="K160" s="24"/>
      <c r="L160" s="56">
        <v>7.0</v>
      </c>
      <c r="M160" s="56">
        <v>0.0</v>
      </c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30.0" customHeight="1">
      <c r="A161" s="28" t="s">
        <v>287</v>
      </c>
      <c r="B161" s="56">
        <v>7.0</v>
      </c>
      <c r="C161" s="32">
        <f t="shared" si="4"/>
        <v>0</v>
      </c>
      <c r="D161" s="56">
        <v>0.0</v>
      </c>
      <c r="E161" s="35">
        <f t="shared" si="2"/>
        <v>0</v>
      </c>
      <c r="F161" s="50">
        <f t="shared" si="3"/>
        <v>0</v>
      </c>
      <c r="G161" s="65">
        <v>0.0</v>
      </c>
      <c r="H161" s="65">
        <v>0.0</v>
      </c>
      <c r="I161" s="42" t="str">
        <f>HYPERLINK("https://antiguaobserver.com/four-new-cases-of-covid-19-includes-first-locally-transmitted-case/","Source")</f>
        <v>Source</v>
      </c>
      <c r="J161" s="24"/>
      <c r="K161" s="24"/>
      <c r="L161" s="56">
        <v>7.0</v>
      </c>
      <c r="M161" s="56">
        <v>0.0</v>
      </c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30.0" customHeight="1">
      <c r="A162" s="28" t="s">
        <v>288</v>
      </c>
      <c r="B162" s="56">
        <v>7.0</v>
      </c>
      <c r="C162" s="32">
        <f t="shared" si="4"/>
        <v>0</v>
      </c>
      <c r="D162" s="56">
        <v>1.0</v>
      </c>
      <c r="E162" s="35">
        <f t="shared" si="2"/>
        <v>0</v>
      </c>
      <c r="F162" s="37">
        <f t="shared" si="3"/>
        <v>0.1428571429</v>
      </c>
      <c r="G162" s="65" t="s">
        <v>21</v>
      </c>
      <c r="H162" s="65" t="s">
        <v>21</v>
      </c>
      <c r="I162" s="42" t="str">
        <f>HYPERLINK("https://www.curacaochronicle.com/post/main/update-covid-19-curacao-seventh-infected-person-is-laboratory-assistant/","Source")</f>
        <v>Source</v>
      </c>
      <c r="J162" s="24"/>
      <c r="K162" s="24"/>
      <c r="L162" s="56">
        <v>7.0</v>
      </c>
      <c r="M162" s="56">
        <v>1.0</v>
      </c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30.0" customHeight="1">
      <c r="A163" s="28" t="s">
        <v>289</v>
      </c>
      <c r="B163" s="56">
        <v>7.0</v>
      </c>
      <c r="C163" s="32">
        <f t="shared" si="4"/>
        <v>0</v>
      </c>
      <c r="D163" s="56">
        <v>1.0</v>
      </c>
      <c r="E163" s="35">
        <f t="shared" si="2"/>
        <v>0</v>
      </c>
      <c r="F163" s="50">
        <f t="shared" si="3"/>
        <v>0.1428571429</v>
      </c>
      <c r="G163" s="65" t="s">
        <v>21</v>
      </c>
      <c r="H163" s="65" t="s">
        <v>21</v>
      </c>
      <c r="I163" s="42" t="str">
        <f>HYPERLINK("https://www.gabonreview.com/covid-19-un-7e-cas-positif-declare-au-gabon-en-moins-de-2-semaines/","Source")</f>
        <v>Source</v>
      </c>
      <c r="J163" s="24"/>
      <c r="K163" s="24"/>
      <c r="L163" s="56">
        <v>7.0</v>
      </c>
      <c r="M163" s="56">
        <v>1.0</v>
      </c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30.0" customHeight="1">
      <c r="A164" s="28" t="s">
        <v>290</v>
      </c>
      <c r="B164" s="56">
        <v>7.0</v>
      </c>
      <c r="C164" s="32">
        <f t="shared" si="4"/>
        <v>0</v>
      </c>
      <c r="D164" s="56">
        <v>1.0</v>
      </c>
      <c r="E164" s="35">
        <f t="shared" si="2"/>
        <v>0</v>
      </c>
      <c r="F164" s="50">
        <f t="shared" si="3"/>
        <v>0.1428571429</v>
      </c>
      <c r="G164" s="65">
        <v>0.0</v>
      </c>
      <c r="H164" s="65">
        <v>0.0</v>
      </c>
      <c r="I164" s="42" t="str">
        <f>HYPERLINK("https://twitter.com/MoHCCZim/status/1243855445950947328","Source")</f>
        <v>Source</v>
      </c>
      <c r="J164" s="24"/>
      <c r="K164" s="24"/>
      <c r="L164" s="56">
        <v>7.0</v>
      </c>
      <c r="M164" s="56">
        <v>1.0</v>
      </c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30.0" customHeight="1">
      <c r="A165" s="28" t="s">
        <v>291</v>
      </c>
      <c r="B165" s="56">
        <v>6.0</v>
      </c>
      <c r="C165" s="32">
        <f t="shared" si="4"/>
        <v>0</v>
      </c>
      <c r="D165" s="56">
        <v>0.0</v>
      </c>
      <c r="E165" s="35">
        <f t="shared" si="2"/>
        <v>0</v>
      </c>
      <c r="F165" s="37">
        <f t="shared" si="3"/>
        <v>0</v>
      </c>
      <c r="G165" s="65" t="s">
        <v>21</v>
      </c>
      <c r="H165" s="65" t="s">
        <v>21</v>
      </c>
      <c r="I165" s="42" t="str">
        <f>HYPERLINK("https://www.rfa.org/english/news/laos/doubling-03262020194948.html","Source")</f>
        <v>Source</v>
      </c>
      <c r="J165" s="24"/>
      <c r="K165" s="24"/>
      <c r="L165" s="56">
        <v>6.0</v>
      </c>
      <c r="M165" s="56">
        <v>0.0</v>
      </c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30.0" customHeight="1">
      <c r="A166" s="28" t="s">
        <v>292</v>
      </c>
      <c r="B166" s="56">
        <v>6.0</v>
      </c>
      <c r="C166" s="32">
        <f t="shared" si="4"/>
        <v>0</v>
      </c>
      <c r="D166" s="56">
        <v>0.0</v>
      </c>
      <c r="E166" s="35">
        <f t="shared" si="2"/>
        <v>0</v>
      </c>
      <c r="F166" s="50">
        <f t="shared" si="3"/>
        <v>0</v>
      </c>
      <c r="G166" s="65" t="s">
        <v>21</v>
      </c>
      <c r="H166" s="65" t="s">
        <v>21</v>
      </c>
      <c r="I166" s="42" t="str">
        <f>HYPERLINK("https://www.banouto.info/article/bien-etre/20200323-coronavirus-au-bnin-04-nouveaux-cas-imports/","Source")</f>
        <v>Source</v>
      </c>
      <c r="J166" s="24"/>
      <c r="K166" s="24"/>
      <c r="L166" s="56">
        <v>6.0</v>
      </c>
      <c r="M166" s="56">
        <v>0.0</v>
      </c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30.0" customHeight="1">
      <c r="A167" s="28" t="s">
        <v>293</v>
      </c>
      <c r="B167" s="56">
        <v>6.0</v>
      </c>
      <c r="C167" s="32">
        <f t="shared" si="4"/>
        <v>0</v>
      </c>
      <c r="D167" s="56">
        <v>0.0</v>
      </c>
      <c r="E167" s="35">
        <f t="shared" si="2"/>
        <v>0</v>
      </c>
      <c r="F167" s="37">
        <f t="shared" si="3"/>
        <v>0</v>
      </c>
      <c r="G167" s="65" t="s">
        <v>21</v>
      </c>
      <c r="H167" s="65">
        <v>0.0</v>
      </c>
      <c r="I167" s="42" t="str">
        <f>HYPERLINK("https://www.africanews.com/2020/03/26/eritrea-s-coronavirus-rules-chinese-italians-iranians-to-be-quarantined/","Source")</f>
        <v>Source</v>
      </c>
      <c r="J167" s="24"/>
      <c r="K167" s="24"/>
      <c r="L167" s="56">
        <v>6.0</v>
      </c>
      <c r="M167" s="56">
        <v>0.0</v>
      </c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30.0" customHeight="1">
      <c r="A168" s="28" t="s">
        <v>294</v>
      </c>
      <c r="B168" s="56">
        <v>5.0</v>
      </c>
      <c r="C168" s="32">
        <f t="shared" si="4"/>
        <v>0</v>
      </c>
      <c r="D168" s="56">
        <v>1.0</v>
      </c>
      <c r="E168" s="35">
        <f t="shared" si="2"/>
        <v>0</v>
      </c>
      <c r="F168" s="37">
        <f t="shared" si="3"/>
        <v>0.2</v>
      </c>
      <c r="G168" s="65" t="s">
        <v>21</v>
      </c>
      <c r="H168" s="65" t="s">
        <v>21</v>
      </c>
      <c r="I168" s="42" t="str">
        <f>HYPERLINK("https://www.governo.cv/cabo-verde-regista-o-quarto-caso-positivo-do-covid-19/","Source")</f>
        <v>Source</v>
      </c>
      <c r="J168" s="24"/>
      <c r="K168" s="24"/>
      <c r="L168" s="56">
        <v>5.0</v>
      </c>
      <c r="M168" s="56">
        <v>1.0</v>
      </c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30.0" customHeight="1">
      <c r="A169" s="28" t="s">
        <v>295</v>
      </c>
      <c r="B169" s="56">
        <v>5.0</v>
      </c>
      <c r="C169" s="32">
        <f t="shared" si="4"/>
        <v>0</v>
      </c>
      <c r="D169" s="56">
        <v>0.0</v>
      </c>
      <c r="E169" s="35">
        <f t="shared" si="2"/>
        <v>0</v>
      </c>
      <c r="F169" s="37">
        <f t="shared" si="3"/>
        <v>0</v>
      </c>
      <c r="G169" s="65">
        <v>0.0</v>
      </c>
      <c r="H169" s="65">
        <v>0.0</v>
      </c>
      <c r="I169" s="42" t="str">
        <f>HYPERLINK("https://sana.sy/?p=1128649","Source")</f>
        <v>Source</v>
      </c>
      <c r="J169" s="24"/>
      <c r="K169" s="24"/>
      <c r="L169" s="56">
        <v>5.0</v>
      </c>
      <c r="M169" s="56">
        <v>0.0</v>
      </c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30.0" customHeight="1">
      <c r="A170" s="28" t="s">
        <v>296</v>
      </c>
      <c r="B170" s="56">
        <v>5.0</v>
      </c>
      <c r="C170" s="32">
        <f t="shared" si="4"/>
        <v>0</v>
      </c>
      <c r="D170" s="56">
        <v>0.0</v>
      </c>
      <c r="E170" s="35">
        <f t="shared" si="2"/>
        <v>0</v>
      </c>
      <c r="F170" s="50">
        <f t="shared" si="3"/>
        <v>0</v>
      </c>
      <c r="G170" s="65" t="s">
        <v>21</v>
      </c>
      <c r="H170" s="65">
        <v>0.0</v>
      </c>
      <c r="I170" s="42" t="str">
        <f>HYPERLINK("https://twitter.com/Nadokoulu/status/1242676427218026498","Source")</f>
        <v>Source</v>
      </c>
      <c r="J170" s="24"/>
      <c r="K170" s="24"/>
      <c r="L170" s="56">
        <v>5.0</v>
      </c>
      <c r="M170" s="56">
        <v>0.0</v>
      </c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30.0" customHeight="1">
      <c r="A171" s="28" t="s">
        <v>297</v>
      </c>
      <c r="B171" s="56">
        <v>5.0</v>
      </c>
      <c r="C171" s="32">
        <f t="shared" si="4"/>
        <v>0</v>
      </c>
      <c r="D171" s="56">
        <v>0.0</v>
      </c>
      <c r="E171" s="35">
        <f t="shared" si="2"/>
        <v>0</v>
      </c>
      <c r="F171" s="37">
        <f t="shared" si="3"/>
        <v>0</v>
      </c>
      <c r="G171" s="65" t="s">
        <v>21</v>
      </c>
      <c r="H171" s="65">
        <v>0.0</v>
      </c>
      <c r="I171" s="42" t="str">
        <f>HYPERLINK("https://www.who.int/docs/default-source/coronaviruse/situation-reports/20200326-sitrep-66-covid-19.pdf?sfvrsn=81b94e61_2","Source")</f>
        <v>Source</v>
      </c>
      <c r="J171" s="24"/>
      <c r="K171" s="24"/>
      <c r="L171" s="56">
        <v>5.0</v>
      </c>
      <c r="M171" s="56">
        <v>0.0</v>
      </c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30.0" customHeight="1">
      <c r="A172" s="28" t="s">
        <v>298</v>
      </c>
      <c r="B172" s="56">
        <v>5.0</v>
      </c>
      <c r="C172" s="32">
        <f t="shared" si="4"/>
        <v>0</v>
      </c>
      <c r="D172" s="56">
        <v>0.0</v>
      </c>
      <c r="E172" s="35">
        <f t="shared" si="2"/>
        <v>0</v>
      </c>
      <c r="F172" s="50">
        <f t="shared" si="3"/>
        <v>0</v>
      </c>
      <c r="G172" s="65" t="s">
        <v>21</v>
      </c>
      <c r="H172" s="65" t="s">
        <v>21</v>
      </c>
      <c r="I172" s="42" t="str">
        <f>HYPERLINK("http://www.gov.ms/statement-by-minister-of-health-social-services-hon-charles-t-kirnon/","Source")</f>
        <v>Source</v>
      </c>
      <c r="J172" s="24"/>
      <c r="K172" s="24"/>
      <c r="L172" s="56">
        <v>5.0</v>
      </c>
      <c r="M172" s="56">
        <v>0.0</v>
      </c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30.0" customHeight="1">
      <c r="A173" s="28" t="s">
        <v>299</v>
      </c>
      <c r="B173" s="56">
        <v>5.0</v>
      </c>
      <c r="C173" s="32">
        <f t="shared" si="4"/>
        <v>0</v>
      </c>
      <c r="D173" s="56">
        <v>0.0</v>
      </c>
      <c r="E173" s="35">
        <f t="shared" si="2"/>
        <v>0</v>
      </c>
      <c r="F173" s="37">
        <f t="shared" si="3"/>
        <v>0</v>
      </c>
      <c r="G173" s="65" t="s">
        <v>21</v>
      </c>
      <c r="H173" s="65">
        <v>0.0</v>
      </c>
      <c r="I173" s="42" t="str">
        <f>HYPERLINK("https://www.mmtimes.com/news/week-review-myanmar-confirms-five-virus-case.html","Source")</f>
        <v>Source</v>
      </c>
      <c r="J173" s="24"/>
      <c r="K173" s="24"/>
      <c r="L173" s="56">
        <v>5.0</v>
      </c>
      <c r="M173" s="56">
        <v>0.0</v>
      </c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30.0" customHeight="1">
      <c r="A174" s="28" t="s">
        <v>300</v>
      </c>
      <c r="B174" s="56">
        <v>5.0</v>
      </c>
      <c r="C174" s="32">
        <f t="shared" si="4"/>
        <v>0</v>
      </c>
      <c r="D174" s="56">
        <v>0.0</v>
      </c>
      <c r="E174" s="35">
        <f t="shared" si="2"/>
        <v>0</v>
      </c>
      <c r="F174" s="50">
        <f t="shared" si="3"/>
        <v>0</v>
      </c>
      <c r="G174" s="65" t="s">
        <v>21</v>
      </c>
      <c r="H174" s="65" t="s">
        <v>21</v>
      </c>
      <c r="I174" s="42" t="str">
        <f>HYPERLINK("https://www.facebook.com/ministeresantetchad/photos/a.597628504017561/871336506646758/?type=3&amp;theater","Source")</f>
        <v>Source</v>
      </c>
      <c r="J174" s="24"/>
      <c r="K174" s="24"/>
      <c r="L174" s="56">
        <v>5.0</v>
      </c>
      <c r="M174" s="56">
        <v>0.0</v>
      </c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30.0" customHeight="1">
      <c r="A175" s="28" t="s">
        <v>301</v>
      </c>
      <c r="B175" s="56">
        <v>5.0</v>
      </c>
      <c r="C175" s="32">
        <f t="shared" si="4"/>
        <v>0</v>
      </c>
      <c r="D175" s="56">
        <v>0.0</v>
      </c>
      <c r="E175" s="35">
        <f t="shared" si="2"/>
        <v>0</v>
      </c>
      <c r="F175" s="37">
        <f t="shared" si="3"/>
        <v>0</v>
      </c>
      <c r="G175" s="65" t="s">
        <v>21</v>
      </c>
      <c r="H175" s="65">
        <v>1.0</v>
      </c>
      <c r="I175" s="42" t="str">
        <f>HYPERLINK("https://www.facebook.com/Sanitaire.net/photos/a.203541090096324/880007009116392/?type=3&amp;theater","Source")</f>
        <v>Source</v>
      </c>
      <c r="J175" s="24"/>
      <c r="K175" s="24"/>
      <c r="L175" s="56">
        <v>5.0</v>
      </c>
      <c r="M175" s="56">
        <v>0.0</v>
      </c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30.0" customHeight="1">
      <c r="A176" s="28" t="s">
        <v>302</v>
      </c>
      <c r="B176" s="56">
        <v>5.0</v>
      </c>
      <c r="C176" s="32">
        <f t="shared" si="4"/>
        <v>0</v>
      </c>
      <c r="D176" s="56">
        <v>0.0</v>
      </c>
      <c r="E176" s="35">
        <f t="shared" si="2"/>
        <v>0</v>
      </c>
      <c r="F176" s="50">
        <f t="shared" si="3"/>
        <v>0</v>
      </c>
      <c r="G176" s="65" t="s">
        <v>21</v>
      </c>
      <c r="H176" s="65">
        <v>3.0</v>
      </c>
      <c r="I176" s="42" t="str">
        <f>HYPERLINK("https://www.afro.who.int/health-topics/coronavirus-covid-19","Source")</f>
        <v>Source</v>
      </c>
      <c r="J176" s="24"/>
      <c r="K176" s="24"/>
      <c r="L176" s="56">
        <v>5.0</v>
      </c>
      <c r="M176" s="56">
        <v>0.0</v>
      </c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30.0" customHeight="1">
      <c r="A177" s="28" t="s">
        <v>303</v>
      </c>
      <c r="B177" s="56">
        <v>5.0</v>
      </c>
      <c r="C177" s="32">
        <f t="shared" si="4"/>
        <v>0</v>
      </c>
      <c r="D177" s="56">
        <v>0.0</v>
      </c>
      <c r="E177" s="35">
        <f t="shared" si="2"/>
        <v>0</v>
      </c>
      <c r="F177" s="50">
        <f t="shared" si="3"/>
        <v>0</v>
      </c>
      <c r="G177" s="65" t="s">
        <v>21</v>
      </c>
      <c r="H177" s="65">
        <v>1.0</v>
      </c>
      <c r="I177" s="42" t="str">
        <f>HYPERLINK("https://twitter.com/kathmandupost/status/1243851483063259136","Source")</f>
        <v>Source</v>
      </c>
      <c r="J177" s="24"/>
      <c r="K177" s="24"/>
      <c r="L177" s="56">
        <v>5.0</v>
      </c>
      <c r="M177" s="56">
        <v>0.0</v>
      </c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27.75" customHeight="1">
      <c r="A178" s="28" t="s">
        <v>304</v>
      </c>
      <c r="B178" s="125">
        <v>4.0</v>
      </c>
      <c r="C178" s="126">
        <f t="shared" si="4"/>
        <v>0</v>
      </c>
      <c r="D178" s="127">
        <v>0.0</v>
      </c>
      <c r="E178" s="128">
        <f t="shared" si="2"/>
        <v>0</v>
      </c>
      <c r="F178" s="37">
        <f t="shared" si="3"/>
        <v>0</v>
      </c>
      <c r="G178" s="65" t="s">
        <v>21</v>
      </c>
      <c r="H178" s="65" t="s">
        <v>21</v>
      </c>
      <c r="I178" s="42" t="str">
        <f>HYPERLINK("https://www.ilmessaggero.it/vaticano/coronavirus_vaticano_papa_francesco_casi_contagi_curia_comunicato_uffici_amuchina-5130705.html","Source")</f>
        <v>Source</v>
      </c>
      <c r="J178" s="24"/>
      <c r="K178" s="24"/>
      <c r="L178" s="125">
        <v>4.0</v>
      </c>
      <c r="M178" s="127">
        <v>0.0</v>
      </c>
      <c r="N178" s="26"/>
      <c r="O178" s="129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30.0" customHeight="1">
      <c r="A179" s="28" t="s">
        <v>305</v>
      </c>
      <c r="B179" s="56">
        <v>4.0</v>
      </c>
      <c r="C179" s="32">
        <f t="shared" si="4"/>
        <v>0</v>
      </c>
      <c r="D179" s="56">
        <v>0.0</v>
      </c>
      <c r="E179" s="35">
        <f t="shared" si="2"/>
        <v>0</v>
      </c>
      <c r="F179" s="50">
        <f t="shared" si="3"/>
        <v>0</v>
      </c>
      <c r="G179" s="65" t="s">
        <v>21</v>
      </c>
      <c r="H179" s="65">
        <v>0.0</v>
      </c>
      <c r="I179" s="42" t="str">
        <f>HYPERLINK("https://www.maliweb.net/sante/covid-19au-mali-deux-02-nouveaux-cas-confirmes-ce-jeudi-2865047.html","Source")</f>
        <v>Source</v>
      </c>
      <c r="J179" s="24"/>
      <c r="K179" s="24"/>
      <c r="L179" s="56">
        <v>4.0</v>
      </c>
      <c r="M179" s="56">
        <v>0.0</v>
      </c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30.0" customHeight="1">
      <c r="A180" s="28" t="s">
        <v>306</v>
      </c>
      <c r="B180" s="56">
        <v>4.0</v>
      </c>
      <c r="C180" s="32">
        <f t="shared" si="4"/>
        <v>0</v>
      </c>
      <c r="D180" s="56">
        <v>1.0</v>
      </c>
      <c r="E180" s="35">
        <f t="shared" si="2"/>
        <v>0</v>
      </c>
      <c r="F180" s="37">
        <f t="shared" si="3"/>
        <v>0.25</v>
      </c>
      <c r="G180" s="65" t="s">
        <v>21</v>
      </c>
      <c r="H180" s="65" t="s">
        <v>21</v>
      </c>
      <c r="I180" s="42" t="str">
        <f>HYPERLINK("https://twitter.com/MohGambia/status/1243253543001350145","Source")</f>
        <v>Source</v>
      </c>
      <c r="J180" s="24"/>
      <c r="K180" s="24"/>
      <c r="L180" s="56">
        <v>4.0</v>
      </c>
      <c r="M180" s="56">
        <v>1.0</v>
      </c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30.0" customHeight="1">
      <c r="A181" s="28" t="s">
        <v>307</v>
      </c>
      <c r="B181" s="56">
        <v>4.0</v>
      </c>
      <c r="C181" s="32">
        <f t="shared" si="4"/>
        <v>0</v>
      </c>
      <c r="D181" s="56">
        <v>0.0</v>
      </c>
      <c r="E181" s="35">
        <f t="shared" si="2"/>
        <v>0</v>
      </c>
      <c r="F181" s="50">
        <f t="shared" si="3"/>
        <v>0</v>
      </c>
      <c r="G181" s="65" t="s">
        <v>21</v>
      </c>
      <c r="H181" s="65" t="s">
        <v>21</v>
      </c>
      <c r="I181" s="42" t="str">
        <f>HYPERLINK("https://www.afro.who.int/health-topics/coronavirus-covid-19","Source")</f>
        <v>Source</v>
      </c>
      <c r="J181" s="24"/>
      <c r="K181" s="24"/>
      <c r="L181" s="56">
        <v>4.0</v>
      </c>
      <c r="M181" s="56">
        <v>0.0</v>
      </c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30.0" customHeight="1">
      <c r="A182" s="28" t="s">
        <v>308</v>
      </c>
      <c r="B182" s="56">
        <v>3.0</v>
      </c>
      <c r="C182" s="32">
        <f t="shared" si="4"/>
        <v>0</v>
      </c>
      <c r="D182" s="56">
        <v>0.0</v>
      </c>
      <c r="E182" s="35">
        <f t="shared" si="2"/>
        <v>0</v>
      </c>
      <c r="F182" s="37">
        <f t="shared" si="3"/>
        <v>0</v>
      </c>
      <c r="G182" s="65" t="s">
        <v>21</v>
      </c>
      <c r="H182" s="65" t="s">
        <v>21</v>
      </c>
      <c r="I182" s="42" t="str">
        <f>HYPERLINK("https://pbs.twimg.com/media/ETyT5dFXsAUzuj3?format=jpg&amp;name=large","Source")</f>
        <v>Source</v>
      </c>
      <c r="J182" s="24"/>
      <c r="K182" s="24"/>
      <c r="L182" s="56">
        <v>3.0</v>
      </c>
      <c r="M182" s="56">
        <v>0.0</v>
      </c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30.0" customHeight="1">
      <c r="A183" s="28" t="s">
        <v>309</v>
      </c>
      <c r="B183" s="56">
        <v>3.0</v>
      </c>
      <c r="C183" s="32">
        <f t="shared" si="4"/>
        <v>0</v>
      </c>
      <c r="D183" s="56">
        <v>0.0</v>
      </c>
      <c r="E183" s="35">
        <f t="shared" si="2"/>
        <v>0</v>
      </c>
      <c r="F183" s="50">
        <f t="shared" si="3"/>
        <v>0</v>
      </c>
      <c r="G183" s="65" t="s">
        <v>21</v>
      </c>
      <c r="H183" s="65" t="s">
        <v>21</v>
      </c>
      <c r="I183" s="42" t="str">
        <f>HYPERLINK("http://www.angop.ao/angola/en_us/noticias/saude/2020/2/13/COVID-Angola-without-new-positive-cases,0ba8f0e3-af0b-46ff-a2b7-8289ebb5a0d8.html","Source")</f>
        <v>Source</v>
      </c>
      <c r="J183" s="24"/>
      <c r="K183" s="24"/>
      <c r="L183" s="56">
        <v>3.0</v>
      </c>
      <c r="M183" s="56">
        <v>0.0</v>
      </c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30.0" customHeight="1">
      <c r="A184" s="28" t="s">
        <v>310</v>
      </c>
      <c r="B184" s="56">
        <v>3.0</v>
      </c>
      <c r="C184" s="32">
        <f t="shared" si="4"/>
        <v>0</v>
      </c>
      <c r="D184" s="56">
        <v>0.0</v>
      </c>
      <c r="E184" s="35">
        <f t="shared" si="2"/>
        <v>0</v>
      </c>
      <c r="F184" s="37">
        <f t="shared" si="3"/>
        <v>0</v>
      </c>
      <c r="G184" s="65">
        <v>0.0</v>
      </c>
      <c r="H184" s="65">
        <v>1.0</v>
      </c>
      <c r="I184" s="42" t="str">
        <f>HYPERLINK("https://www.stlucianewsonline.com/saint-lucias-only-coronavirus-patient-has-recovered-two-other-patients-repatriated/","Source")</f>
        <v>Source</v>
      </c>
      <c r="J184" s="24"/>
      <c r="K184" s="24"/>
      <c r="L184" s="56">
        <v>3.0</v>
      </c>
      <c r="M184" s="56">
        <v>0.0</v>
      </c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30.0" customHeight="1">
      <c r="A185" s="28" t="s">
        <v>311</v>
      </c>
      <c r="B185" s="56">
        <v>3.0</v>
      </c>
      <c r="C185" s="32">
        <f t="shared" si="4"/>
        <v>0</v>
      </c>
      <c r="D185" s="56">
        <v>0.0</v>
      </c>
      <c r="E185" s="35">
        <f t="shared" si="2"/>
        <v>0</v>
      </c>
      <c r="F185" s="37">
        <f t="shared" si="3"/>
        <v>0</v>
      </c>
      <c r="G185" s="65" t="s">
        <v>21</v>
      </c>
      <c r="H185" s="65">
        <v>0.0</v>
      </c>
      <c r="I185" s="42" t="str">
        <f>HYPERLINK("https://www.facebook.com/SXMGOV/photos/a.501207666717230/1579888805515772/?type=3&amp;theater","Source")</f>
        <v>Source</v>
      </c>
      <c r="J185" s="24"/>
      <c r="K185" s="24"/>
      <c r="L185" s="56">
        <v>3.0</v>
      </c>
      <c r="M185" s="56">
        <v>0.0</v>
      </c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30.0" customHeight="1">
      <c r="A186" s="28" t="s">
        <v>312</v>
      </c>
      <c r="B186" s="56">
        <v>3.0</v>
      </c>
      <c r="C186" s="32">
        <f t="shared" si="4"/>
        <v>0</v>
      </c>
      <c r="D186" s="56">
        <v>0.0</v>
      </c>
      <c r="E186" s="35">
        <f t="shared" si="2"/>
        <v>0</v>
      </c>
      <c r="F186" s="50">
        <f t="shared" si="3"/>
        <v>0</v>
      </c>
      <c r="G186" s="65">
        <v>0.0</v>
      </c>
      <c r="H186" s="65">
        <v>0.0</v>
      </c>
      <c r="I186" s="42" t="str">
        <f>HYPERLINK("http://www.sante.gov.mr/?p=3775","Source")</f>
        <v>Source</v>
      </c>
      <c r="J186" s="24"/>
      <c r="K186" s="24"/>
      <c r="L186" s="56">
        <v>3.0</v>
      </c>
      <c r="M186" s="56">
        <v>0.0</v>
      </c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30.0" customHeight="1">
      <c r="A187" s="28" t="s">
        <v>313</v>
      </c>
      <c r="B187" s="56">
        <v>3.0</v>
      </c>
      <c r="C187" s="32">
        <f t="shared" si="4"/>
        <v>0</v>
      </c>
      <c r="D187" s="56">
        <v>1.0</v>
      </c>
      <c r="E187" s="35">
        <f t="shared" si="2"/>
        <v>0</v>
      </c>
      <c r="F187" s="37">
        <f t="shared" si="3"/>
        <v>0.3333333333</v>
      </c>
      <c r="G187" s="65" t="s">
        <v>21</v>
      </c>
      <c r="H187" s="65" t="s">
        <v>21</v>
      </c>
      <c r="I187" s="42" t="str">
        <f>HYPERLINK("https://app.powerbi.com/view?r=eyJrIjoiN2ExNWI3ZGQtZDk3My00YzE2LWFjYmQtNGMwZjk0OWQ1MjFhIiwidCI6ImY2MTBjMGI3LWJkMjQtNGIzOS04MTBiLTNkYzI4MGFmYjU5MCIsImMiOjh9","Source")</f>
        <v>Source</v>
      </c>
      <c r="J187" s="24"/>
      <c r="K187" s="24"/>
      <c r="L187" s="56">
        <v>3.0</v>
      </c>
      <c r="M187" s="56">
        <v>1.0</v>
      </c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27.75" customHeight="1">
      <c r="A188" s="28" t="s">
        <v>314</v>
      </c>
      <c r="B188" s="56">
        <v>3.0</v>
      </c>
      <c r="C188" s="126">
        <f t="shared" si="4"/>
        <v>0</v>
      </c>
      <c r="D188" s="56">
        <v>0.0</v>
      </c>
      <c r="E188" s="35">
        <f t="shared" si="2"/>
        <v>0</v>
      </c>
      <c r="F188" s="50">
        <f t="shared" si="3"/>
        <v>0</v>
      </c>
      <c r="G188" s="65" t="s">
        <v>21</v>
      </c>
      <c r="H188" s="65" t="s">
        <v>21</v>
      </c>
      <c r="I188" s="42" t="str">
        <f>HYPERLINK("http://www.moh.gov.bt/national-situation-update/","Source")</f>
        <v>Source</v>
      </c>
      <c r="J188" s="24"/>
      <c r="K188" s="24"/>
      <c r="L188" s="56">
        <v>3.0</v>
      </c>
      <c r="M188" s="56">
        <v>0.0</v>
      </c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30.0" customHeight="1">
      <c r="A189" s="28" t="s">
        <v>196</v>
      </c>
      <c r="B189" s="56">
        <v>2.0</v>
      </c>
      <c r="C189" s="32">
        <f t="shared" si="4"/>
        <v>0</v>
      </c>
      <c r="D189" s="56">
        <v>1.0</v>
      </c>
      <c r="E189" s="35">
        <f t="shared" si="2"/>
        <v>0</v>
      </c>
      <c r="F189" s="37">
        <f t="shared" si="3"/>
        <v>0.5</v>
      </c>
      <c r="G189" s="65">
        <v>0.0</v>
      </c>
      <c r="H189" s="65">
        <v>0.0</v>
      </c>
      <c r="I189" s="42" t="str">
        <f>HYPERLINK("https://www.laprensa.com.ni/2020/03/26/nacionales/2653623-muere-la-primera-persona-por-covid-19-en-nicaragua","Source")</f>
        <v>Source</v>
      </c>
      <c r="J189" s="24"/>
      <c r="K189" s="24"/>
      <c r="L189" s="56">
        <v>2.0</v>
      </c>
      <c r="M189" s="56">
        <v>1.0</v>
      </c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30.0" customHeight="1">
      <c r="A190" s="28" t="s">
        <v>315</v>
      </c>
      <c r="B190" s="56">
        <v>2.0</v>
      </c>
      <c r="C190" s="32">
        <f t="shared" si="4"/>
        <v>0</v>
      </c>
      <c r="D190" s="56">
        <v>0.0</v>
      </c>
      <c r="E190" s="35">
        <f t="shared" si="2"/>
        <v>0</v>
      </c>
      <c r="F190" s="50">
        <f t="shared" si="3"/>
        <v>0</v>
      </c>
      <c r="G190" s="65" t="s">
        <v>21</v>
      </c>
      <c r="H190" s="65">
        <v>0.0</v>
      </c>
      <c r="I190" s="42" t="str">
        <f>HYPERLINK("https://www.thestkittsnevisobserver.com/two-cases-of-coronavirus-diagnosed-in-skn/","Source")</f>
        <v>Source</v>
      </c>
      <c r="J190" s="24"/>
      <c r="K190" s="24"/>
      <c r="L190" s="56">
        <v>2.0</v>
      </c>
      <c r="M190" s="56">
        <v>0.0</v>
      </c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30.0" customHeight="1">
      <c r="A191" s="28" t="s">
        <v>316</v>
      </c>
      <c r="B191" s="56">
        <v>2.0</v>
      </c>
      <c r="C191" s="32">
        <f t="shared" si="4"/>
        <v>0</v>
      </c>
      <c r="D191" s="56">
        <v>0.0</v>
      </c>
      <c r="E191" s="35">
        <f t="shared" si="2"/>
        <v>0</v>
      </c>
      <c r="F191" s="37">
        <f t="shared" si="3"/>
        <v>0</v>
      </c>
      <c r="G191" s="65" t="s">
        <v>21</v>
      </c>
      <c r="H191" s="65">
        <v>0.0</v>
      </c>
      <c r="I191" s="42" t="str">
        <f>HYPERLINK("https://bvi.gov.vg/media-centre/statement-minister-health-and-social-development-honourable-carvin-malone-coronavirus","Source")</f>
        <v>Source</v>
      </c>
      <c r="J191" s="24"/>
      <c r="K191" s="24"/>
      <c r="L191" s="56">
        <v>2.0</v>
      </c>
      <c r="M191" s="56">
        <v>0.0</v>
      </c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30.0" customHeight="1">
      <c r="A192" s="28" t="s">
        <v>317</v>
      </c>
      <c r="B192" s="56">
        <v>2.0</v>
      </c>
      <c r="C192" s="32">
        <f t="shared" si="4"/>
        <v>0</v>
      </c>
      <c r="D192" s="56">
        <v>0.0</v>
      </c>
      <c r="E192" s="35">
        <f t="shared" si="2"/>
        <v>0</v>
      </c>
      <c r="F192" s="50">
        <f t="shared" si="3"/>
        <v>0</v>
      </c>
      <c r="G192" s="65" t="s">
        <v>21</v>
      </c>
      <c r="H192" s="65">
        <v>0.0</v>
      </c>
      <c r="I192" s="42" t="str">
        <f>HYPERLINK("https://www.aa.com.tr/en/africa/mali-guinea-bissau-confirm-1st-coronavirus-cases/1779246","Source")</f>
        <v>Source</v>
      </c>
      <c r="J192" s="24"/>
      <c r="K192" s="24"/>
      <c r="L192" s="56">
        <v>2.0</v>
      </c>
      <c r="M192" s="56">
        <v>0.0</v>
      </c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30.0" customHeight="1">
      <c r="A193" s="28" t="s">
        <v>318</v>
      </c>
      <c r="B193" s="56">
        <v>2.0</v>
      </c>
      <c r="C193" s="32">
        <f t="shared" si="4"/>
        <v>0</v>
      </c>
      <c r="D193" s="56">
        <v>0.0</v>
      </c>
      <c r="E193" s="35">
        <f t="shared" si="2"/>
        <v>0</v>
      </c>
      <c r="F193" s="37">
        <f t="shared" si="3"/>
        <v>0</v>
      </c>
      <c r="G193" s="65" t="s">
        <v>21</v>
      </c>
      <c r="H193" s="65" t="s">
        <v>21</v>
      </c>
      <c r="I193" s="42" t="str">
        <f>HYPERLINK("https://twitter.com/HarunMaruf/status/1243123651760861185","Source")</f>
        <v>Source</v>
      </c>
      <c r="J193" s="24"/>
      <c r="K193" s="24"/>
      <c r="L193" s="56">
        <v>2.0</v>
      </c>
      <c r="M193" s="56">
        <v>0.0</v>
      </c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30.0" customHeight="1">
      <c r="A194" s="28" t="s">
        <v>319</v>
      </c>
      <c r="B194" s="56">
        <v>2.0</v>
      </c>
      <c r="C194" s="32">
        <f t="shared" si="4"/>
        <v>0</v>
      </c>
      <c r="D194" s="56">
        <v>0.0</v>
      </c>
      <c r="E194" s="35">
        <f t="shared" si="2"/>
        <v>0</v>
      </c>
      <c r="F194" s="50">
        <f t="shared" si="3"/>
        <v>0</v>
      </c>
      <c r="G194" s="65" t="s">
        <v>21</v>
      </c>
      <c r="H194" s="65">
        <v>0.0</v>
      </c>
      <c r="I194" s="42" t="str">
        <f>HYPERLINK("gov.tc/moh/coronavirus/covid-dashboard/43-tci-covid-19-dashboard-march-26-2020","Source")</f>
        <v>Source</v>
      </c>
      <c r="J194" s="24"/>
      <c r="K194" s="24"/>
      <c r="L194" s="56">
        <v>2.0</v>
      </c>
      <c r="M194" s="56">
        <v>0.0</v>
      </c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30.0" customHeight="1">
      <c r="A195" s="28" t="s">
        <v>320</v>
      </c>
      <c r="B195" s="56">
        <v>2.0</v>
      </c>
      <c r="C195" s="32">
        <f t="shared" si="4"/>
        <v>0</v>
      </c>
      <c r="D195" s="56">
        <v>0.0</v>
      </c>
      <c r="E195" s="35">
        <f t="shared" si="2"/>
        <v>0</v>
      </c>
      <c r="F195" s="37">
        <f t="shared" si="3"/>
        <v>0</v>
      </c>
      <c r="G195" s="65" t="s">
        <v>21</v>
      </c>
      <c r="H195" s="65">
        <v>0.0</v>
      </c>
      <c r="I195" s="42" t="str">
        <f>HYPERLINK("https://www.sanpedrosun.com/community-and-society/2020/03/26/sptc-releases-update-on-covid-19-and-considerations-for-state-of-emergency/","Source")</f>
        <v>Source</v>
      </c>
      <c r="J195" s="24"/>
      <c r="K195" s="24"/>
      <c r="L195" s="56">
        <v>2.0</v>
      </c>
      <c r="M195" s="56">
        <v>0.0</v>
      </c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30.0" customHeight="1">
      <c r="A196" s="28" t="s">
        <v>321</v>
      </c>
      <c r="B196" s="56">
        <v>1.0</v>
      </c>
      <c r="C196" s="32">
        <f t="shared" si="4"/>
        <v>0</v>
      </c>
      <c r="D196" s="56">
        <v>0.0</v>
      </c>
      <c r="E196" s="35">
        <f t="shared" si="2"/>
        <v>0</v>
      </c>
      <c r="F196" s="50">
        <f t="shared" si="3"/>
        <v>0</v>
      </c>
      <c r="G196" s="65" t="s">
        <v>21</v>
      </c>
      <c r="H196" s="65" t="s">
        <v>21</v>
      </c>
      <c r="I196" s="42" t="str">
        <f>HYPERLINK("https://asiapacificreport.nz/2020/03/22/timor-leste-health-ministry-urges-calm-over-first-positive-covid-19-case/","Source")</f>
        <v>Source</v>
      </c>
      <c r="J196" s="24"/>
      <c r="K196" s="24"/>
      <c r="L196" s="56">
        <v>1.0</v>
      </c>
      <c r="M196" s="56">
        <v>0.0</v>
      </c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30.0" customHeight="1">
      <c r="A197" s="28" t="s">
        <v>322</v>
      </c>
      <c r="B197" s="56">
        <v>1.0</v>
      </c>
      <c r="C197" s="32">
        <f t="shared" si="4"/>
        <v>0</v>
      </c>
      <c r="D197" s="56">
        <v>0.0</v>
      </c>
      <c r="E197" s="35">
        <f t="shared" si="2"/>
        <v>0</v>
      </c>
      <c r="F197" s="37">
        <f t="shared" si="3"/>
        <v>0</v>
      </c>
      <c r="G197" s="65" t="s">
        <v>21</v>
      </c>
      <c r="H197" s="65">
        <v>0.0</v>
      </c>
      <c r="I197" s="42" t="str">
        <f>HYPERLINK("https://www.libyaobserver.ly/health/libyas-disease-control-center-relatives-coronavirus-infected-man-test-negative","Source")</f>
        <v>Source</v>
      </c>
      <c r="J197" s="24"/>
      <c r="K197" s="24"/>
      <c r="L197" s="56">
        <v>1.0</v>
      </c>
      <c r="M197" s="56">
        <v>0.0</v>
      </c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30.0" customHeight="1">
      <c r="A198" s="28" t="s">
        <v>323</v>
      </c>
      <c r="B198" s="56">
        <v>1.0</v>
      </c>
      <c r="C198" s="32">
        <f t="shared" si="4"/>
        <v>0</v>
      </c>
      <c r="D198" s="56">
        <v>0.0</v>
      </c>
      <c r="E198" s="35">
        <f t="shared" si="2"/>
        <v>0</v>
      </c>
      <c r="F198" s="50">
        <f t="shared" si="3"/>
        <v>0</v>
      </c>
      <c r="G198" s="65" t="s">
        <v>21</v>
      </c>
      <c r="H198" s="65">
        <v>0.0</v>
      </c>
      <c r="I198" s="42" t="str">
        <f>HYPERLINK("https://postcourier.com.pg/passenger-who-came-in-contact-with-covid-19-patient-is-doing-well/","Source")</f>
        <v>Source</v>
      </c>
      <c r="J198" s="24"/>
      <c r="K198" s="24"/>
      <c r="L198" s="56">
        <v>1.0</v>
      </c>
      <c r="M198" s="56">
        <v>0.0</v>
      </c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30.0" customHeight="1">
      <c r="A199" s="28" t="s">
        <v>324</v>
      </c>
      <c r="B199" s="56">
        <v>1.0</v>
      </c>
      <c r="C199" s="32">
        <f t="shared" si="4"/>
        <v>0</v>
      </c>
      <c r="D199" s="56">
        <v>0.0</v>
      </c>
      <c r="E199" s="35">
        <f t="shared" si="2"/>
        <v>0</v>
      </c>
      <c r="F199" s="37">
        <f t="shared" si="3"/>
        <v>0</v>
      </c>
      <c r="G199" s="65" t="s">
        <v>21</v>
      </c>
      <c r="H199" s="65" t="s">
        <v>21</v>
      </c>
      <c r="I199" s="42" t="str">
        <f>HYPERLINK("http://health.gov.vc/health/index.php/c/821-covid-19-confirm-case-for-saint-vincent-the-grenadines-still-stands-at-one","Source")</f>
        <v>Source</v>
      </c>
      <c r="J199" s="24"/>
      <c r="K199" s="24"/>
      <c r="L199" s="56">
        <v>1.0</v>
      </c>
      <c r="M199" s="56">
        <v>0.0</v>
      </c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2.75" customHeight="1">
      <c r="A200" s="130" t="s">
        <v>152</v>
      </c>
      <c r="B200" s="131"/>
      <c r="C200" s="132">
        <f t="shared" si="4"/>
        <v>0</v>
      </c>
      <c r="D200" s="131"/>
      <c r="E200" s="133">
        <f t="shared" si="2"/>
        <v>0</v>
      </c>
      <c r="F200" s="134"/>
      <c r="G200" s="134"/>
      <c r="H200" s="134"/>
      <c r="I200" s="135"/>
      <c r="J200" s="61"/>
      <c r="K200" s="61"/>
      <c r="L200" s="131"/>
      <c r="M200" s="131"/>
      <c r="N200" s="61"/>
      <c r="O200" s="131">
        <v>6258.0</v>
      </c>
      <c r="P200" s="131">
        <v>65.0</v>
      </c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30.0" customHeight="1">
      <c r="A201" s="136" t="s">
        <v>55</v>
      </c>
      <c r="B201" s="137">
        <f>sum(B7:B200, O200)</f>
        <v>670522</v>
      </c>
      <c r="C201" s="138">
        <f>SUM(C7:C200)</f>
        <v>2248</v>
      </c>
      <c r="D201" s="139">
        <f>sum(D7:D200, P200)</f>
        <v>30951</v>
      </c>
      <c r="E201" s="140">
        <f>SUM(E7:E200)</f>
        <v>80</v>
      </c>
      <c r="F201" s="141">
        <f>DIVIDE(D201, B201)</f>
        <v>0.04615955927</v>
      </c>
      <c r="G201" s="142">
        <f t="shared" ref="G201:H201" si="5">sum(G7:G199)</f>
        <v>22333</v>
      </c>
      <c r="H201" s="143">
        <f t="shared" si="5"/>
        <v>145686</v>
      </c>
      <c r="I201" s="144"/>
      <c r="J201" s="24"/>
      <c r="K201" s="24"/>
      <c r="L201" s="137">
        <f>sum(L7:L200, Y200)</f>
        <v>662016</v>
      </c>
      <c r="M201" s="145">
        <f>sum(M7:M200, Y200)</f>
        <v>30806</v>
      </c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30.0" customHeight="1">
      <c r="A202" s="146"/>
      <c r="B202" s="147" t="s">
        <v>9</v>
      </c>
      <c r="C202" s="148" t="s">
        <v>10</v>
      </c>
      <c r="D202" s="149" t="s">
        <v>11</v>
      </c>
      <c r="E202" s="150" t="s">
        <v>12</v>
      </c>
      <c r="F202" s="150" t="s">
        <v>166</v>
      </c>
      <c r="G202" s="151" t="s">
        <v>14</v>
      </c>
      <c r="H202" s="152" t="s">
        <v>15</v>
      </c>
      <c r="I202" s="147"/>
      <c r="J202" s="85"/>
      <c r="K202" s="85"/>
      <c r="L202" s="147" t="s">
        <v>9</v>
      </c>
      <c r="M202" s="149" t="s">
        <v>11</v>
      </c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</cols>
  <sheetData>
    <row r="1" ht="27.75" customHeight="1">
      <c r="A1" s="1" t="s">
        <v>0</v>
      </c>
      <c r="I1" s="1"/>
      <c r="J1" s="8"/>
      <c r="K1" s="8"/>
    </row>
    <row r="2">
      <c r="A2" s="3" t="s">
        <v>2</v>
      </c>
      <c r="B2" s="3" t="s">
        <v>3</v>
      </c>
      <c r="C2" s="4" t="s">
        <v>4</v>
      </c>
      <c r="D2" s="3"/>
      <c r="E2" s="9" t="s">
        <v>5</v>
      </c>
      <c r="H2" s="6"/>
      <c r="I2" s="7"/>
      <c r="J2" s="8"/>
      <c r="K2" s="8"/>
      <c r="L2" s="3"/>
      <c r="M2" s="3"/>
    </row>
    <row r="3">
      <c r="A3" s="11">
        <f>SUM(B66, B68)</f>
        <v>123938</v>
      </c>
      <c r="B3" s="11">
        <f>SUM(D66, D68)</f>
        <v>2223</v>
      </c>
      <c r="C3" s="13">
        <f>SUM(H66, H68)</f>
        <v>2463</v>
      </c>
      <c r="D3" s="11"/>
      <c r="E3" s="14">
        <f>MINUS(A3,B3 + C3)</f>
        <v>119252</v>
      </c>
      <c r="F3" s="14"/>
      <c r="G3" s="4"/>
      <c r="H3" s="6"/>
      <c r="I3" s="7"/>
      <c r="J3" s="8"/>
      <c r="K3" s="8"/>
      <c r="L3" s="11"/>
      <c r="M3" s="11"/>
    </row>
    <row r="4">
      <c r="A4" s="15"/>
      <c r="B4" s="7"/>
      <c r="C4" s="7"/>
      <c r="D4" s="7"/>
      <c r="E4" s="7"/>
      <c r="F4" s="6"/>
      <c r="G4" s="6"/>
      <c r="H4" s="6"/>
      <c r="I4" s="7"/>
      <c r="J4" s="8"/>
      <c r="K4" s="8"/>
      <c r="L4" s="7"/>
      <c r="M4" s="7"/>
    </row>
    <row r="5" ht="30.0" customHeight="1">
      <c r="A5" s="17" t="s">
        <v>6</v>
      </c>
      <c r="B5" s="19" t="s">
        <v>9</v>
      </c>
      <c r="C5" s="20" t="s">
        <v>10</v>
      </c>
      <c r="D5" s="19" t="s">
        <v>11</v>
      </c>
      <c r="E5" s="22" t="s">
        <v>12</v>
      </c>
      <c r="F5" s="22" t="s">
        <v>13</v>
      </c>
      <c r="G5" s="23" t="s">
        <v>14</v>
      </c>
      <c r="H5" s="23" t="s">
        <v>15</v>
      </c>
      <c r="I5" s="19" t="s">
        <v>16</v>
      </c>
      <c r="J5" s="24"/>
      <c r="K5" s="24"/>
      <c r="L5" s="19" t="s">
        <v>9</v>
      </c>
      <c r="M5" s="19" t="s">
        <v>11</v>
      </c>
    </row>
    <row r="6" ht="30.0" customHeight="1">
      <c r="A6" s="27" t="s">
        <v>17</v>
      </c>
      <c r="B6" s="29">
        <v>53437.0</v>
      </c>
      <c r="C6" s="31">
        <f t="shared" ref="C6:C64" si="1">MINUS(B6,L6)</f>
        <v>0</v>
      </c>
      <c r="D6" s="34">
        <v>883.0</v>
      </c>
      <c r="E6" s="38">
        <f t="shared" ref="E6:E64" si="2">MINUS(D6,M6)</f>
        <v>0</v>
      </c>
      <c r="F6" s="37">
        <f t="shared" ref="F6:F63" si="3">DIVIDE(D6, B6)</f>
        <v>0.01652413122</v>
      </c>
      <c r="G6" s="41">
        <v>1755.0</v>
      </c>
      <c r="H6" s="41">
        <v>2045.0</v>
      </c>
      <c r="I6" s="43" t="str">
        <f>HYPERLINK("https://www1.nyc.gov/assets/doh/downloads/pdf/imm/covid-19-daily-data-summary.pdf","Source")</f>
        <v>Source</v>
      </c>
      <c r="J6" s="24"/>
      <c r="K6" s="24"/>
      <c r="L6" s="29">
        <v>53437.0</v>
      </c>
      <c r="M6" s="34">
        <v>883.0</v>
      </c>
    </row>
    <row r="7" ht="27.75" customHeight="1">
      <c r="A7" s="45" t="s">
        <v>20</v>
      </c>
      <c r="B7" s="46">
        <v>11124.0</v>
      </c>
      <c r="C7" s="31">
        <f t="shared" si="1"/>
        <v>0</v>
      </c>
      <c r="D7" s="48">
        <v>140.0</v>
      </c>
      <c r="E7" s="38">
        <f t="shared" si="2"/>
        <v>0</v>
      </c>
      <c r="F7" s="50">
        <f t="shared" si="3"/>
        <v>0.01258540093</v>
      </c>
      <c r="G7" s="51" t="s">
        <v>21</v>
      </c>
      <c r="H7" s="51" t="s">
        <v>21</v>
      </c>
      <c r="I7" s="53" t="str">
        <f>HYPERLINK("https://twitter.com/GovMurphy/status/1243599248630992899","Source")</f>
        <v>Source</v>
      </c>
      <c r="J7" s="24"/>
      <c r="K7" s="24"/>
      <c r="L7" s="46">
        <v>11124.0</v>
      </c>
      <c r="M7" s="48">
        <v>140.0</v>
      </c>
    </row>
    <row r="8" ht="30.0" customHeight="1">
      <c r="A8" s="33" t="s">
        <v>22</v>
      </c>
      <c r="B8" s="36">
        <v>5659.0</v>
      </c>
      <c r="C8" s="31">
        <f t="shared" si="1"/>
        <v>0</v>
      </c>
      <c r="D8" s="57">
        <v>120.0</v>
      </c>
      <c r="E8" s="38">
        <f t="shared" si="2"/>
        <v>0</v>
      </c>
      <c r="F8" s="37">
        <f t="shared" si="3"/>
        <v>0.02120515992</v>
      </c>
      <c r="G8" s="51" t="s">
        <v>21</v>
      </c>
      <c r="H8" s="52">
        <v>1.0</v>
      </c>
      <c r="I8" s="54" t="str">
        <f>HYPERLINK("https://www.latimes.com/projects/california-coronavirus-cases-tracking-outbreak/","Source")</f>
        <v>Source</v>
      </c>
      <c r="J8" s="24"/>
      <c r="K8" s="24"/>
      <c r="L8" s="36">
        <v>5659.0</v>
      </c>
      <c r="M8" s="57">
        <v>120.0</v>
      </c>
    </row>
    <row r="9" ht="27.75" customHeight="1">
      <c r="A9" s="45" t="s">
        <v>25</v>
      </c>
      <c r="B9" s="46">
        <v>4650.0</v>
      </c>
      <c r="C9" s="31">
        <f t="shared" si="1"/>
        <v>0</v>
      </c>
      <c r="D9" s="48">
        <v>111.0</v>
      </c>
      <c r="E9" s="38">
        <f t="shared" si="2"/>
        <v>0</v>
      </c>
      <c r="F9" s="37">
        <f t="shared" si="3"/>
        <v>0.02387096774</v>
      </c>
      <c r="G9" s="51" t="s">
        <v>21</v>
      </c>
      <c r="H9" s="51" t="s">
        <v>21</v>
      </c>
      <c r="I9" s="53" t="str">
        <f>HYPERLINK("https://www.michigan.gov/coronavirus/0,9753,7-406-98163_98173---,00.html","Source")</f>
        <v>Source</v>
      </c>
      <c r="J9" s="24"/>
      <c r="K9" s="24"/>
      <c r="L9" s="46">
        <v>4650.0</v>
      </c>
      <c r="M9" s="48">
        <v>111.0</v>
      </c>
    </row>
    <row r="10" ht="30.0" customHeight="1">
      <c r="A10" s="45" t="s">
        <v>28</v>
      </c>
      <c r="B10" s="46">
        <v>4310.0</v>
      </c>
      <c r="C10" s="31">
        <f t="shared" si="1"/>
        <v>0</v>
      </c>
      <c r="D10" s="48">
        <v>189.0</v>
      </c>
      <c r="E10" s="38">
        <f t="shared" si="2"/>
        <v>0</v>
      </c>
      <c r="F10" s="50">
        <f t="shared" si="3"/>
        <v>0.04385150812</v>
      </c>
      <c r="G10" s="51" t="s">
        <v>21</v>
      </c>
      <c r="H10" s="51">
        <v>19.0</v>
      </c>
      <c r="I10" s="53" t="str">
        <f>HYPERLINK("https://kingcounty.gov/depts/health/communicable-diseases/disease-control/novel-coronavirus.aspx","Source")</f>
        <v>Source</v>
      </c>
      <c r="J10" s="24"/>
      <c r="K10" s="24"/>
      <c r="L10" s="46">
        <v>4310.0</v>
      </c>
      <c r="M10" s="48">
        <v>189.0</v>
      </c>
    </row>
    <row r="11" ht="27.75" customHeight="1">
      <c r="A11" s="45" t="s">
        <v>29</v>
      </c>
      <c r="B11" s="46">
        <v>4257.0</v>
      </c>
      <c r="C11" s="31">
        <f t="shared" si="1"/>
        <v>0</v>
      </c>
      <c r="D11" s="48">
        <v>44.0</v>
      </c>
      <c r="E11" s="38">
        <f t="shared" si="2"/>
        <v>0</v>
      </c>
      <c r="F11" s="50">
        <f t="shared" si="3"/>
        <v>0.01033591731</v>
      </c>
      <c r="G11" s="51" t="s">
        <v>21</v>
      </c>
      <c r="H11" s="51" t="s">
        <v>21</v>
      </c>
      <c r="I11" s="53" t="str">
        <f>HYPERLINK("https://www.mass.gov/doc/covid-19-cases-in-massachusetts-as-of-march-28-2020/download","Source")</f>
        <v>Source</v>
      </c>
      <c r="J11" s="24"/>
      <c r="K11" s="24"/>
      <c r="L11" s="46">
        <v>4257.0</v>
      </c>
      <c r="M11" s="48">
        <v>44.0</v>
      </c>
    </row>
    <row r="12" ht="30.0" customHeight="1">
      <c r="A12" s="33" t="s">
        <v>32</v>
      </c>
      <c r="B12" s="36">
        <v>4038.0</v>
      </c>
      <c r="C12" s="31">
        <f t="shared" si="1"/>
        <v>0</v>
      </c>
      <c r="D12" s="57">
        <v>56.0</v>
      </c>
      <c r="E12" s="38">
        <f t="shared" si="2"/>
        <v>0</v>
      </c>
      <c r="F12" s="37">
        <f t="shared" si="3"/>
        <v>0.01386825161</v>
      </c>
      <c r="G12" s="51" t="s">
        <v>21</v>
      </c>
      <c r="H12" s="51" t="s">
        <v>21</v>
      </c>
      <c r="I12" s="54" t="str">
        <f>HYPERLINK("https://floridahealthcovid19.gov/","Source")</f>
        <v>Source</v>
      </c>
      <c r="J12" s="24"/>
      <c r="K12" s="24"/>
      <c r="L12" s="36">
        <v>4038.0</v>
      </c>
      <c r="M12" s="57">
        <v>56.0</v>
      </c>
    </row>
    <row r="13" ht="27.75" customHeight="1">
      <c r="A13" s="45" t="s">
        <v>34</v>
      </c>
      <c r="B13" s="46">
        <v>3491.0</v>
      </c>
      <c r="C13" s="31">
        <f t="shared" si="1"/>
        <v>0</v>
      </c>
      <c r="D13" s="48">
        <v>47.0</v>
      </c>
      <c r="E13" s="38">
        <f t="shared" si="2"/>
        <v>0</v>
      </c>
      <c r="F13" s="50">
        <f t="shared" si="3"/>
        <v>0.01346319106</v>
      </c>
      <c r="G13" s="51" t="s">
        <v>21</v>
      </c>
      <c r="H13" s="51">
        <v>2.0</v>
      </c>
      <c r="I13" s="53" t="str">
        <f>HYPERLINK("http://www.dph.illinois.gov/topics-services/diseases-and-conditions/diseases-a-z-list/coronavirus","Source")</f>
        <v>Source</v>
      </c>
      <c r="J13" s="24"/>
      <c r="K13" s="24"/>
      <c r="L13" s="46">
        <v>3491.0</v>
      </c>
      <c r="M13" s="48">
        <v>47.0</v>
      </c>
    </row>
    <row r="14" ht="27.75" customHeight="1">
      <c r="A14" s="45" t="s">
        <v>37</v>
      </c>
      <c r="B14" s="46">
        <v>3315.0</v>
      </c>
      <c r="C14" s="31">
        <f t="shared" si="1"/>
        <v>0</v>
      </c>
      <c r="D14" s="48">
        <v>137.0</v>
      </c>
      <c r="E14" s="38">
        <f t="shared" si="2"/>
        <v>0</v>
      </c>
      <c r="F14" s="37">
        <f t="shared" si="3"/>
        <v>0.04132730015</v>
      </c>
      <c r="G14" s="51">
        <v>336.0</v>
      </c>
      <c r="H14" s="51" t="s">
        <v>21</v>
      </c>
      <c r="I14" s="53" t="str">
        <f>HYPERLINK("http://ldh.la.gov/coronavirus/","Source")</f>
        <v>Source</v>
      </c>
      <c r="J14" s="24"/>
      <c r="K14" s="24"/>
      <c r="L14" s="46">
        <v>3315.0</v>
      </c>
      <c r="M14" s="48">
        <v>137.0</v>
      </c>
    </row>
    <row r="15" ht="27.75" customHeight="1">
      <c r="A15" s="45" t="s">
        <v>40</v>
      </c>
      <c r="B15" s="46">
        <v>2751.0</v>
      </c>
      <c r="C15" s="31">
        <f t="shared" si="1"/>
        <v>0</v>
      </c>
      <c r="D15" s="48">
        <v>34.0</v>
      </c>
      <c r="E15" s="38">
        <f t="shared" si="2"/>
        <v>0</v>
      </c>
      <c r="F15" s="50">
        <f t="shared" si="3"/>
        <v>0.01235914213</v>
      </c>
      <c r="G15" s="51">
        <v>1.0</v>
      </c>
      <c r="H15" s="51" t="s">
        <v>21</v>
      </c>
      <c r="I15" s="53" t="str">
        <f>HYPERLINK("https://www.health.pa.gov/topics/disease/coronavirus/Pages/Cases.aspx","Source")</f>
        <v>Source</v>
      </c>
      <c r="J15" s="24"/>
      <c r="K15" s="24"/>
      <c r="L15" s="46">
        <v>2751.0</v>
      </c>
      <c r="M15" s="48">
        <v>34.0</v>
      </c>
    </row>
    <row r="16" ht="30.0" customHeight="1">
      <c r="A16" s="33" t="s">
        <v>42</v>
      </c>
      <c r="B16" s="36">
        <v>2521.0</v>
      </c>
      <c r="C16" s="31">
        <f t="shared" si="1"/>
        <v>27</v>
      </c>
      <c r="D16" s="57">
        <v>34.0</v>
      </c>
      <c r="E16" s="38">
        <f t="shared" si="2"/>
        <v>0</v>
      </c>
      <c r="F16" s="50">
        <f t="shared" si="3"/>
        <v>0.01348671162</v>
      </c>
      <c r="G16" s="52">
        <v>1.0</v>
      </c>
      <c r="H16" s="51" t="s">
        <v>21</v>
      </c>
      <c r="I16" s="54" t="str">
        <f>HYPERLINK("https://www.houstonchronicle.com/coronavirus/article/texas-coronavirus-map-cases-houston-covid-19-15137466.php","Source")</f>
        <v>Source</v>
      </c>
      <c r="J16" s="24"/>
      <c r="K16" s="24"/>
      <c r="L16" s="36">
        <v>2494.0</v>
      </c>
      <c r="M16" s="57">
        <v>34.0</v>
      </c>
    </row>
    <row r="17" ht="30.0" customHeight="1">
      <c r="A17" s="45" t="s">
        <v>44</v>
      </c>
      <c r="B17" s="46">
        <v>2446.0</v>
      </c>
      <c r="C17" s="31">
        <f t="shared" si="1"/>
        <v>0</v>
      </c>
      <c r="D17" s="48">
        <v>79.0</v>
      </c>
      <c r="E17" s="38">
        <f t="shared" si="2"/>
        <v>0</v>
      </c>
      <c r="F17" s="37">
        <f t="shared" si="3"/>
        <v>0.03229762878</v>
      </c>
      <c r="G17" s="51" t="s">
        <v>21</v>
      </c>
      <c r="H17" s="51" t="s">
        <v>21</v>
      </c>
      <c r="I17" s="53" t="str">
        <f>HYPERLINK("https://dph.georgia.gov/covid-19-daily-status-report","Source")</f>
        <v>Source</v>
      </c>
      <c r="J17" s="24"/>
      <c r="K17" s="24"/>
      <c r="L17" s="46">
        <v>2446.0</v>
      </c>
      <c r="M17" s="48">
        <v>79.0</v>
      </c>
    </row>
    <row r="18" ht="27.75" customHeight="1">
      <c r="A18" s="45" t="s">
        <v>48</v>
      </c>
      <c r="B18" s="46">
        <v>2061.0</v>
      </c>
      <c r="C18" s="31">
        <f t="shared" si="1"/>
        <v>0</v>
      </c>
      <c r="D18" s="48">
        <v>44.0</v>
      </c>
      <c r="E18" s="38">
        <f t="shared" si="2"/>
        <v>0</v>
      </c>
      <c r="F18" s="37">
        <f t="shared" si="3"/>
        <v>0.02134885978</v>
      </c>
      <c r="G18" s="51" t="s">
        <v>21</v>
      </c>
      <c r="H18" s="51" t="s">
        <v>21</v>
      </c>
      <c r="I18" s="53" t="str">
        <f>HYPERLINK("https://covid19.colorado.gov/case-data","Source")</f>
        <v>Source</v>
      </c>
      <c r="J18" s="24"/>
      <c r="K18" s="24"/>
      <c r="L18" s="46">
        <v>2061.0</v>
      </c>
      <c r="M18" s="48">
        <v>44.0</v>
      </c>
    </row>
    <row r="19" ht="27.75" customHeight="1">
      <c r="A19" s="45" t="s">
        <v>50</v>
      </c>
      <c r="B19" s="46">
        <v>1524.0</v>
      </c>
      <c r="C19" s="31">
        <f t="shared" si="1"/>
        <v>0</v>
      </c>
      <c r="D19" s="48">
        <v>33.0</v>
      </c>
      <c r="E19" s="38">
        <f t="shared" si="2"/>
        <v>0</v>
      </c>
      <c r="F19" s="50">
        <f t="shared" si="3"/>
        <v>0.02165354331</v>
      </c>
      <c r="G19" s="51" t="s">
        <v>21</v>
      </c>
      <c r="H19" s="51" t="s">
        <v>21</v>
      </c>
      <c r="I19" s="53" t="str">
        <f>HYPERLINK("https://portal.ct.gov/-/media/Coronavirus/CTDPHCOVID19summary3282020.pdf?la=en","Source")</f>
        <v>Source</v>
      </c>
      <c r="J19" s="24"/>
      <c r="K19" s="24"/>
      <c r="L19" s="46">
        <v>1524.0</v>
      </c>
      <c r="M19" s="48">
        <v>33.0</v>
      </c>
    </row>
    <row r="20" ht="27.75" customHeight="1">
      <c r="A20" s="45" t="s">
        <v>52</v>
      </c>
      <c r="B20" s="46">
        <v>1406.0</v>
      </c>
      <c r="C20" s="31">
        <f t="shared" si="1"/>
        <v>0</v>
      </c>
      <c r="D20" s="48">
        <v>25.0</v>
      </c>
      <c r="E20" s="38">
        <f t="shared" si="2"/>
        <v>0</v>
      </c>
      <c r="F20" s="50">
        <f t="shared" si="3"/>
        <v>0.01778093883</v>
      </c>
      <c r="G20" s="51">
        <v>123.0</v>
      </c>
      <c r="H20" s="51" t="s">
        <v>21</v>
      </c>
      <c r="I20" s="53" t="str">
        <f>HYPERLINK("https://coronavirus.ohio.gov/wps/portal/gov/covid-19/","Source")</f>
        <v>Source</v>
      </c>
      <c r="J20" s="24"/>
      <c r="K20" s="24"/>
      <c r="L20" s="46">
        <v>1406.0</v>
      </c>
      <c r="M20" s="48">
        <v>25.0</v>
      </c>
    </row>
    <row r="21" ht="27.75" customHeight="1">
      <c r="A21" s="45" t="s">
        <v>53</v>
      </c>
      <c r="B21" s="46">
        <v>1373.0</v>
      </c>
      <c r="C21" s="31">
        <f t="shared" si="1"/>
        <v>0</v>
      </c>
      <c r="D21" s="48">
        <v>6.0</v>
      </c>
      <c r="E21" s="38">
        <f t="shared" si="2"/>
        <v>0</v>
      </c>
      <c r="F21" s="37">
        <f t="shared" si="3"/>
        <v>0.004369992717</v>
      </c>
      <c r="G21" s="51" t="s">
        <v>21</v>
      </c>
      <c r="H21" s="51" t="s">
        <v>21</v>
      </c>
      <c r="I21" s="53" t="str">
        <f>HYPERLINK("https://www.tn.gov/health/cedep/ncov.html","Source")</f>
        <v>Source</v>
      </c>
      <c r="J21" s="24"/>
      <c r="K21" s="24"/>
      <c r="L21" s="46">
        <v>1373.0</v>
      </c>
      <c r="M21" s="48">
        <v>6.0</v>
      </c>
    </row>
    <row r="22" ht="30.0" customHeight="1">
      <c r="A22" s="33" t="s">
        <v>56</v>
      </c>
      <c r="B22" s="36">
        <v>1232.0</v>
      </c>
      <c r="C22" s="31">
        <f t="shared" si="1"/>
        <v>0</v>
      </c>
      <c r="D22" s="36">
        <v>31.0</v>
      </c>
      <c r="E22" s="40">
        <f t="shared" si="2"/>
        <v>0</v>
      </c>
      <c r="F22" s="37">
        <f t="shared" si="3"/>
        <v>0.02516233766</v>
      </c>
      <c r="G22" s="47" t="s">
        <v>21</v>
      </c>
      <c r="H22" s="51" t="s">
        <v>21</v>
      </c>
      <c r="I22" s="54" t="str">
        <f>HYPERLINK("https://twitter.com/StateHealthIN/status/1243902975539646464","Source")</f>
        <v>Source</v>
      </c>
      <c r="J22" s="24"/>
      <c r="K22" s="24"/>
      <c r="L22" s="36">
        <v>1232.0</v>
      </c>
      <c r="M22" s="36">
        <v>31.0</v>
      </c>
    </row>
    <row r="23" ht="27.75" customHeight="1">
      <c r="A23" s="45" t="s">
        <v>57</v>
      </c>
      <c r="B23" s="46">
        <v>1058.0</v>
      </c>
      <c r="C23" s="31">
        <f t="shared" si="1"/>
        <v>0</v>
      </c>
      <c r="D23" s="48">
        <v>10.0</v>
      </c>
      <c r="E23" s="38">
        <f t="shared" si="2"/>
        <v>0</v>
      </c>
      <c r="F23" s="50">
        <f t="shared" si="3"/>
        <v>0.009451795841</v>
      </c>
      <c r="G23" s="47" t="s">
        <v>21</v>
      </c>
      <c r="H23" s="51">
        <v>32.0</v>
      </c>
      <c r="I23" s="53" t="str">
        <f>HYPERLINK("https://health.maryland.gov/newsroom/Pages/Maryland-Department-of-Health-Announces-Five-Coronavirus-Deaths.aspx","Source")</f>
        <v>Source</v>
      </c>
      <c r="J23" s="24"/>
      <c r="K23" s="24"/>
      <c r="L23" s="46">
        <v>1058.0</v>
      </c>
      <c r="M23" s="48">
        <v>10.0</v>
      </c>
    </row>
    <row r="24" ht="30.0" customHeight="1">
      <c r="A24" s="33" t="s">
        <v>59</v>
      </c>
      <c r="B24" s="36">
        <v>1044.0</v>
      </c>
      <c r="C24" s="31">
        <f t="shared" si="1"/>
        <v>22</v>
      </c>
      <c r="D24" s="36">
        <v>4.0</v>
      </c>
      <c r="E24" s="40">
        <f t="shared" si="2"/>
        <v>0</v>
      </c>
      <c r="F24" s="50">
        <f t="shared" si="3"/>
        <v>0.003831417625</v>
      </c>
      <c r="G24" s="47" t="s">
        <v>21</v>
      </c>
      <c r="H24" s="51" t="s">
        <v>21</v>
      </c>
      <c r="I24" s="54" t="str">
        <f>HYPERLINK("https://www.newsobserver.com/news/local/article241168731.html","Source")</f>
        <v>Source</v>
      </c>
      <c r="J24" s="24"/>
      <c r="K24" s="24"/>
      <c r="L24" s="36">
        <v>1022.0</v>
      </c>
      <c r="M24" s="36">
        <v>4.0</v>
      </c>
    </row>
    <row r="25" ht="27.75" customHeight="1">
      <c r="A25" s="45" t="s">
        <v>61</v>
      </c>
      <c r="B25" s="46">
        <v>989.0</v>
      </c>
      <c r="C25" s="31">
        <f t="shared" si="1"/>
        <v>0</v>
      </c>
      <c r="D25" s="48">
        <v>15.0</v>
      </c>
      <c r="E25" s="38">
        <f t="shared" si="2"/>
        <v>0</v>
      </c>
      <c r="F25" s="37">
        <f t="shared" si="3"/>
        <v>0.01516683519</v>
      </c>
      <c r="G25" s="47" t="s">
        <v>21</v>
      </c>
      <c r="H25" s="51" t="s">
        <v>21</v>
      </c>
      <c r="I25" s="53" t="str">
        <f>HYPERLINK("https://twitter.com/kmpossiblemke/status/1243885863114809344","Source")</f>
        <v>Source</v>
      </c>
      <c r="J25" s="24"/>
      <c r="K25" s="24"/>
      <c r="L25" s="46">
        <v>989.0</v>
      </c>
      <c r="M25" s="48">
        <v>15.0</v>
      </c>
    </row>
    <row r="26" ht="30.0" customHeight="1">
      <c r="A26" s="33" t="s">
        <v>63</v>
      </c>
      <c r="B26" s="36">
        <v>838.0</v>
      </c>
      <c r="C26" s="31">
        <f t="shared" si="1"/>
        <v>0</v>
      </c>
      <c r="D26" s="36">
        <v>12.0</v>
      </c>
      <c r="E26" s="40">
        <f t="shared" si="2"/>
        <v>0</v>
      </c>
      <c r="F26" s="37">
        <f t="shared" si="3"/>
        <v>0.01431980907</v>
      </c>
      <c r="G26" s="47" t="s">
        <v>21</v>
      </c>
      <c r="H26" s="51" t="s">
        <v>21</v>
      </c>
      <c r="I26" s="54" t="str">
        <f>HYPERLINK("https://health.mo.gov/living/healthcondiseases/communicable/novel-coronavirus/","Source")</f>
        <v>Source</v>
      </c>
      <c r="J26" s="24"/>
      <c r="K26" s="24"/>
      <c r="L26" s="36">
        <v>838.0</v>
      </c>
      <c r="M26" s="36">
        <v>12.0</v>
      </c>
    </row>
    <row r="27" ht="30.0" customHeight="1">
      <c r="A27" s="33" t="s">
        <v>65</v>
      </c>
      <c r="B27" s="36">
        <v>739.0</v>
      </c>
      <c r="C27" s="31">
        <f t="shared" si="1"/>
        <v>0</v>
      </c>
      <c r="D27" s="36">
        <v>17.0</v>
      </c>
      <c r="E27" s="40">
        <f t="shared" si="2"/>
        <v>0</v>
      </c>
      <c r="F27" s="50">
        <f t="shared" si="3"/>
        <v>0.02300405954</v>
      </c>
      <c r="G27" s="47" t="s">
        <v>21</v>
      </c>
      <c r="H27" s="51" t="s">
        <v>21</v>
      </c>
      <c r="I27" s="54" t="str">
        <f>HYPERLINK("http://www.vdh.virginia.gov/coronavirus/","Source")</f>
        <v>Source</v>
      </c>
      <c r="J27" s="24"/>
      <c r="K27" s="24"/>
      <c r="L27" s="36">
        <v>739.0</v>
      </c>
      <c r="M27" s="36">
        <v>17.0</v>
      </c>
    </row>
    <row r="28" ht="27.75" customHeight="1">
      <c r="A28" s="45" t="s">
        <v>66</v>
      </c>
      <c r="B28" s="46">
        <v>695.0</v>
      </c>
      <c r="C28" s="31">
        <f t="shared" si="1"/>
        <v>0</v>
      </c>
      <c r="D28" s="48">
        <v>3.0</v>
      </c>
      <c r="E28" s="38">
        <f t="shared" si="2"/>
        <v>0</v>
      </c>
      <c r="F28" s="37">
        <f t="shared" si="3"/>
        <v>0.004316546763</v>
      </c>
      <c r="G28" s="47" t="s">
        <v>21</v>
      </c>
      <c r="H28" s="51" t="s">
        <v>21</v>
      </c>
      <c r="I28" s="53" t="str">
        <f>HYPERLINK("https://alpublichealth.maps.arcgis.com/apps/opsdashboard/index.html#/6d2771faa9da4a2786a509d82c8cf0f7","Source")</f>
        <v>Source</v>
      </c>
      <c r="J28" s="24"/>
      <c r="K28" s="24"/>
      <c r="L28" s="46">
        <v>695.0</v>
      </c>
      <c r="M28" s="48">
        <v>3.0</v>
      </c>
    </row>
    <row r="29" ht="27.75" customHeight="1">
      <c r="A29" s="45" t="s">
        <v>68</v>
      </c>
      <c r="B29" s="46">
        <v>773.0</v>
      </c>
      <c r="C29" s="31">
        <f t="shared" si="1"/>
        <v>0</v>
      </c>
      <c r="D29" s="48">
        <v>15.0</v>
      </c>
      <c r="E29" s="38">
        <f t="shared" si="2"/>
        <v>0</v>
      </c>
      <c r="F29" s="50">
        <f t="shared" si="3"/>
        <v>0.01940491591</v>
      </c>
      <c r="G29" s="47" t="s">
        <v>21</v>
      </c>
      <c r="H29" s="51" t="s">
        <v>21</v>
      </c>
      <c r="I29" s="53" t="str">
        <f>HYPERLINK("https://www.azdhs.gov/preparedness/epidemiology-disease-control/infectious-disease-epidemiology/index.php#novel-coronavirus-home","Source")</f>
        <v>Source</v>
      </c>
      <c r="J29" s="24"/>
      <c r="K29" s="24"/>
      <c r="L29" s="46">
        <v>773.0</v>
      </c>
      <c r="M29" s="48">
        <v>15.0</v>
      </c>
    </row>
    <row r="30" ht="27.75" customHeight="1">
      <c r="A30" s="45" t="s">
        <v>69</v>
      </c>
      <c r="B30" s="46">
        <v>663.0</v>
      </c>
      <c r="C30" s="31">
        <f t="shared" si="1"/>
        <v>0</v>
      </c>
      <c r="D30" s="48">
        <v>13.0</v>
      </c>
      <c r="E30" s="38">
        <f t="shared" si="2"/>
        <v>0</v>
      </c>
      <c r="F30" s="37">
        <f t="shared" si="3"/>
        <v>0.01960784314</v>
      </c>
      <c r="G30" s="47" t="s">
        <v>21</v>
      </c>
      <c r="H30" s="51" t="s">
        <v>21</v>
      </c>
      <c r="I30" s="53" t="str">
        <f>HYPERLINK("https://msdh.ms.gov/msdhsite/_static/14,21882,420,873.html","Source")</f>
        <v>Source</v>
      </c>
      <c r="J30" s="24"/>
      <c r="K30" s="24"/>
      <c r="L30" s="46">
        <v>663.0</v>
      </c>
      <c r="M30" s="48">
        <v>13.0</v>
      </c>
    </row>
    <row r="31" ht="30.0" customHeight="1">
      <c r="A31" s="33" t="s">
        <v>71</v>
      </c>
      <c r="B31" s="36">
        <v>660.0</v>
      </c>
      <c r="C31" s="31">
        <f t="shared" si="1"/>
        <v>0</v>
      </c>
      <c r="D31" s="36">
        <v>15.0</v>
      </c>
      <c r="E31" s="40">
        <f t="shared" si="2"/>
        <v>0</v>
      </c>
      <c r="F31" s="50">
        <f t="shared" si="3"/>
        <v>0.02272727273</v>
      </c>
      <c r="G31" s="47" t="s">
        <v>21</v>
      </c>
      <c r="H31" s="51" t="s">
        <v>21</v>
      </c>
      <c r="I31" s="54" t="str">
        <f>HYPERLINK("https://scdhec.gov/infectious-diseases/viruses/coronavirus-disease-2019-covid-19/monitoring-testing-covid-19","Source")</f>
        <v>Source</v>
      </c>
      <c r="J31" s="24"/>
      <c r="K31" s="24"/>
      <c r="L31" s="36">
        <v>660.0</v>
      </c>
      <c r="M31" s="36">
        <v>15.0</v>
      </c>
    </row>
    <row r="32" ht="27.75" customHeight="1">
      <c r="A32" s="45" t="s">
        <v>73</v>
      </c>
      <c r="B32" s="46">
        <v>639.0</v>
      </c>
      <c r="C32" s="31">
        <f t="shared" si="1"/>
        <v>0</v>
      </c>
      <c r="D32" s="48">
        <v>14.0</v>
      </c>
      <c r="E32" s="38">
        <f t="shared" si="2"/>
        <v>0</v>
      </c>
      <c r="F32" s="37">
        <f t="shared" si="3"/>
        <v>0.02190923318</v>
      </c>
      <c r="G32" s="47" t="s">
        <v>21</v>
      </c>
      <c r="H32" s="51" t="s">
        <v>21</v>
      </c>
      <c r="I32" s="53" t="str">
        <f>HYPERLINK("https://app.powerbigov.us/view?r=eyJrIjoiMjA2ZThiOWUtM2FlNS00MGY5LWFmYjUtNmQwNTQ3Nzg5N2I2IiwidCI6ImU0YTM0MGU2LWI4OWUtNGU2OC04ZWFhLTE1NDRkMjcwMzk4MCJ9","Source")</f>
        <v>Source</v>
      </c>
      <c r="J32" s="24"/>
      <c r="K32" s="24"/>
      <c r="L32" s="46">
        <v>639.0</v>
      </c>
      <c r="M32" s="48">
        <v>14.0</v>
      </c>
    </row>
    <row r="33" ht="30.0" customHeight="1">
      <c r="A33" s="33" t="s">
        <v>75</v>
      </c>
      <c r="B33" s="36">
        <v>602.0</v>
      </c>
      <c r="C33" s="31">
        <f t="shared" si="1"/>
        <v>0</v>
      </c>
      <c r="D33" s="36">
        <v>4.0</v>
      </c>
      <c r="E33" s="40">
        <f t="shared" si="2"/>
        <v>0</v>
      </c>
      <c r="F33" s="50">
        <f t="shared" si="3"/>
        <v>0.006644518272</v>
      </c>
      <c r="G33" s="47" t="s">
        <v>21</v>
      </c>
      <c r="H33" s="51" t="s">
        <v>21</v>
      </c>
      <c r="I33" s="54" t="str">
        <f>HYPERLINK("https://coronavirus.utah.gov/case-counts/","Source")</f>
        <v>Source</v>
      </c>
      <c r="J33" s="24"/>
      <c r="K33" s="24"/>
      <c r="L33" s="36">
        <v>602.0</v>
      </c>
      <c r="M33" s="36">
        <v>4.0</v>
      </c>
    </row>
    <row r="34" ht="27.75" customHeight="1">
      <c r="A34" s="45" t="s">
        <v>78</v>
      </c>
      <c r="B34" s="46">
        <v>479.0</v>
      </c>
      <c r="C34" s="31">
        <f t="shared" si="1"/>
        <v>0</v>
      </c>
      <c r="D34" s="48">
        <v>13.0</v>
      </c>
      <c r="E34" s="38">
        <f t="shared" si="2"/>
        <v>0</v>
      </c>
      <c r="F34" s="37">
        <f t="shared" si="3"/>
        <v>0.02713987474</v>
      </c>
      <c r="G34" s="47" t="s">
        <v>21</v>
      </c>
      <c r="H34" s="51" t="s">
        <v>21</v>
      </c>
      <c r="I34" s="53" t="str">
        <f>HYPERLINK("https://govstatus.egov.com/OR-OHA-COVID-19","Source")</f>
        <v>Source</v>
      </c>
      <c r="J34" s="24"/>
      <c r="K34" s="24"/>
      <c r="L34" s="46">
        <v>479.0</v>
      </c>
      <c r="M34" s="48">
        <v>13.0</v>
      </c>
    </row>
    <row r="35" ht="30.0" customHeight="1">
      <c r="A35" s="33" t="s">
        <v>80</v>
      </c>
      <c r="B35" s="36">
        <v>441.0</v>
      </c>
      <c r="C35" s="31">
        <f t="shared" si="1"/>
        <v>0</v>
      </c>
      <c r="D35" s="36">
        <v>5.0</v>
      </c>
      <c r="E35" s="40">
        <f t="shared" si="2"/>
        <v>0</v>
      </c>
      <c r="F35" s="50">
        <f t="shared" si="3"/>
        <v>0.01133786848</v>
      </c>
      <c r="G35" s="47">
        <v>1.0</v>
      </c>
      <c r="H35" s="52">
        <v>220.0</v>
      </c>
      <c r="I35" s="54" t="str">
        <f>HYPERLINK("https://www.health.state.mn.us/diseases/coronavirus/situation.html","Source")</f>
        <v>Source</v>
      </c>
      <c r="J35" s="24"/>
      <c r="K35" s="24"/>
      <c r="L35" s="36">
        <v>441.0</v>
      </c>
      <c r="M35" s="36">
        <v>5.0</v>
      </c>
    </row>
    <row r="36" ht="27.75" customHeight="1">
      <c r="A36" s="45" t="s">
        <v>81</v>
      </c>
      <c r="B36" s="46">
        <v>409.0</v>
      </c>
      <c r="C36" s="31">
        <f t="shared" si="1"/>
        <v>0</v>
      </c>
      <c r="D36" s="48">
        <v>3.0</v>
      </c>
      <c r="E36" s="38">
        <f t="shared" si="2"/>
        <v>0</v>
      </c>
      <c r="F36" s="37">
        <f t="shared" si="3"/>
        <v>0.007334963325</v>
      </c>
      <c r="G36" s="51">
        <v>17.0</v>
      </c>
      <c r="H36" s="51" t="s">
        <v>21</v>
      </c>
      <c r="I36" s="53" t="str">
        <f>HYPERLINK("https://www.healthy.arkansas.gov/programs-services/topics/novel-coronavirus","Source")</f>
        <v>Source</v>
      </c>
      <c r="J36" s="24"/>
      <c r="K36" s="24"/>
      <c r="L36" s="46">
        <v>409.0</v>
      </c>
      <c r="M36" s="48">
        <v>3.0</v>
      </c>
    </row>
    <row r="37" ht="27.75" customHeight="1">
      <c r="A37" s="45" t="s">
        <v>83</v>
      </c>
      <c r="B37" s="46">
        <v>394.0</v>
      </c>
      <c r="C37" s="31">
        <f t="shared" si="1"/>
        <v>0</v>
      </c>
      <c r="D37" s="48">
        <v>5.0</v>
      </c>
      <c r="E37" s="38">
        <f t="shared" si="2"/>
        <v>0</v>
      </c>
      <c r="F37" s="50">
        <f t="shared" si="3"/>
        <v>0.01269035533</v>
      </c>
      <c r="G37" s="51" t="s">
        <v>21</v>
      </c>
      <c r="H37" s="51" t="s">
        <v>21</v>
      </c>
      <c r="I37" s="53" t="str">
        <f>HYPERLINK("https://govstatus.egov.com/kycovid19","Source")</f>
        <v>Source</v>
      </c>
      <c r="J37" s="24"/>
      <c r="K37" s="24"/>
      <c r="L37" s="46">
        <v>394.0</v>
      </c>
      <c r="M37" s="48">
        <v>5.0</v>
      </c>
    </row>
    <row r="38" ht="30.0" customHeight="1">
      <c r="A38" s="33" t="s">
        <v>85</v>
      </c>
      <c r="B38" s="36">
        <v>377.0</v>
      </c>
      <c r="C38" s="31">
        <f t="shared" si="1"/>
        <v>0</v>
      </c>
      <c r="D38" s="36">
        <v>15.0</v>
      </c>
      <c r="E38" s="40">
        <f t="shared" si="2"/>
        <v>0</v>
      </c>
      <c r="F38" s="50">
        <f t="shared" si="3"/>
        <v>0.03978779841</v>
      </c>
      <c r="G38" s="51" t="s">
        <v>21</v>
      </c>
      <c r="H38" s="52" t="s">
        <v>21</v>
      </c>
      <c r="I38" s="54" t="str">
        <f>HYPERLINK("https://coronavirus.health.ok.gov/","Source")</f>
        <v>Source</v>
      </c>
      <c r="J38" s="24"/>
      <c r="K38" s="24"/>
      <c r="L38" s="36">
        <v>377.0</v>
      </c>
      <c r="M38" s="36">
        <v>15.0</v>
      </c>
    </row>
    <row r="39" ht="27.75" customHeight="1">
      <c r="A39" s="45" t="s">
        <v>88</v>
      </c>
      <c r="B39" s="46">
        <v>342.0</v>
      </c>
      <c r="C39" s="31">
        <f t="shared" si="1"/>
        <v>0</v>
      </c>
      <c r="D39" s="48">
        <v>4.0</v>
      </c>
      <c r="E39" s="38">
        <f t="shared" si="2"/>
        <v>0</v>
      </c>
      <c r="F39" s="37">
        <f t="shared" si="3"/>
        <v>0.01169590643</v>
      </c>
      <c r="G39" s="51" t="s">
        <v>21</v>
      </c>
      <c r="H39" s="51">
        <v>66.0</v>
      </c>
      <c r="I39" s="53" t="str">
        <f>HYPERLINK("https://coronavirus.dc.gov/page/coronavirus-data","Source")</f>
        <v>Source</v>
      </c>
      <c r="J39" s="24"/>
      <c r="K39" s="24"/>
      <c r="L39" s="46">
        <v>342.0</v>
      </c>
      <c r="M39" s="48">
        <v>4.0</v>
      </c>
    </row>
    <row r="40" ht="27.75" customHeight="1">
      <c r="A40" s="45" t="s">
        <v>91</v>
      </c>
      <c r="B40" s="46">
        <v>298.0</v>
      </c>
      <c r="C40" s="31">
        <f t="shared" si="1"/>
        <v>0</v>
      </c>
      <c r="D40" s="48">
        <v>3.0</v>
      </c>
      <c r="E40" s="38">
        <f t="shared" si="2"/>
        <v>0</v>
      </c>
      <c r="F40" s="37">
        <f t="shared" si="3"/>
        <v>0.01006711409</v>
      </c>
      <c r="G40" s="51" t="s">
        <v>21</v>
      </c>
      <c r="H40" s="51" t="s">
        <v>21</v>
      </c>
      <c r="I40" s="53" t="str">
        <f>HYPERLINK("https://idph.iowa.gov/Emerging-Health-Issues/Novel-Coronavirus","Source")</f>
        <v>Source</v>
      </c>
      <c r="J40" s="24"/>
      <c r="K40" s="24"/>
      <c r="L40" s="46">
        <v>298.0</v>
      </c>
      <c r="M40" s="48">
        <v>3.0</v>
      </c>
    </row>
    <row r="41" ht="30.0" customHeight="1">
      <c r="A41" s="33" t="s">
        <v>92</v>
      </c>
      <c r="B41" s="36">
        <v>266.0</v>
      </c>
      <c r="C41" s="31">
        <f t="shared" si="1"/>
        <v>0</v>
      </c>
      <c r="D41" s="36">
        <v>6.0</v>
      </c>
      <c r="E41" s="40">
        <f t="shared" si="2"/>
        <v>0</v>
      </c>
      <c r="F41" s="50">
        <f t="shared" si="3"/>
        <v>0.02255639098</v>
      </c>
      <c r="G41" s="51" t="s">
        <v>21</v>
      </c>
      <c r="H41" s="51" t="s">
        <v>21</v>
      </c>
      <c r="I41" s="54" t="str">
        <f>HYPERLINK("https://www.kshb.com/news/coronavirus/covid-19-case-tracker-where-we-stand-in-mo-ks-nationwide","Source")</f>
        <v>Source</v>
      </c>
      <c r="J41" s="24"/>
      <c r="K41" s="24"/>
      <c r="L41" s="36">
        <v>266.0</v>
      </c>
      <c r="M41" s="36">
        <v>6.0</v>
      </c>
    </row>
    <row r="42" ht="27.75" customHeight="1">
      <c r="A42" s="45" t="s">
        <v>95</v>
      </c>
      <c r="B42" s="46">
        <v>261.0</v>
      </c>
      <c r="C42" s="31">
        <f t="shared" si="1"/>
        <v>0</v>
      </c>
      <c r="D42" s="48">
        <v>5.0</v>
      </c>
      <c r="E42" s="38">
        <f t="shared" si="2"/>
        <v>0</v>
      </c>
      <c r="F42" s="50">
        <f t="shared" si="3"/>
        <v>0.01915708812</v>
      </c>
      <c r="G42" s="51" t="s">
        <v>21</v>
      </c>
      <c r="H42" s="51" t="s">
        <v>21</v>
      </c>
      <c r="I42" s="53" t="str">
        <f>HYPERLINK("https://coronavirus.idaho.gov/","Source")</f>
        <v>Source</v>
      </c>
      <c r="J42" s="24"/>
      <c r="K42" s="24"/>
      <c r="L42" s="46">
        <v>261.0</v>
      </c>
      <c r="M42" s="48">
        <v>5.0</v>
      </c>
    </row>
    <row r="43" ht="27.75" customHeight="1">
      <c r="A43" s="45" t="s">
        <v>98</v>
      </c>
      <c r="B43" s="46">
        <v>214.0</v>
      </c>
      <c r="C43" s="31">
        <f t="shared" si="1"/>
        <v>0</v>
      </c>
      <c r="D43" s="48">
        <v>5.0</v>
      </c>
      <c r="E43" s="38">
        <f t="shared" si="2"/>
        <v>0</v>
      </c>
      <c r="F43" s="37">
        <f t="shared" si="3"/>
        <v>0.02336448598</v>
      </c>
      <c r="G43" s="51" t="s">
        <v>21</v>
      </c>
      <c r="H43" s="51">
        <v>9.0</v>
      </c>
      <c r="I43" s="53" t="str">
        <f>HYPERLINK("https://coronavirus.delaware.gov/","Source")</f>
        <v>Source</v>
      </c>
      <c r="J43" s="24"/>
      <c r="K43" s="24"/>
      <c r="L43" s="46">
        <v>214.0</v>
      </c>
      <c r="M43" s="48">
        <v>5.0</v>
      </c>
    </row>
    <row r="44" ht="30.0" customHeight="1">
      <c r="A44" s="33" t="s">
        <v>101</v>
      </c>
      <c r="B44" s="36">
        <v>214.0</v>
      </c>
      <c r="C44" s="31">
        <f t="shared" si="1"/>
        <v>0</v>
      </c>
      <c r="D44" s="57">
        <v>2.0</v>
      </c>
      <c r="E44" s="38">
        <f t="shared" si="2"/>
        <v>0</v>
      </c>
      <c r="F44" s="50">
        <f t="shared" si="3"/>
        <v>0.009345794393</v>
      </c>
      <c r="G44" s="51" t="s">
        <v>21</v>
      </c>
      <c r="H44" s="51" t="s">
        <v>21</v>
      </c>
      <c r="I44" s="54" t="str">
        <f>HYPERLINK("https://boston.cbslocal.com/2020/03/26/coronavirus-cases-in-new-hampshire-march-26/","Source")</f>
        <v>Source</v>
      </c>
      <c r="J44" s="24"/>
      <c r="K44" s="24"/>
      <c r="L44" s="36">
        <v>214.0</v>
      </c>
      <c r="M44" s="57">
        <v>2.0</v>
      </c>
    </row>
    <row r="45" ht="27.75" customHeight="1">
      <c r="A45" s="45" t="s">
        <v>102</v>
      </c>
      <c r="B45" s="46">
        <v>211.0</v>
      </c>
      <c r="C45" s="31">
        <f t="shared" si="1"/>
        <v>0</v>
      </c>
      <c r="D45" s="48">
        <v>0.0</v>
      </c>
      <c r="E45" s="38">
        <f t="shared" si="2"/>
        <v>0</v>
      </c>
      <c r="F45" s="50">
        <f t="shared" si="3"/>
        <v>0</v>
      </c>
      <c r="G45" s="51" t="s">
        <v>21</v>
      </c>
      <c r="H45" s="51">
        <v>16.0</v>
      </c>
      <c r="I45" s="53" t="str">
        <f>HYPERLINK("https://www.maine.gov/dhhs/mecdc/infectious-disease/epi/airborne/coronavirus.shtml","Source")</f>
        <v>Source</v>
      </c>
      <c r="J45" s="24"/>
      <c r="K45" s="24"/>
      <c r="L45" s="46">
        <v>211.0</v>
      </c>
      <c r="M45" s="48">
        <v>0.0</v>
      </c>
    </row>
    <row r="46" ht="30.0" customHeight="1">
      <c r="A46" s="33" t="s">
        <v>105</v>
      </c>
      <c r="B46" s="36">
        <v>211.0</v>
      </c>
      <c r="C46" s="31">
        <f t="shared" si="1"/>
        <v>0</v>
      </c>
      <c r="D46" s="36">
        <v>12.0</v>
      </c>
      <c r="E46" s="40">
        <f t="shared" si="2"/>
        <v>0</v>
      </c>
      <c r="F46" s="37">
        <f t="shared" si="3"/>
        <v>0.05687203791</v>
      </c>
      <c r="G46" s="51" t="s">
        <v>21</v>
      </c>
      <c r="H46" s="51" t="s">
        <v>21</v>
      </c>
      <c r="I46" s="54" t="str">
        <f>HYPERLINK("https://www.healthvermont.gov/response/infectious-disease/2019-novel-coronavirus","Source")</f>
        <v>Source</v>
      </c>
      <c r="J46" s="24"/>
      <c r="K46" s="24"/>
      <c r="L46" s="36">
        <v>211.0</v>
      </c>
      <c r="M46" s="36">
        <v>12.0</v>
      </c>
    </row>
    <row r="47" ht="27.75" customHeight="1">
      <c r="A47" s="45" t="s">
        <v>108</v>
      </c>
      <c r="B47" s="46">
        <v>208.0</v>
      </c>
      <c r="C47" s="31">
        <f t="shared" si="1"/>
        <v>0</v>
      </c>
      <c r="D47" s="48">
        <v>2.0</v>
      </c>
      <c r="E47" s="38">
        <f t="shared" si="2"/>
        <v>0</v>
      </c>
      <c r="F47" s="37">
        <f t="shared" si="3"/>
        <v>0.009615384615</v>
      </c>
      <c r="G47" s="51" t="s">
        <v>21</v>
      </c>
      <c r="H47" s="51" t="s">
        <v>21</v>
      </c>
      <c r="I47" s="53" t="str">
        <f>HYPERLINK("https://cv.nmhealth.org/","Source")</f>
        <v>Source</v>
      </c>
      <c r="J47" s="24"/>
      <c r="K47" s="24"/>
      <c r="L47" s="46">
        <v>208.0</v>
      </c>
      <c r="M47" s="48">
        <v>2.0</v>
      </c>
    </row>
    <row r="48" ht="27.75" customHeight="1">
      <c r="A48" s="45" t="s">
        <v>109</v>
      </c>
      <c r="B48" s="46">
        <v>203.0</v>
      </c>
      <c r="C48" s="31">
        <f t="shared" si="1"/>
        <v>0</v>
      </c>
      <c r="D48" s="48">
        <v>0.0</v>
      </c>
      <c r="E48" s="38">
        <f t="shared" si="2"/>
        <v>0</v>
      </c>
      <c r="F48" s="37">
        <f t="shared" si="3"/>
        <v>0</v>
      </c>
      <c r="G48" s="51" t="s">
        <v>21</v>
      </c>
      <c r="H48" s="51" t="s">
        <v>21</v>
      </c>
      <c r="I48" s="53" t="str">
        <f>HYPERLINK("https://twitter.com/mmontecalvotv/status/1243246851396120576","Source")</f>
        <v>Source</v>
      </c>
      <c r="J48" s="24"/>
      <c r="K48" s="24"/>
      <c r="L48" s="46">
        <v>203.0</v>
      </c>
      <c r="M48" s="48">
        <v>0.0</v>
      </c>
    </row>
    <row r="49" ht="27.75" customHeight="1">
      <c r="A49" s="45" t="s">
        <v>112</v>
      </c>
      <c r="B49" s="46">
        <v>151.0</v>
      </c>
      <c r="C49" s="31">
        <f t="shared" si="1"/>
        <v>0</v>
      </c>
      <c r="D49" s="48">
        <v>0.0</v>
      </c>
      <c r="E49" s="38">
        <f t="shared" si="2"/>
        <v>0</v>
      </c>
      <c r="F49" s="37">
        <f t="shared" si="3"/>
        <v>0</v>
      </c>
      <c r="G49" s="51" t="s">
        <v>21</v>
      </c>
      <c r="H49" s="51" t="s">
        <v>21</v>
      </c>
      <c r="I49" s="53" t="str">
        <f>HYPERLINK("https://health.hawaii.gov/coronavirusdisease2019/","Source")</f>
        <v>Source</v>
      </c>
      <c r="J49" s="24"/>
      <c r="K49" s="24"/>
      <c r="L49" s="46">
        <v>151.0</v>
      </c>
      <c r="M49" s="48">
        <v>0.0</v>
      </c>
    </row>
    <row r="50" ht="27.75" customHeight="1">
      <c r="A50" s="45" t="s">
        <v>115</v>
      </c>
      <c r="B50" s="46">
        <v>147.0</v>
      </c>
      <c r="C50" s="31">
        <f t="shared" si="1"/>
        <v>0</v>
      </c>
      <c r="D50" s="48">
        <v>1.0</v>
      </c>
      <c r="E50" s="38">
        <f t="shared" si="2"/>
        <v>0</v>
      </c>
      <c r="F50" s="50">
        <f t="shared" si="3"/>
        <v>0.006802721088</v>
      </c>
      <c r="G50" s="51" t="s">
        <v>21</v>
      </c>
      <c r="H50" s="51" t="s">
        <v>21</v>
      </c>
      <c r="I50" s="53" t="str">
        <f>HYPERLINK("https://montana.maps.arcgis.com/apps/MapSeries/index.html?appid=7c34f3412536439491adcc2103421d4b","Source")</f>
        <v>Source</v>
      </c>
      <c r="J50" s="24"/>
      <c r="K50" s="24"/>
      <c r="L50" s="46">
        <v>147.0</v>
      </c>
      <c r="M50" s="48">
        <v>1.0</v>
      </c>
    </row>
    <row r="51" ht="27.75" customHeight="1">
      <c r="A51" s="45" t="s">
        <v>118</v>
      </c>
      <c r="B51" s="46">
        <v>113.0</v>
      </c>
      <c r="C51" s="31">
        <f t="shared" si="1"/>
        <v>0</v>
      </c>
      <c r="D51" s="48">
        <v>0.0</v>
      </c>
      <c r="E51" s="38">
        <f t="shared" si="2"/>
        <v>0</v>
      </c>
      <c r="F51" s="50">
        <f t="shared" si="3"/>
        <v>0</v>
      </c>
      <c r="G51" s="51" t="s">
        <v>21</v>
      </c>
      <c r="H51" s="51" t="s">
        <v>21</v>
      </c>
      <c r="I51" s="53" t="str">
        <f>HYPERLINK("https://dhhr.wv.gov/COVID-19/Pages/default.aspx","Source")</f>
        <v>Source</v>
      </c>
      <c r="J51" s="24"/>
      <c r="K51" s="24"/>
      <c r="L51" s="46">
        <v>113.0</v>
      </c>
      <c r="M51" s="48">
        <v>0.0</v>
      </c>
    </row>
    <row r="52" ht="27.75" customHeight="1">
      <c r="A52" s="45" t="s">
        <v>121</v>
      </c>
      <c r="B52" s="46">
        <v>108.0</v>
      </c>
      <c r="C52" s="31">
        <f t="shared" si="1"/>
        <v>0</v>
      </c>
      <c r="D52" s="48">
        <v>0.0</v>
      </c>
      <c r="E52" s="38">
        <f t="shared" si="2"/>
        <v>0</v>
      </c>
      <c r="F52" s="37">
        <f t="shared" si="3"/>
        <v>0</v>
      </c>
      <c r="G52" s="51" t="s">
        <v>21</v>
      </c>
      <c r="H52" s="51" t="s">
        <v>21</v>
      </c>
      <c r="I52" s="53" t="str">
        <f>HYPERLINK("https://journalstar.com/lifestyles/health-med-fit/health/nebraska-tops-covid--cases-restrictions-tightened-in-more-counties/article_4c3262ed-1fe6-513c-b14d-d5fc778a940a.html","Source")</f>
        <v>Source</v>
      </c>
      <c r="J52" s="24"/>
      <c r="K52" s="24"/>
      <c r="L52" s="46">
        <v>108.0</v>
      </c>
      <c r="M52" s="48">
        <v>0.0</v>
      </c>
    </row>
    <row r="53" ht="27.75" customHeight="1">
      <c r="A53" s="45" t="s">
        <v>124</v>
      </c>
      <c r="B53" s="46">
        <v>102.0</v>
      </c>
      <c r="C53" s="31">
        <f t="shared" si="1"/>
        <v>0</v>
      </c>
      <c r="D53" s="48">
        <v>1.0</v>
      </c>
      <c r="E53" s="38">
        <f t="shared" si="2"/>
        <v>0</v>
      </c>
      <c r="F53" s="50">
        <f t="shared" si="3"/>
        <v>0.009803921569</v>
      </c>
      <c r="G53" s="51" t="s">
        <v>21</v>
      </c>
      <c r="H53" s="51" t="s">
        <v>21</v>
      </c>
      <c r="I53" s="53" t="str">
        <f>HYPERLINK("https://www.adn.com/alaska-news/2020/03/27/anchorage-sees-first-covid-19-death-in-alaska-hospital-officials-say/","Source")</f>
        <v>Source</v>
      </c>
      <c r="J53" s="24"/>
      <c r="K53" s="24"/>
      <c r="L53" s="46">
        <v>102.0</v>
      </c>
      <c r="M53" s="48">
        <v>1.0</v>
      </c>
    </row>
    <row r="54" ht="27.75" customHeight="1">
      <c r="A54" s="45" t="s">
        <v>127</v>
      </c>
      <c r="B54" s="46">
        <v>100.0</v>
      </c>
      <c r="C54" s="31">
        <f t="shared" si="1"/>
        <v>0</v>
      </c>
      <c r="D54" s="48">
        <v>3.0</v>
      </c>
      <c r="E54" s="38">
        <f t="shared" si="2"/>
        <v>0</v>
      </c>
      <c r="F54" s="37">
        <f t="shared" si="3"/>
        <v>0.03</v>
      </c>
      <c r="G54" s="51" t="s">
        <v>21</v>
      </c>
      <c r="H54" s="51" t="s">
        <v>21</v>
      </c>
      <c r="I54" s="53" t="str">
        <f>HYPERLINK("http://www.salud.gov.pr/Pages/coronavirus.aspx","Source")</f>
        <v>Source</v>
      </c>
      <c r="J54" s="24"/>
      <c r="K54" s="24"/>
      <c r="L54" s="46">
        <v>100.0</v>
      </c>
      <c r="M54" s="48">
        <v>3.0</v>
      </c>
    </row>
    <row r="55" ht="27.75" customHeight="1">
      <c r="A55" s="45" t="s">
        <v>129</v>
      </c>
      <c r="B55" s="46">
        <v>94.0</v>
      </c>
      <c r="C55" s="31">
        <f t="shared" si="1"/>
        <v>0</v>
      </c>
      <c r="D55" s="48">
        <v>1.0</v>
      </c>
      <c r="E55" s="38">
        <f t="shared" si="2"/>
        <v>0</v>
      </c>
      <c r="F55" s="50">
        <f t="shared" si="3"/>
        <v>0.01063829787</v>
      </c>
      <c r="G55" s="51" t="s">
        <v>21</v>
      </c>
      <c r="H55" s="51">
        <v>18.0</v>
      </c>
      <c r="I55" s="53" t="str">
        <f>HYPERLINK("https://www.health.nd.gov/diseases-conditions/coronavirus/north-dakota-coronavirus-cases","Source")</f>
        <v>Source</v>
      </c>
      <c r="J55" s="24"/>
      <c r="K55" s="24"/>
      <c r="L55" s="46">
        <v>94.0</v>
      </c>
      <c r="M55" s="48">
        <v>1.0</v>
      </c>
    </row>
    <row r="56" ht="27.75" customHeight="1">
      <c r="A56" s="45" t="s">
        <v>130</v>
      </c>
      <c r="B56" s="46">
        <v>82.0</v>
      </c>
      <c r="C56" s="31">
        <f t="shared" si="1"/>
        <v>0</v>
      </c>
      <c r="D56" s="48">
        <v>0.0</v>
      </c>
      <c r="E56" s="38">
        <f t="shared" si="2"/>
        <v>0</v>
      </c>
      <c r="F56" s="37">
        <f t="shared" si="3"/>
        <v>0</v>
      </c>
      <c r="G56" s="51" t="s">
        <v>21</v>
      </c>
      <c r="H56" s="51" t="s">
        <v>21</v>
      </c>
      <c r="I56" s="53" t="str">
        <f>HYPERLINK("https://health.wyo.gov/publichealth/infectious-disease-epidemiology-unit/disease/novel-coronavirus/","Source")</f>
        <v>Source</v>
      </c>
      <c r="J56" s="24"/>
      <c r="K56" s="24"/>
      <c r="L56" s="46">
        <v>82.0</v>
      </c>
      <c r="M56" s="48">
        <v>0.0</v>
      </c>
    </row>
    <row r="57" ht="27.75" customHeight="1">
      <c r="A57" s="45" t="s">
        <v>132</v>
      </c>
      <c r="B57" s="46">
        <v>68.0</v>
      </c>
      <c r="C57" s="31">
        <f t="shared" si="1"/>
        <v>0</v>
      </c>
      <c r="D57" s="48">
        <v>1.0</v>
      </c>
      <c r="E57" s="38">
        <f t="shared" si="2"/>
        <v>0</v>
      </c>
      <c r="F57" s="50">
        <f t="shared" si="3"/>
        <v>0.01470588235</v>
      </c>
      <c r="G57" s="51" t="s">
        <v>21</v>
      </c>
      <c r="H57" s="51">
        <v>26.0</v>
      </c>
      <c r="I57" s="53" t="str">
        <f>HYPERLINK("https://doh.sd.gov/news/coronavirus.aspx","Source")</f>
        <v>Source</v>
      </c>
      <c r="J57" s="24"/>
      <c r="K57" s="24"/>
      <c r="L57" s="46">
        <v>68.0</v>
      </c>
      <c r="M57" s="48">
        <v>1.0</v>
      </c>
    </row>
    <row r="58" ht="27.75" customHeight="1">
      <c r="A58" s="45" t="s">
        <v>134</v>
      </c>
      <c r="B58" s="46">
        <v>55.0</v>
      </c>
      <c r="C58" s="31">
        <f t="shared" si="1"/>
        <v>0</v>
      </c>
      <c r="D58" s="48">
        <v>1.0</v>
      </c>
      <c r="E58" s="38">
        <f t="shared" si="2"/>
        <v>0</v>
      </c>
      <c r="F58" s="37">
        <f t="shared" si="3"/>
        <v>0.01818181818</v>
      </c>
      <c r="G58" s="51" t="s">
        <v>21</v>
      </c>
      <c r="H58" s="51">
        <v>7.0</v>
      </c>
      <c r="I58" s="53" t="str">
        <f>HYPERLINK("https://ghs.guam.gov/jic-release-no-35-four-test-positive-covid-19-seven-patients-recover-covid-19-governor-leon-guerrero","Source")</f>
        <v>Source</v>
      </c>
      <c r="J58" s="24"/>
      <c r="K58" s="24"/>
      <c r="L58" s="46">
        <v>55.0</v>
      </c>
      <c r="M58" s="48">
        <v>1.0</v>
      </c>
    </row>
    <row r="59" ht="33.0" customHeight="1">
      <c r="A59" s="45" t="s">
        <v>135</v>
      </c>
      <c r="B59" s="46">
        <v>46.0</v>
      </c>
      <c r="C59" s="31">
        <f t="shared" si="1"/>
        <v>0</v>
      </c>
      <c r="D59" s="48">
        <v>0.0</v>
      </c>
      <c r="E59" s="38">
        <f t="shared" si="2"/>
        <v>0</v>
      </c>
      <c r="F59" s="50">
        <f t="shared" si="3"/>
        <v>0</v>
      </c>
      <c r="G59" s="51" t="s">
        <v>21</v>
      </c>
      <c r="H59" s="51">
        <v>2.0</v>
      </c>
      <c r="I59" s="53" t="str">
        <f>HYPERLINK("https://www.cdc.gov/coronavirus/2019-ncov/cases-in-us.html","Source")</f>
        <v>Source</v>
      </c>
      <c r="J59" s="24"/>
      <c r="K59" s="24"/>
      <c r="L59" s="46">
        <v>46.0</v>
      </c>
      <c r="M59" s="48">
        <v>0.0</v>
      </c>
    </row>
    <row r="60" ht="27.75" customHeight="1">
      <c r="A60" s="45" t="s">
        <v>137</v>
      </c>
      <c r="B60" s="46">
        <v>23.0</v>
      </c>
      <c r="C60" s="31">
        <f t="shared" si="1"/>
        <v>1</v>
      </c>
      <c r="D60" s="48">
        <v>0.0</v>
      </c>
      <c r="E60" s="38">
        <f t="shared" si="2"/>
        <v>0</v>
      </c>
      <c r="F60" s="50">
        <f t="shared" si="3"/>
        <v>0</v>
      </c>
      <c r="G60" s="51" t="s">
        <v>21</v>
      </c>
      <c r="H60" s="51" t="s">
        <v>21</v>
      </c>
      <c r="I60" s="53" t="str">
        <f>HYPERLINK("https://doh.vi.gov/news/health-department-announces-eleven-additional-confirmed-covid-19-cases","Source")</f>
        <v>Source</v>
      </c>
      <c r="J60" s="24"/>
      <c r="K60" s="24"/>
      <c r="L60" s="46">
        <v>22.0</v>
      </c>
      <c r="M60" s="48">
        <v>0.0</v>
      </c>
    </row>
    <row r="61" ht="27.75" customHeight="1">
      <c r="A61" s="45" t="s">
        <v>139</v>
      </c>
      <c r="B61" s="46">
        <v>21.0</v>
      </c>
      <c r="C61" s="31">
        <f t="shared" si="1"/>
        <v>0</v>
      </c>
      <c r="D61" s="48">
        <v>0.0</v>
      </c>
      <c r="E61" s="38">
        <f t="shared" si="2"/>
        <v>0</v>
      </c>
      <c r="F61" s="37">
        <f t="shared" si="3"/>
        <v>0</v>
      </c>
      <c r="G61" s="51" t="s">
        <v>21</v>
      </c>
      <c r="H61" s="51" t="s">
        <v>21</v>
      </c>
      <c r="I61" s="53" t="str">
        <f>HYPERLINK("https://www.youtube.com/watch?v=pAsq7-_3XTI","Source")</f>
        <v>Source</v>
      </c>
      <c r="J61" s="24"/>
      <c r="K61" s="24"/>
      <c r="L61" s="46">
        <v>21.0</v>
      </c>
      <c r="M61" s="48">
        <v>0.0</v>
      </c>
    </row>
    <row r="62" ht="27.75" customHeight="1">
      <c r="A62" s="45" t="s">
        <v>141</v>
      </c>
      <c r="B62" s="46">
        <v>3.0</v>
      </c>
      <c r="C62" s="31">
        <f t="shared" si="1"/>
        <v>0</v>
      </c>
      <c r="D62" s="48">
        <v>0.0</v>
      </c>
      <c r="E62" s="38">
        <f t="shared" si="2"/>
        <v>0</v>
      </c>
      <c r="F62" s="37">
        <f t="shared" si="3"/>
        <v>0</v>
      </c>
      <c r="G62" s="51" t="s">
        <v>21</v>
      </c>
      <c r="H62" s="51" t="s">
        <v>21</v>
      </c>
      <c r="I62" s="91" t="s">
        <v>21</v>
      </c>
      <c r="J62" s="24"/>
      <c r="K62" s="24"/>
      <c r="L62" s="46">
        <v>3.0</v>
      </c>
      <c r="M62" s="48">
        <v>0.0</v>
      </c>
    </row>
    <row r="63" ht="27.75" customHeight="1">
      <c r="A63" s="45" t="s">
        <v>147</v>
      </c>
      <c r="B63" s="46">
        <v>2.0</v>
      </c>
      <c r="C63" s="31">
        <f t="shared" si="1"/>
        <v>0</v>
      </c>
      <c r="D63" s="48">
        <v>0.0</v>
      </c>
      <c r="E63" s="38">
        <f t="shared" si="2"/>
        <v>0</v>
      </c>
      <c r="F63" s="37">
        <f t="shared" si="3"/>
        <v>0</v>
      </c>
      <c r="G63" s="51" t="s">
        <v>21</v>
      </c>
      <c r="H63" s="51" t="s">
        <v>21</v>
      </c>
      <c r="I63" s="53" t="str">
        <f>HYPERLINK("https://guampdn.com/story/news/local/2020/03/28/saipan-confirms-two-covid-19-positive-cases/2932326001/","Source")</f>
        <v>Source</v>
      </c>
      <c r="J63" s="24"/>
      <c r="K63" s="24"/>
      <c r="L63" s="46">
        <v>2.0</v>
      </c>
      <c r="M63" s="48">
        <v>0.0</v>
      </c>
    </row>
    <row r="64" ht="27.75" customHeight="1">
      <c r="A64" s="45" t="s">
        <v>149</v>
      </c>
      <c r="B64" s="46">
        <v>0.0</v>
      </c>
      <c r="C64" s="31">
        <f t="shared" si="1"/>
        <v>0</v>
      </c>
      <c r="D64" s="48">
        <v>0.0</v>
      </c>
      <c r="E64" s="38">
        <f t="shared" si="2"/>
        <v>0</v>
      </c>
      <c r="F64" s="87" t="s">
        <v>46</v>
      </c>
      <c r="G64" s="51" t="s">
        <v>21</v>
      </c>
      <c r="H64" s="51" t="s">
        <v>21</v>
      </c>
      <c r="I64" s="97" t="s">
        <v>21</v>
      </c>
      <c r="J64" s="24"/>
      <c r="K64" s="24"/>
      <c r="L64" s="46">
        <v>0.0</v>
      </c>
      <c r="M64" s="48">
        <v>0.0</v>
      </c>
    </row>
    <row r="65" ht="15.75" customHeight="1">
      <c r="A65" s="99" t="s">
        <v>152</v>
      </c>
      <c r="B65" s="101"/>
      <c r="C65" s="101"/>
      <c r="D65" s="103"/>
      <c r="E65" s="103"/>
      <c r="F65" s="105"/>
      <c r="G65" s="105"/>
      <c r="H65" s="106"/>
      <c r="I65" s="107"/>
      <c r="J65" s="61"/>
      <c r="K65" s="61"/>
      <c r="L65" s="101"/>
      <c r="M65" s="103"/>
    </row>
    <row r="66" ht="30.0" customHeight="1">
      <c r="A66" s="109" t="s">
        <v>155</v>
      </c>
      <c r="B66" s="111">
        <f>SUM(B6:B65, L65)</f>
        <v>123938</v>
      </c>
      <c r="C66" s="112">
        <f>SUM(C6:C63)</f>
        <v>50</v>
      </c>
      <c r="D66" s="111">
        <f>SUM(D6:D65)</f>
        <v>2223</v>
      </c>
      <c r="E66" s="113">
        <f>SUM(E6:E63)</f>
        <v>0</v>
      </c>
      <c r="F66" s="115">
        <f>DIVIDE(B3,A3)</f>
        <v>0.01793638755</v>
      </c>
      <c r="G66" s="116">
        <f t="shared" ref="G66:H66" si="4">SUM(G6:G63)</f>
        <v>2234</v>
      </c>
      <c r="H66" s="117">
        <f t="shared" si="4"/>
        <v>2463</v>
      </c>
      <c r="I66" s="118"/>
      <c r="J66" s="24"/>
      <c r="K66" s="24"/>
      <c r="L66" s="111">
        <f>SUM(L6:L65, V65)</f>
        <v>123888</v>
      </c>
      <c r="M66" s="111">
        <f>SUM(M6:M65)</f>
        <v>2223</v>
      </c>
    </row>
    <row r="67">
      <c r="A67" s="119"/>
      <c r="B67" s="120" t="s">
        <v>9</v>
      </c>
      <c r="C67" s="120" t="s">
        <v>10</v>
      </c>
      <c r="D67" s="120" t="s">
        <v>11</v>
      </c>
      <c r="E67" s="121" t="s">
        <v>12</v>
      </c>
      <c r="F67" s="121" t="s">
        <v>166</v>
      </c>
      <c r="G67" s="121" t="s">
        <v>14</v>
      </c>
      <c r="H67" s="121" t="s">
        <v>15</v>
      </c>
      <c r="I67" s="120" t="s">
        <v>16</v>
      </c>
      <c r="J67" s="8"/>
      <c r="K67" s="8"/>
      <c r="L67" s="120" t="s">
        <v>9</v>
      </c>
      <c r="M67" s="120" t="s">
        <v>11</v>
      </c>
    </row>
    <row r="68">
      <c r="A68" s="76"/>
      <c r="B68" s="77"/>
      <c r="C68" s="77"/>
      <c r="D68" s="77"/>
      <c r="E68" s="77"/>
      <c r="F68" s="77"/>
      <c r="G68" s="77"/>
      <c r="H68" s="77"/>
      <c r="I68" s="79"/>
      <c r="J68" s="8"/>
      <c r="K68" s="8"/>
      <c r="L68" s="77"/>
      <c r="M68" s="77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5"/>
      <c r="K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3" t="s">
        <v>2</v>
      </c>
      <c r="B2" s="3" t="s">
        <v>3</v>
      </c>
      <c r="C2" s="4" t="s">
        <v>4</v>
      </c>
      <c r="D2" s="3"/>
      <c r="E2" s="9" t="s">
        <v>5</v>
      </c>
      <c r="I2" s="7"/>
      <c r="J2" s="8"/>
      <c r="K2" s="8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1">
        <f>SUM(B17, B18)</f>
        <v>3935</v>
      </c>
      <c r="B3" s="11">
        <f>SUM(D17, D18)</f>
        <v>16</v>
      </c>
      <c r="C3" s="13">
        <f>SUM(H17, H18)</f>
        <v>244</v>
      </c>
      <c r="D3" s="11"/>
      <c r="E3" s="14">
        <f>MINUS(A3,B3 + C3)</f>
        <v>3675</v>
      </c>
      <c r="F3" s="14"/>
      <c r="G3" s="14"/>
      <c r="H3" s="4"/>
      <c r="I3" s="7"/>
      <c r="J3" s="8"/>
      <c r="K3" s="8"/>
      <c r="L3" s="1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5"/>
      <c r="B4" s="7"/>
      <c r="C4" s="7"/>
      <c r="D4" s="7"/>
      <c r="E4" s="7"/>
      <c r="F4" s="6"/>
      <c r="G4" s="6"/>
      <c r="H4" s="6"/>
      <c r="I4" s="7"/>
      <c r="J4" s="8"/>
      <c r="K4" s="8"/>
      <c r="L4" s="7"/>
      <c r="M4" s="7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17" t="s">
        <v>7</v>
      </c>
      <c r="B5" s="19" t="s">
        <v>9</v>
      </c>
      <c r="C5" s="20" t="s">
        <v>10</v>
      </c>
      <c r="D5" s="19" t="s">
        <v>11</v>
      </c>
      <c r="E5" s="22" t="s">
        <v>12</v>
      </c>
      <c r="F5" s="22" t="s">
        <v>13</v>
      </c>
      <c r="G5" s="23" t="s">
        <v>14</v>
      </c>
      <c r="H5" s="23" t="s">
        <v>15</v>
      </c>
      <c r="I5" s="19" t="s">
        <v>16</v>
      </c>
      <c r="J5" s="24"/>
      <c r="K5" s="24"/>
      <c r="L5" s="19" t="s">
        <v>9</v>
      </c>
      <c r="M5" s="19" t="s">
        <v>11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ht="30.0" customHeight="1">
      <c r="A6" s="33" t="s">
        <v>18</v>
      </c>
      <c r="B6" s="36">
        <v>1791.0</v>
      </c>
      <c r="C6" s="31">
        <f t="shared" ref="C6:C15" si="1">MINUS(B6,L6)</f>
        <v>174</v>
      </c>
      <c r="D6" s="36">
        <v>8.0</v>
      </c>
      <c r="E6" s="40">
        <f t="shared" ref="E6:E13" si="2">MINUS(D6,M6)</f>
        <v>0</v>
      </c>
      <c r="F6" s="37">
        <f t="shared" ref="F6:F13" si="3">DIVIDE(D6, B6)</f>
        <v>0.004466778336</v>
      </c>
      <c r="G6" s="47">
        <v>19.0</v>
      </c>
      <c r="H6" s="52">
        <v>4.0</v>
      </c>
      <c r="I6" s="54" t="str">
        <f>HYPERLINK("https://www.health.nsw.gov.au/Infectious/diseases/Pages/covid-19-latest.aspx","Source")</f>
        <v>Source</v>
      </c>
      <c r="J6" s="55"/>
      <c r="K6" s="24"/>
      <c r="L6" s="36">
        <v>1617.0</v>
      </c>
      <c r="M6" s="36">
        <v>8.0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ht="30.0" customHeight="1">
      <c r="A7" s="33" t="s">
        <v>23</v>
      </c>
      <c r="B7" s="36">
        <v>769.0</v>
      </c>
      <c r="C7" s="31">
        <f t="shared" si="1"/>
        <v>84</v>
      </c>
      <c r="D7" s="57">
        <v>4.0</v>
      </c>
      <c r="E7" s="38">
        <f t="shared" si="2"/>
        <v>1</v>
      </c>
      <c r="F7" s="58">
        <f t="shared" si="3"/>
        <v>0.005201560468</v>
      </c>
      <c r="G7" s="52">
        <v>4.0</v>
      </c>
      <c r="H7" s="52">
        <v>191.0</v>
      </c>
      <c r="I7" s="54" t="str">
        <f>HYPERLINK("https://twitter.com/JennyMikakos/status/1244089594695405569","Source")</f>
        <v>Source</v>
      </c>
      <c r="J7" s="55"/>
      <c r="K7" s="24"/>
      <c r="L7" s="36">
        <v>685.0</v>
      </c>
      <c r="M7" s="57">
        <v>3.0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ht="30.0" customHeight="1">
      <c r="A8" s="27" t="s">
        <v>26</v>
      </c>
      <c r="B8" s="29">
        <v>656.0</v>
      </c>
      <c r="C8" s="31">
        <f t="shared" si="1"/>
        <v>31</v>
      </c>
      <c r="D8" s="34">
        <v>2.0</v>
      </c>
      <c r="E8" s="38">
        <f t="shared" si="2"/>
        <v>1</v>
      </c>
      <c r="F8" s="37">
        <f t="shared" si="3"/>
        <v>0.003048780488</v>
      </c>
      <c r="G8" s="52">
        <v>3.0</v>
      </c>
      <c r="H8" s="60">
        <v>8.0</v>
      </c>
      <c r="I8" s="43" t="str">
        <f>HYPERLINK("https://twitter.com/JoshBavas/status/1244057470760128512","Source")</f>
        <v>Source</v>
      </c>
      <c r="J8" s="55"/>
      <c r="K8" s="24"/>
      <c r="L8" s="29">
        <v>625.0</v>
      </c>
      <c r="M8" s="34">
        <v>1.0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ht="30.0" customHeight="1">
      <c r="A9" s="33" t="s">
        <v>30</v>
      </c>
      <c r="B9" s="36">
        <v>287.0</v>
      </c>
      <c r="C9" s="31">
        <f t="shared" si="1"/>
        <v>0</v>
      </c>
      <c r="D9" s="57">
        <v>0.0</v>
      </c>
      <c r="E9" s="38">
        <f t="shared" si="2"/>
        <v>0</v>
      </c>
      <c r="F9" s="58">
        <f t="shared" si="3"/>
        <v>0</v>
      </c>
      <c r="G9" s="52">
        <v>6.0</v>
      </c>
      <c r="H9" s="52">
        <v>6.0</v>
      </c>
      <c r="I9" s="54" t="str">
        <f>HYPERLINK("https://twitter.com/SAHealth/status/1243797596717477888","Source")</f>
        <v>Source</v>
      </c>
      <c r="J9" s="61"/>
      <c r="K9" s="24"/>
      <c r="L9" s="36">
        <v>287.0</v>
      </c>
      <c r="M9" s="57">
        <v>0.0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ht="30.0" customHeight="1">
      <c r="A10" s="33" t="s">
        <v>33</v>
      </c>
      <c r="B10" s="36">
        <v>278.0</v>
      </c>
      <c r="C10" s="31">
        <f t="shared" si="1"/>
        <v>0</v>
      </c>
      <c r="D10" s="57">
        <v>2.0</v>
      </c>
      <c r="E10" s="38">
        <f t="shared" si="2"/>
        <v>0</v>
      </c>
      <c r="F10" s="37">
        <f t="shared" si="3"/>
        <v>0.007194244604</v>
      </c>
      <c r="G10" s="52" t="s">
        <v>21</v>
      </c>
      <c r="H10" s="52">
        <v>28.0</v>
      </c>
      <c r="I10" s="54" t="str">
        <f>HYPERLINK("https://ww2.health.wa.gov.au/Media-releases/2020/COVID19-update-28-March-2020","Source")</f>
        <v>Source</v>
      </c>
      <c r="J10" s="61"/>
      <c r="K10" s="24"/>
      <c r="L10" s="36">
        <v>278.0</v>
      </c>
      <c r="M10" s="57">
        <v>2.0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ht="30.0" customHeight="1">
      <c r="A11" s="33" t="s">
        <v>36</v>
      </c>
      <c r="B11" s="36">
        <v>77.0</v>
      </c>
      <c r="C11" s="31">
        <f t="shared" si="1"/>
        <v>6</v>
      </c>
      <c r="D11" s="57">
        <v>0.0</v>
      </c>
      <c r="E11" s="38">
        <f t="shared" si="2"/>
        <v>0</v>
      </c>
      <c r="F11" s="58">
        <f t="shared" si="3"/>
        <v>0</v>
      </c>
      <c r="G11" s="52" t="s">
        <v>21</v>
      </c>
      <c r="H11" s="52">
        <v>2.0</v>
      </c>
      <c r="I11" s="54" t="str">
        <f>HYPERLINK("https://www.health.act.gov.au/about-our-health-system/novel-coronavirus-covid-19","Source")</f>
        <v>Source</v>
      </c>
      <c r="J11" s="55"/>
      <c r="K11" s="24"/>
      <c r="L11" s="36">
        <v>71.0</v>
      </c>
      <c r="M11" s="57">
        <v>0.0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ht="30.0" customHeight="1">
      <c r="A12" s="33" t="s">
        <v>38</v>
      </c>
      <c r="B12" s="36">
        <v>62.0</v>
      </c>
      <c r="C12" s="31">
        <f t="shared" si="1"/>
        <v>0</v>
      </c>
      <c r="D12" s="57">
        <v>0.0</v>
      </c>
      <c r="E12" s="38">
        <f t="shared" si="2"/>
        <v>0</v>
      </c>
      <c r="F12" s="37">
        <f t="shared" si="3"/>
        <v>0</v>
      </c>
      <c r="G12" s="52" t="s">
        <v>21</v>
      </c>
      <c r="H12" s="52">
        <v>5.0</v>
      </c>
      <c r="I12" s="54" t="str">
        <f>HYPERLINK("https://twitter.com/MonteBovill/status/1243827033748062211","Source")</f>
        <v>Source</v>
      </c>
      <c r="J12" s="61"/>
      <c r="K12" s="24"/>
      <c r="L12" s="36">
        <v>62.0</v>
      </c>
      <c r="M12" s="57">
        <v>0.0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ht="30.0" customHeight="1">
      <c r="A13" s="33" t="s">
        <v>41</v>
      </c>
      <c r="B13" s="36">
        <v>15.0</v>
      </c>
      <c r="C13" s="31">
        <f t="shared" si="1"/>
        <v>0</v>
      </c>
      <c r="D13" s="57">
        <v>0.0</v>
      </c>
      <c r="E13" s="38">
        <f t="shared" si="2"/>
        <v>0</v>
      </c>
      <c r="F13" s="58">
        <f t="shared" si="3"/>
        <v>0</v>
      </c>
      <c r="G13" s="52" t="s">
        <v>21</v>
      </c>
      <c r="H13" s="52" t="s">
        <v>21</v>
      </c>
      <c r="I13" s="54" t="str">
        <f>HYPERLINK("http://mediareleases.nt.gov.au/mediaRelease/32138","Source")</f>
        <v>Source</v>
      </c>
      <c r="J13" s="61"/>
      <c r="K13" s="24"/>
      <c r="L13" s="36">
        <v>15.0</v>
      </c>
      <c r="M13" s="57">
        <v>0.0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ht="30.0" customHeight="1">
      <c r="A14" s="33" t="s">
        <v>45</v>
      </c>
      <c r="B14" s="36">
        <v>0.0</v>
      </c>
      <c r="C14" s="31">
        <f t="shared" si="1"/>
        <v>0</v>
      </c>
      <c r="D14" s="57">
        <v>0.0</v>
      </c>
      <c r="E14" s="40">
        <f t="shared" ref="E14:E15" si="4">MINUS(D14,L14)</f>
        <v>0</v>
      </c>
      <c r="F14" s="63" t="s">
        <v>46</v>
      </c>
      <c r="G14" s="52">
        <v>0.0</v>
      </c>
      <c r="H14" s="52">
        <v>0.0</v>
      </c>
      <c r="I14" s="64"/>
      <c r="J14" s="24"/>
      <c r="K14" s="24"/>
      <c r="L14" s="36">
        <v>0.0</v>
      </c>
      <c r="M14" s="57">
        <v>0.0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ht="30.0" customHeight="1">
      <c r="A15" s="33" t="s">
        <v>49</v>
      </c>
      <c r="B15" s="36">
        <v>0.0</v>
      </c>
      <c r="C15" s="31">
        <f t="shared" si="1"/>
        <v>0</v>
      </c>
      <c r="D15" s="57">
        <v>0.0</v>
      </c>
      <c r="E15" s="40">
        <f t="shared" si="4"/>
        <v>0</v>
      </c>
      <c r="F15" s="66" t="s">
        <v>46</v>
      </c>
      <c r="G15" s="52">
        <v>0.0</v>
      </c>
      <c r="H15" s="52">
        <v>0.0</v>
      </c>
      <c r="I15" s="64"/>
      <c r="J15" s="24"/>
      <c r="K15" s="24"/>
      <c r="L15" s="36">
        <v>0.0</v>
      </c>
      <c r="M15" s="57">
        <v>0.0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ht="12.75" customHeight="1">
      <c r="A16" s="67"/>
      <c r="B16" s="68"/>
      <c r="C16" s="67"/>
      <c r="D16" s="69"/>
      <c r="E16" s="67"/>
      <c r="F16" s="70"/>
      <c r="G16" s="70"/>
      <c r="H16" s="70"/>
      <c r="I16" s="71"/>
      <c r="J16" s="24"/>
      <c r="K16" s="24"/>
      <c r="L16" s="68"/>
      <c r="M16" s="69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ht="30.0" customHeight="1">
      <c r="A17" s="72" t="s">
        <v>55</v>
      </c>
      <c r="B17" s="74">
        <f>SUM(B6:B15)</f>
        <v>3935</v>
      </c>
      <c r="C17" s="31">
        <f>MINUS(B17,L17)</f>
        <v>295</v>
      </c>
      <c r="D17" s="74">
        <f>SUM(D6:D15)</f>
        <v>16</v>
      </c>
      <c r="E17" s="40">
        <f>MINUS(D17,N17)</f>
        <v>16</v>
      </c>
      <c r="F17" s="37">
        <f>DIVIDE(D17, B17)</f>
        <v>0.004066073698</v>
      </c>
      <c r="G17" s="74">
        <f t="shared" ref="G17:H17" si="5">SUM(G6:G15)</f>
        <v>32</v>
      </c>
      <c r="H17" s="74">
        <f t="shared" si="5"/>
        <v>244</v>
      </c>
      <c r="I17" s="75"/>
      <c r="J17" s="24"/>
      <c r="K17" s="24"/>
      <c r="L17" s="74">
        <f t="shared" ref="L17:M17" si="6">SUM(L6:L15)</f>
        <v>3640</v>
      </c>
      <c r="M17" s="74">
        <f t="shared" si="6"/>
        <v>14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>
      <c r="A18" s="76"/>
      <c r="B18" s="77"/>
      <c r="C18" s="77"/>
      <c r="D18" s="77"/>
      <c r="E18" s="77"/>
      <c r="F18" s="78"/>
      <c r="G18" s="78"/>
      <c r="H18" s="77"/>
      <c r="I18" s="79"/>
      <c r="J18" s="8"/>
      <c r="K18" s="8"/>
      <c r="L18" s="77"/>
      <c r="M18" s="7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80"/>
      <c r="B19" s="81"/>
      <c r="C19" s="81"/>
      <c r="D19" s="82"/>
      <c r="E19" s="82"/>
      <c r="F19" s="82"/>
      <c r="G19" s="82"/>
      <c r="H19" s="82"/>
      <c r="I19" s="5"/>
      <c r="J19" s="8"/>
      <c r="K19" s="8"/>
      <c r="L19" s="81"/>
      <c r="M19" s="8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83"/>
      <c r="B20" s="82"/>
      <c r="C20" s="82"/>
      <c r="D20" s="82"/>
      <c r="E20" s="82"/>
      <c r="F20" s="82"/>
      <c r="G20" s="82"/>
      <c r="H20" s="82"/>
      <c r="I20" s="5"/>
      <c r="J20" s="5"/>
      <c r="K20" s="5"/>
      <c r="L20" s="82"/>
      <c r="M20" s="82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83"/>
      <c r="B21" s="82"/>
      <c r="C21" s="82"/>
      <c r="D21" s="82"/>
      <c r="E21" s="82"/>
      <c r="F21" s="82"/>
      <c r="G21" s="82"/>
      <c r="H21" s="82"/>
      <c r="I21" s="5"/>
      <c r="J21" s="5"/>
      <c r="K21" s="5"/>
      <c r="L21" s="82"/>
      <c r="M21" s="8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9.43"/>
    <col customWidth="1" min="13" max="13" width="8.43"/>
  </cols>
  <sheetData>
    <row r="1" ht="12.75" customHeight="1">
      <c r="A1" s="1"/>
      <c r="J1" s="5"/>
      <c r="K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2</v>
      </c>
      <c r="B2" s="3" t="s">
        <v>3</v>
      </c>
      <c r="C2" s="4" t="s">
        <v>4</v>
      </c>
      <c r="D2" s="3"/>
      <c r="E2" s="9" t="s">
        <v>5</v>
      </c>
      <c r="I2" s="7"/>
      <c r="J2" s="5"/>
      <c r="K2" s="5"/>
      <c r="L2" s="4"/>
      <c r="M2" s="9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1">
        <f>SUM(B20, B21)</f>
        <v>5625</v>
      </c>
      <c r="B3" s="11">
        <f>SUM(D20, D21)</f>
        <v>61</v>
      </c>
      <c r="C3" s="13">
        <f>SUM(H20, H21)</f>
        <v>499</v>
      </c>
      <c r="D3" s="11"/>
      <c r="E3" s="14">
        <f>MINUS(A3,B3 + C3)</f>
        <v>5065</v>
      </c>
      <c r="F3" s="14"/>
      <c r="G3" s="14"/>
      <c r="H3" s="4"/>
      <c r="I3" s="7"/>
      <c r="J3" s="8"/>
      <c r="K3" s="5"/>
      <c r="L3" s="13"/>
      <c r="M3" s="1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5"/>
      <c r="B4" s="7"/>
      <c r="C4" s="7"/>
      <c r="D4" s="7"/>
      <c r="E4" s="7"/>
      <c r="F4" s="6"/>
      <c r="G4" s="6"/>
      <c r="H4" s="6"/>
      <c r="I4" s="7"/>
      <c r="J4" s="8"/>
      <c r="K4" s="5"/>
      <c r="L4" s="7"/>
      <c r="M4" s="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0" customHeight="1">
      <c r="A5" s="17" t="s">
        <v>76</v>
      </c>
      <c r="B5" s="19" t="s">
        <v>9</v>
      </c>
      <c r="C5" s="20" t="s">
        <v>10</v>
      </c>
      <c r="D5" s="19" t="s">
        <v>11</v>
      </c>
      <c r="E5" s="22" t="s">
        <v>12</v>
      </c>
      <c r="F5" s="22" t="s">
        <v>13</v>
      </c>
      <c r="G5" s="23" t="s">
        <v>14</v>
      </c>
      <c r="H5" s="23" t="s">
        <v>15</v>
      </c>
      <c r="I5" s="19" t="s">
        <v>16</v>
      </c>
      <c r="J5" s="24"/>
      <c r="K5" s="24"/>
      <c r="L5" s="20" t="s">
        <v>10</v>
      </c>
      <c r="M5" s="22" t="s">
        <v>12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0.0" customHeight="1">
      <c r="A6" s="33" t="s">
        <v>79</v>
      </c>
      <c r="B6" s="36">
        <v>2498.0</v>
      </c>
      <c r="C6" s="31">
        <f t="shared" ref="C6:C20" si="1">MINUS(B6,L6)</f>
        <v>2498</v>
      </c>
      <c r="D6" s="57">
        <v>22.0</v>
      </c>
      <c r="E6" s="40">
        <f t="shared" ref="E6:E20" si="2">MINUS(D6,M6)</f>
        <v>22</v>
      </c>
      <c r="F6" s="37">
        <f t="shared" ref="F6:F18" si="3">DIVIDE(D6, B6)</f>
        <v>0.008807045637</v>
      </c>
      <c r="G6" s="52" t="s">
        <v>21</v>
      </c>
      <c r="H6" s="52">
        <v>29.0</v>
      </c>
      <c r="I6" s="54" t="str">
        <f>HYPERLINK("https://msss.gouv.qc.ca/professionnels/maladies-infectieuses/coronavirus-2019-ncov/#situation-au-quebec","Source")</f>
        <v>Source</v>
      </c>
      <c r="J6" s="24"/>
      <c r="K6" s="24"/>
      <c r="L6" s="31">
        <f t="shared" ref="L6:L20" si="4">MINUS(K6,U6)</f>
        <v>0</v>
      </c>
      <c r="M6" s="40">
        <f t="shared" ref="M6:M20" si="5">MINUS(L6,U6)</f>
        <v>0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0.0" customHeight="1">
      <c r="A7" s="27" t="s">
        <v>86</v>
      </c>
      <c r="B7" s="29">
        <v>1144.0</v>
      </c>
      <c r="C7" s="31">
        <f t="shared" si="1"/>
        <v>1144</v>
      </c>
      <c r="D7" s="34">
        <v>19.0</v>
      </c>
      <c r="E7" s="40">
        <f t="shared" si="2"/>
        <v>19</v>
      </c>
      <c r="F7" s="50">
        <f t="shared" si="3"/>
        <v>0.01660839161</v>
      </c>
      <c r="G7" s="52" t="s">
        <v>21</v>
      </c>
      <c r="H7" s="60">
        <v>8.0</v>
      </c>
      <c r="I7" s="43" t="str">
        <f>HYPERLINK("https://www.ontario.ca/page/2019-novel-coronavirus","Source")</f>
        <v>Source</v>
      </c>
      <c r="J7" s="24"/>
      <c r="K7" s="24"/>
      <c r="L7" s="31">
        <f t="shared" si="4"/>
        <v>0</v>
      </c>
      <c r="M7" s="40">
        <f t="shared" si="5"/>
        <v>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30.0" customHeight="1">
      <c r="A8" s="33" t="s">
        <v>90</v>
      </c>
      <c r="B8" s="36">
        <v>884.0</v>
      </c>
      <c r="C8" s="31">
        <f t="shared" si="1"/>
        <v>884</v>
      </c>
      <c r="D8" s="36">
        <v>17.0</v>
      </c>
      <c r="E8" s="40">
        <f t="shared" si="2"/>
        <v>17</v>
      </c>
      <c r="F8" s="37">
        <f t="shared" si="3"/>
        <v>0.01923076923</v>
      </c>
      <c r="G8" s="47">
        <v>52.0</v>
      </c>
      <c r="H8" s="52">
        <v>396.0</v>
      </c>
      <c r="I8" s="54" t="str">
        <f>HYPERLINK("https://globalnews.ca/news/6745895/coronavirus-bc-update-march-28/?utm_medium=Twitter&amp;utm_source=%40globalnews","Source")</f>
        <v>Source</v>
      </c>
      <c r="J8" s="24"/>
      <c r="K8" s="24"/>
      <c r="L8" s="31">
        <f t="shared" si="4"/>
        <v>0</v>
      </c>
      <c r="M8" s="40">
        <f t="shared" si="5"/>
        <v>0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30.0" customHeight="1">
      <c r="A9" s="33" t="s">
        <v>93</v>
      </c>
      <c r="B9" s="36">
        <v>621.0</v>
      </c>
      <c r="C9" s="31">
        <f t="shared" si="1"/>
        <v>621</v>
      </c>
      <c r="D9" s="57">
        <v>2.0</v>
      </c>
      <c r="E9" s="40">
        <f t="shared" si="2"/>
        <v>2</v>
      </c>
      <c r="F9" s="50">
        <f t="shared" si="3"/>
        <v>0.003220611916</v>
      </c>
      <c r="G9" s="52" t="s">
        <v>21</v>
      </c>
      <c r="H9" s="52">
        <v>53.0</v>
      </c>
      <c r="I9" s="54" t="str">
        <f>HYPERLINK("https://www.alberta.ca/coronavirus-info-for-albertans.aspx","Source")</f>
        <v>Source</v>
      </c>
      <c r="J9" s="24"/>
      <c r="K9" s="24"/>
      <c r="L9" s="31">
        <f t="shared" si="4"/>
        <v>0</v>
      </c>
      <c r="M9" s="40">
        <f t="shared" si="5"/>
        <v>0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30.0" customHeight="1">
      <c r="A10" s="33" t="s">
        <v>96</v>
      </c>
      <c r="B10" s="36">
        <v>104.0</v>
      </c>
      <c r="C10" s="31">
        <f t="shared" si="1"/>
        <v>104</v>
      </c>
      <c r="D10" s="57">
        <v>0.0</v>
      </c>
      <c r="E10" s="40">
        <f t="shared" si="2"/>
        <v>0</v>
      </c>
      <c r="F10" s="37">
        <f t="shared" si="3"/>
        <v>0</v>
      </c>
      <c r="G10" s="52" t="s">
        <v>21</v>
      </c>
      <c r="H10" s="52">
        <v>3.0</v>
      </c>
      <c r="I10" s="54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24"/>
      <c r="K10" s="24"/>
      <c r="L10" s="31">
        <f t="shared" si="4"/>
        <v>0</v>
      </c>
      <c r="M10" s="40">
        <f t="shared" si="5"/>
        <v>0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30.0" customHeight="1">
      <c r="A11" s="33" t="s">
        <v>99</v>
      </c>
      <c r="B11" s="36">
        <v>120.0</v>
      </c>
      <c r="C11" s="31">
        <f t="shared" si="1"/>
        <v>120</v>
      </c>
      <c r="D11" s="57">
        <v>0.0</v>
      </c>
      <c r="E11" s="40">
        <f t="shared" si="2"/>
        <v>0</v>
      </c>
      <c r="F11" s="50">
        <f t="shared" si="3"/>
        <v>0</v>
      </c>
      <c r="G11" s="52" t="s">
        <v>21</v>
      </c>
      <c r="H11" s="52">
        <v>4.0</v>
      </c>
      <c r="I11" s="54" t="str">
        <f>HYPERLINK("https://www.gov.nl.ca/covid-19/","Source")</f>
        <v>Source</v>
      </c>
      <c r="J11" s="24"/>
      <c r="K11" s="85"/>
      <c r="L11" s="31">
        <f t="shared" si="4"/>
        <v>0</v>
      </c>
      <c r="M11" s="40">
        <f t="shared" si="5"/>
        <v>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30.0" customHeight="1">
      <c r="A12" s="33" t="s">
        <v>104</v>
      </c>
      <c r="B12" s="36">
        <v>110.0</v>
      </c>
      <c r="C12" s="31">
        <f t="shared" si="1"/>
        <v>110</v>
      </c>
      <c r="D12" s="57">
        <v>0.0</v>
      </c>
      <c r="E12" s="40">
        <f t="shared" si="2"/>
        <v>0</v>
      </c>
      <c r="F12" s="37">
        <f t="shared" si="3"/>
        <v>0</v>
      </c>
      <c r="G12" s="52" t="s">
        <v>21</v>
      </c>
      <c r="H12" s="52">
        <v>3.0</v>
      </c>
      <c r="I12" s="54" t="str">
        <f>HYPERLINK("https://novascotia.ca/coronavirus/","Source")</f>
        <v>Source</v>
      </c>
      <c r="J12" s="24"/>
      <c r="K12" s="24"/>
      <c r="L12" s="31">
        <f t="shared" si="4"/>
        <v>0</v>
      </c>
      <c r="M12" s="40">
        <f t="shared" si="5"/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30.0" customHeight="1">
      <c r="A13" s="33" t="s">
        <v>107</v>
      </c>
      <c r="B13" s="36">
        <v>64.0</v>
      </c>
      <c r="C13" s="31">
        <f t="shared" si="1"/>
        <v>64</v>
      </c>
      <c r="D13" s="57">
        <v>1.0</v>
      </c>
      <c r="E13" s="40">
        <f t="shared" si="2"/>
        <v>1</v>
      </c>
      <c r="F13" s="37">
        <f t="shared" si="3"/>
        <v>0.015625</v>
      </c>
      <c r="G13" s="52" t="s">
        <v>21</v>
      </c>
      <c r="H13" s="52" t="s">
        <v>21</v>
      </c>
      <c r="I13" s="54" t="str">
        <f>HYPERLINK("https://www.gov.mb.ca/covid19/","Source")</f>
        <v>Source</v>
      </c>
      <c r="J13" s="24"/>
      <c r="K13" s="24"/>
      <c r="L13" s="31">
        <f t="shared" si="4"/>
        <v>0</v>
      </c>
      <c r="M13" s="40">
        <f t="shared" si="5"/>
        <v>0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30.0" customHeight="1">
      <c r="A14" s="33" t="s">
        <v>111</v>
      </c>
      <c r="B14" s="36">
        <v>51.0</v>
      </c>
      <c r="C14" s="31">
        <f t="shared" si="1"/>
        <v>51</v>
      </c>
      <c r="D14" s="57">
        <v>0.0</v>
      </c>
      <c r="E14" s="40">
        <f t="shared" si="2"/>
        <v>0</v>
      </c>
      <c r="F14" s="50">
        <f t="shared" si="3"/>
        <v>0</v>
      </c>
      <c r="G14" s="52" t="s">
        <v>21</v>
      </c>
      <c r="H14" s="52">
        <v>2.0</v>
      </c>
      <c r="I14" s="54" t="str">
        <f>HYPERLINK("https://www2.gnb.ca/content/gnb/en/departments/ocmoh/cdc/content/respiratory_diseases/coronavirus.html","Source")</f>
        <v>Source</v>
      </c>
      <c r="J14" s="24"/>
      <c r="K14" s="24"/>
      <c r="L14" s="31">
        <f t="shared" si="4"/>
        <v>0</v>
      </c>
      <c r="M14" s="40">
        <f t="shared" si="5"/>
        <v>0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30.0" customHeight="1">
      <c r="A15" s="33" t="s">
        <v>114</v>
      </c>
      <c r="B15" s="36">
        <v>13.0</v>
      </c>
      <c r="C15" s="31">
        <f t="shared" si="1"/>
        <v>13</v>
      </c>
      <c r="D15" s="57">
        <v>0.0</v>
      </c>
      <c r="E15" s="40">
        <f t="shared" si="2"/>
        <v>0</v>
      </c>
      <c r="F15" s="50">
        <f t="shared" si="3"/>
        <v>0</v>
      </c>
      <c r="G15" s="52" t="s">
        <v>21</v>
      </c>
      <c r="H15" s="52" t="s">
        <v>21</v>
      </c>
      <c r="I15" s="54" t="str">
        <f>HYPERLINK("https://www.canada.ca/en/public-health/services/diseases/2019-novel-coronavirus-infection.html#a1","Source")</f>
        <v>Source</v>
      </c>
      <c r="J15" s="24"/>
      <c r="K15" s="24"/>
      <c r="L15" s="31">
        <f t="shared" si="4"/>
        <v>0</v>
      </c>
      <c r="M15" s="40">
        <f t="shared" si="5"/>
        <v>0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30.0" customHeight="1">
      <c r="A16" s="33" t="s">
        <v>116</v>
      </c>
      <c r="B16" s="36">
        <v>11.0</v>
      </c>
      <c r="C16" s="31">
        <f t="shared" si="1"/>
        <v>11</v>
      </c>
      <c r="D16" s="57">
        <v>0.0</v>
      </c>
      <c r="E16" s="40">
        <f t="shared" si="2"/>
        <v>0</v>
      </c>
      <c r="F16" s="37">
        <f t="shared" si="3"/>
        <v>0</v>
      </c>
      <c r="G16" s="52" t="s">
        <v>21</v>
      </c>
      <c r="H16" s="52">
        <v>1.0</v>
      </c>
      <c r="I16" s="54" t="str">
        <f>HYPERLINK("https://www.princeedwardisland.ca/en/topic/covid-19","Source")</f>
        <v>Source</v>
      </c>
      <c r="J16" s="24"/>
      <c r="K16" s="24"/>
      <c r="L16" s="31">
        <f t="shared" si="4"/>
        <v>0</v>
      </c>
      <c r="M16" s="40">
        <f t="shared" si="5"/>
        <v>0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30.0" customHeight="1">
      <c r="A17" s="33" t="s">
        <v>119</v>
      </c>
      <c r="B17" s="36">
        <v>4.0</v>
      </c>
      <c r="C17" s="31">
        <f t="shared" si="1"/>
        <v>4</v>
      </c>
      <c r="D17" s="57">
        <v>0.0</v>
      </c>
      <c r="E17" s="40">
        <f t="shared" si="2"/>
        <v>0</v>
      </c>
      <c r="F17" s="50">
        <f t="shared" si="3"/>
        <v>0</v>
      </c>
      <c r="G17" s="52" t="s">
        <v>21</v>
      </c>
      <c r="H17" s="52" t="s">
        <v>21</v>
      </c>
      <c r="I17" s="54" t="str">
        <f>HYPERLINK("https://www.cbc.ca/news/canada/north/yukon-covid-19-1.5506363","Source")</f>
        <v>Source</v>
      </c>
      <c r="J17" s="24"/>
      <c r="K17" s="24"/>
      <c r="L17" s="31">
        <f t="shared" si="4"/>
        <v>0</v>
      </c>
      <c r="M17" s="40">
        <f t="shared" si="5"/>
        <v>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30.0" customHeight="1">
      <c r="A18" s="33" t="s">
        <v>123</v>
      </c>
      <c r="B18" s="36">
        <v>1.0</v>
      </c>
      <c r="C18" s="31">
        <f t="shared" si="1"/>
        <v>1</v>
      </c>
      <c r="D18" s="57">
        <v>0.0</v>
      </c>
      <c r="E18" s="40">
        <f t="shared" si="2"/>
        <v>0</v>
      </c>
      <c r="F18" s="37">
        <f t="shared" si="3"/>
        <v>0</v>
      </c>
      <c r="G18" s="52" t="s">
        <v>21</v>
      </c>
      <c r="H18" s="52" t="s">
        <v>21</v>
      </c>
      <c r="I18" s="54" t="str">
        <f>HYPERLINK("https://www.cbc.ca/news/canada/north/nwt-first-case-covid19-1.5505701","Source")</f>
        <v>Source</v>
      </c>
      <c r="J18" s="24"/>
      <c r="K18" s="24"/>
      <c r="L18" s="31">
        <f t="shared" si="4"/>
        <v>0</v>
      </c>
      <c r="M18" s="40">
        <f t="shared" si="5"/>
        <v>0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30.0" customHeight="1">
      <c r="A19" s="33" t="s">
        <v>126</v>
      </c>
      <c r="B19" s="36">
        <v>0.0</v>
      </c>
      <c r="C19" s="31">
        <f t="shared" si="1"/>
        <v>0</v>
      </c>
      <c r="D19" s="57">
        <v>0.0</v>
      </c>
      <c r="E19" s="40">
        <f t="shared" si="2"/>
        <v>0</v>
      </c>
      <c r="F19" s="87" t="s">
        <v>46</v>
      </c>
      <c r="G19" s="52" t="s">
        <v>46</v>
      </c>
      <c r="H19" s="52" t="s">
        <v>46</v>
      </c>
      <c r="I19" s="64"/>
      <c r="J19" s="24"/>
      <c r="K19" s="24"/>
      <c r="L19" s="31">
        <f t="shared" si="4"/>
        <v>0</v>
      </c>
      <c r="M19" s="40">
        <f t="shared" si="5"/>
        <v>0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30.0" customHeight="1">
      <c r="A20" s="72" t="s">
        <v>55</v>
      </c>
      <c r="B20" s="74">
        <f>SUM(B6:B19)</f>
        <v>5625</v>
      </c>
      <c r="C20" s="31">
        <f t="shared" si="1"/>
        <v>5625</v>
      </c>
      <c r="D20" s="74">
        <f>SUM(D6:D19)</f>
        <v>61</v>
      </c>
      <c r="E20" s="40">
        <f t="shared" si="2"/>
        <v>61</v>
      </c>
      <c r="F20" s="37">
        <f>DIVIDE(D20, B20)</f>
        <v>0.01084444444</v>
      </c>
      <c r="G20" s="74">
        <f t="shared" ref="G20:H20" si="6">SUM(G6:G19)</f>
        <v>52</v>
      </c>
      <c r="H20" s="74">
        <f t="shared" si="6"/>
        <v>499</v>
      </c>
      <c r="I20" s="75"/>
      <c r="J20" s="24"/>
      <c r="K20" s="24"/>
      <c r="L20" s="31">
        <f t="shared" si="4"/>
        <v>0</v>
      </c>
      <c r="M20" s="40">
        <f t="shared" si="5"/>
        <v>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83"/>
      <c r="B21" s="82"/>
      <c r="C21" s="82"/>
      <c r="D21" s="82"/>
      <c r="E21" s="82"/>
      <c r="F21" s="82"/>
      <c r="G21" s="82"/>
      <c r="H21" s="82"/>
      <c r="I21" s="5"/>
      <c r="J21" s="8"/>
      <c r="K21" s="8"/>
      <c r="L21" s="82"/>
      <c r="M21" s="8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0"/>
      <c r="B22" s="81"/>
      <c r="C22" s="81"/>
      <c r="D22" s="82"/>
      <c r="E22" s="82"/>
      <c r="F22" s="82"/>
      <c r="G22" s="82"/>
      <c r="H22" s="82"/>
      <c r="I22" s="5"/>
      <c r="J22" s="8"/>
      <c r="K22" s="8"/>
      <c r="L22" s="81"/>
      <c r="M22" s="8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83"/>
      <c r="B23" s="82"/>
      <c r="C23" s="82"/>
      <c r="D23" s="82"/>
      <c r="E23" s="82"/>
      <c r="F23" s="82"/>
      <c r="G23" s="82"/>
      <c r="H23" s="82"/>
      <c r="I23" s="5"/>
      <c r="J23" s="8"/>
      <c r="K23" s="8"/>
      <c r="L23" s="82"/>
      <c r="M23" s="8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3"/>
      <c r="B24" s="82"/>
      <c r="C24" s="82"/>
      <c r="D24" s="82"/>
      <c r="E24" s="82"/>
      <c r="F24" s="82"/>
      <c r="G24" s="82"/>
      <c r="H24" s="82"/>
      <c r="I24" s="5"/>
      <c r="J24" s="5"/>
      <c r="K24" s="5"/>
      <c r="L24" s="82"/>
      <c r="M24" s="8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3" t="s">
        <v>2</v>
      </c>
      <c r="B2" s="3" t="s">
        <v>3</v>
      </c>
      <c r="D2" s="4" t="s">
        <v>4</v>
      </c>
      <c r="F2" s="9" t="s">
        <v>138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11">
        <f t="shared" ref="A3:B3" si="1">SUM(B14, B15)</f>
        <v>81439</v>
      </c>
      <c r="B3" s="11">
        <f t="shared" si="1"/>
        <v>3300</v>
      </c>
      <c r="D3" s="13">
        <f>SUM(F14, F15)</f>
        <v>75448</v>
      </c>
      <c r="F3" s="14">
        <f>MINUS(A3,B3 + D3)</f>
        <v>2691</v>
      </c>
      <c r="G3" s="1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5"/>
      <c r="B4" s="7"/>
      <c r="C4" s="7"/>
      <c r="D4" s="6"/>
      <c r="E4" s="6"/>
      <c r="F4" s="6"/>
      <c r="G4" s="7"/>
      <c r="H4" s="8"/>
      <c r="I4" s="8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30.0" customHeight="1">
      <c r="A5" s="88" t="s">
        <v>142</v>
      </c>
      <c r="B5" s="89" t="s">
        <v>9</v>
      </c>
      <c r="C5" s="89" t="s">
        <v>11</v>
      </c>
      <c r="D5" s="90" t="s">
        <v>144</v>
      </c>
      <c r="E5" s="90" t="s">
        <v>145</v>
      </c>
      <c r="F5" s="90" t="s">
        <v>15</v>
      </c>
      <c r="G5" s="89"/>
      <c r="H5" s="24"/>
      <c r="I5" s="24"/>
      <c r="J5" s="24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30.0" customHeight="1">
      <c r="A6" s="67" t="s">
        <v>146</v>
      </c>
      <c r="B6" s="68">
        <v>67801.0</v>
      </c>
      <c r="C6" s="68">
        <v>3182.0</v>
      </c>
      <c r="D6" s="92">
        <v>710.0</v>
      </c>
      <c r="E6" s="70" t="s">
        <v>21</v>
      </c>
      <c r="F6" s="92">
        <v>62565.0</v>
      </c>
      <c r="G6" s="93" t="str">
        <f>HYPERLINK("http://www.nhc.gov.cn/yjb/s7860/202003/8721a8bc007b448db32489ea74b321fc.shtml","Source")</f>
        <v>Source</v>
      </c>
      <c r="H6" s="94"/>
      <c r="I6" s="24"/>
      <c r="J6" s="24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30.0" customHeight="1">
      <c r="A7" s="96" t="s">
        <v>150</v>
      </c>
      <c r="B7" s="98">
        <v>1475.0</v>
      </c>
      <c r="C7" s="100">
        <v>8.0</v>
      </c>
      <c r="D7" s="102">
        <v>2.0</v>
      </c>
      <c r="E7" s="102">
        <v>4.0</v>
      </c>
      <c r="F7" s="108">
        <v>1349.0</v>
      </c>
      <c r="G7" s="110" t="str">
        <f>HYPERLINK("http://wsjkw.gd.gov.cn/zwyw_yqxx/content/post_2955656.html","Source")</f>
        <v>Source</v>
      </c>
      <c r="H7" s="104"/>
      <c r="I7" s="24"/>
      <c r="J7" s="24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ht="30.0" customHeight="1">
      <c r="A8" s="67" t="s">
        <v>157</v>
      </c>
      <c r="B8" s="68">
        <v>1276.0</v>
      </c>
      <c r="C8" s="69">
        <v>22.0</v>
      </c>
      <c r="D8" s="70">
        <v>0.0</v>
      </c>
      <c r="E8" s="70">
        <v>0.0</v>
      </c>
      <c r="F8" s="92">
        <v>1251.0</v>
      </c>
      <c r="G8" s="93" t="str">
        <f>HYPERLINK("https://m.weibo.cn/detail/4487730690053623","Source")</f>
        <v>Source</v>
      </c>
      <c r="H8" s="94"/>
      <c r="I8" s="24"/>
      <c r="J8" s="24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30.0" customHeight="1">
      <c r="A9" s="67" t="s">
        <v>159</v>
      </c>
      <c r="B9" s="68">
        <v>1254.0</v>
      </c>
      <c r="C9" s="69">
        <v>1.0</v>
      </c>
      <c r="D9" s="70" t="s">
        <v>21</v>
      </c>
      <c r="E9" s="70" t="s">
        <v>21</v>
      </c>
      <c r="F9" s="92">
        <v>1225.0</v>
      </c>
      <c r="G9" s="114" t="str">
        <f>HYPERLINK("http://www.bjnews.com.cn/feature/2020/03/29/710319.html","Source")</f>
        <v>Source</v>
      </c>
      <c r="H9" s="104"/>
      <c r="I9" s="24"/>
      <c r="J9" s="24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30.0" customHeight="1">
      <c r="A10" s="67" t="s">
        <v>161</v>
      </c>
      <c r="B10" s="68">
        <v>1018.0</v>
      </c>
      <c r="C10" s="69">
        <v>4.0</v>
      </c>
      <c r="D10" s="70">
        <v>0.0</v>
      </c>
      <c r="E10" s="70">
        <v>0.0</v>
      </c>
      <c r="F10" s="92">
        <v>1014.0</v>
      </c>
      <c r="G10" s="93" t="str">
        <f>HYPERLINK("http://wjw.hunan.gov.cn/wjw/xxgk/gzdt/zyxw_1/202003/t20200329_11826827.html","Source")</f>
        <v>Source</v>
      </c>
      <c r="H10" s="104"/>
      <c r="I10" s="24"/>
      <c r="J10" s="24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ht="30.0" customHeight="1">
      <c r="A11" s="67" t="s">
        <v>163</v>
      </c>
      <c r="B11" s="68">
        <v>576.0</v>
      </c>
      <c r="C11" s="69">
        <v>8.0</v>
      </c>
      <c r="D11" s="70" t="s">
        <v>21</v>
      </c>
      <c r="E11" s="70" t="s">
        <v>21</v>
      </c>
      <c r="F11" s="70">
        <v>411.0</v>
      </c>
      <c r="G11" s="114" t="str">
        <f>HYPERLINK("http://wjw.beijing.gov.cn/xwzx_20031/wnxw/202003/t20200329_1744235.html","Source")</f>
        <v>Source</v>
      </c>
      <c r="H11" s="104"/>
      <c r="I11" s="24"/>
      <c r="J11" s="24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ht="30.0" customHeight="1">
      <c r="A12" s="67" t="s">
        <v>165</v>
      </c>
      <c r="B12" s="68">
        <v>492.0</v>
      </c>
      <c r="C12" s="69">
        <v>5.0</v>
      </c>
      <c r="D12" s="70">
        <v>3.0</v>
      </c>
      <c r="E12" s="70">
        <v>6.0</v>
      </c>
      <c r="F12" s="70">
        <v>334.0</v>
      </c>
      <c r="G12" s="93" t="str">
        <f>HYPERLINK("http://wsjkw.sh.gov.cn/xwfb/20200329/3afa1467d885414bb00f73bb5a9fca34.html","Source")</f>
        <v>Source</v>
      </c>
      <c r="H12" s="104"/>
      <c r="I12" s="24"/>
      <c r="J12" s="24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ht="30.0" customHeight="1">
      <c r="A13" s="67" t="s">
        <v>168</v>
      </c>
      <c r="B13" s="68">
        <v>7547.0</v>
      </c>
      <c r="C13" s="69">
        <v>70.0</v>
      </c>
      <c r="D13" s="70" t="s">
        <v>169</v>
      </c>
      <c r="E13" s="70" t="s">
        <v>21</v>
      </c>
      <c r="F13" s="92">
        <v>7299.0</v>
      </c>
      <c r="G13" s="93" t="str">
        <f>HYPERLINK("http://www.nhc.gov.cn/yjb/s7860/202003/8721a8bc007b448db32489ea74b321fc.shtml","Source")</f>
        <v>Source</v>
      </c>
      <c r="H13" s="94"/>
      <c r="I13" s="24"/>
      <c r="J13" s="24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ht="30.0" customHeight="1">
      <c r="A14" s="76" t="s">
        <v>55</v>
      </c>
      <c r="B14" s="122">
        <f t="shared" ref="B14:C14" si="2">SUM(B6:B13)</f>
        <v>81439</v>
      </c>
      <c r="C14" s="122">
        <f t="shared" si="2"/>
        <v>3300</v>
      </c>
      <c r="D14" s="122">
        <v>742.0</v>
      </c>
      <c r="E14" s="122"/>
      <c r="F14" s="122">
        <f>SUM(F6:F13)</f>
        <v>75448</v>
      </c>
      <c r="G14" s="79"/>
      <c r="H14" s="24"/>
      <c r="I14" s="24"/>
      <c r="J14" s="24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>
      <c r="A15" s="76"/>
      <c r="B15" s="77"/>
      <c r="C15" s="77"/>
      <c r="D15" s="78"/>
      <c r="E15" s="123"/>
      <c r="F15" s="77"/>
      <c r="G15" s="79"/>
      <c r="H15" s="8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80"/>
      <c r="B16" s="81"/>
      <c r="C16" s="82"/>
      <c r="D16" s="82"/>
      <c r="E16" s="82"/>
      <c r="F16" s="8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83"/>
      <c r="B17" s="82"/>
      <c r="C17" s="82"/>
      <c r="D17" s="82"/>
      <c r="E17" s="82"/>
      <c r="F17" s="8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83"/>
      <c r="B18" s="82"/>
      <c r="C18" s="82"/>
      <c r="D18" s="82"/>
      <c r="E18" s="82"/>
      <c r="F18" s="8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172</v>
      </c>
      <c r="F1" s="5"/>
      <c r="G1" s="5"/>
      <c r="H1" s="5"/>
    </row>
    <row r="2">
      <c r="A2" s="3" t="s">
        <v>173</v>
      </c>
      <c r="B2" s="3" t="s">
        <v>174</v>
      </c>
      <c r="D2" s="4" t="s">
        <v>175</v>
      </c>
      <c r="E2" s="6"/>
      <c r="F2" s="5"/>
      <c r="G2" s="5"/>
      <c r="H2" s="5"/>
    </row>
    <row r="3">
      <c r="A3" s="11">
        <f t="shared" ref="A3:B3" si="1">SUM(B24, B25)</f>
        <v>3196</v>
      </c>
      <c r="B3" s="11">
        <f t="shared" si="1"/>
        <v>33</v>
      </c>
      <c r="D3" s="13">
        <f>SUM(E24, E25)</f>
        <v>9</v>
      </c>
      <c r="E3" s="6"/>
      <c r="F3" s="5"/>
      <c r="G3" s="5"/>
      <c r="H3" s="5"/>
    </row>
    <row r="4">
      <c r="A4" s="15"/>
      <c r="B4" s="7"/>
      <c r="C4" s="7"/>
      <c r="D4" s="6"/>
      <c r="E4" s="6"/>
      <c r="F4" s="5"/>
      <c r="G4" s="5"/>
      <c r="H4" s="5"/>
    </row>
    <row r="5" ht="30.0" customHeight="1">
      <c r="A5" s="88" t="s">
        <v>177</v>
      </c>
      <c r="B5" s="89" t="s">
        <v>178</v>
      </c>
      <c r="C5" s="89" t="s">
        <v>179</v>
      </c>
      <c r="D5" s="90" t="s">
        <v>180</v>
      </c>
      <c r="E5" s="90" t="s">
        <v>181</v>
      </c>
      <c r="F5" s="26"/>
      <c r="G5" s="26"/>
      <c r="H5" s="26"/>
    </row>
    <row r="6" ht="30.0" customHeight="1">
      <c r="A6" s="67" t="s">
        <v>182</v>
      </c>
      <c r="B6" s="68">
        <v>977.0</v>
      </c>
      <c r="C6" s="69">
        <v>11.0</v>
      </c>
      <c r="D6" s="70"/>
      <c r="E6" s="70">
        <v>1.0</v>
      </c>
      <c r="F6" s="26"/>
      <c r="G6" s="26"/>
      <c r="H6" s="26"/>
    </row>
    <row r="7" ht="30.0" customHeight="1">
      <c r="A7" s="67" t="s">
        <v>100</v>
      </c>
      <c r="B7" s="68">
        <v>434.0</v>
      </c>
      <c r="C7" s="69">
        <v>0.0</v>
      </c>
      <c r="D7" s="70"/>
      <c r="E7" s="124"/>
      <c r="F7" s="26"/>
      <c r="G7" s="26"/>
      <c r="H7" s="26"/>
    </row>
    <row r="8" ht="30.0" customHeight="1">
      <c r="A8" s="67" t="s">
        <v>106</v>
      </c>
      <c r="B8" s="68">
        <v>426.0</v>
      </c>
      <c r="C8" s="68">
        <v>7.0</v>
      </c>
      <c r="D8" s="92">
        <v>6.0</v>
      </c>
      <c r="E8" s="70">
        <v>3.0</v>
      </c>
      <c r="F8" s="26"/>
      <c r="G8" s="26"/>
      <c r="H8" s="26"/>
    </row>
    <row r="9" ht="30.0" customHeight="1">
      <c r="A9" s="67" t="s">
        <v>167</v>
      </c>
      <c r="B9" s="68">
        <v>263.0</v>
      </c>
      <c r="C9" s="69">
        <v>3.0</v>
      </c>
      <c r="D9" s="70">
        <v>16.0</v>
      </c>
      <c r="E9" s="70">
        <v>2.0</v>
      </c>
      <c r="F9" s="26"/>
      <c r="G9" s="26"/>
      <c r="H9" s="26"/>
    </row>
    <row r="10" ht="30.0" customHeight="1">
      <c r="A10" s="67" t="s">
        <v>184</v>
      </c>
      <c r="B10" s="68">
        <v>203.0</v>
      </c>
      <c r="C10" s="69">
        <v>2.0</v>
      </c>
      <c r="D10" s="70">
        <v>3.0</v>
      </c>
      <c r="E10" s="70">
        <v>3.0</v>
      </c>
      <c r="F10" s="26"/>
      <c r="G10" s="26"/>
      <c r="H10" s="26"/>
    </row>
    <row r="11" ht="30.0" customHeight="1">
      <c r="A11" s="67" t="s">
        <v>185</v>
      </c>
      <c r="B11" s="68">
        <v>200.0</v>
      </c>
      <c r="C11" s="69">
        <v>1.0</v>
      </c>
      <c r="D11" s="70">
        <v>8.0</v>
      </c>
      <c r="E11" s="124"/>
      <c r="F11" s="26"/>
      <c r="G11" s="26"/>
      <c r="H11" s="26"/>
    </row>
    <row r="12" ht="30.0" customHeight="1">
      <c r="A12" s="67" t="s">
        <v>158</v>
      </c>
      <c r="B12" s="68">
        <v>158.0</v>
      </c>
      <c r="C12" s="69">
        <v>3.0</v>
      </c>
      <c r="D12" s="70"/>
      <c r="E12" s="124"/>
      <c r="F12" s="26"/>
      <c r="G12" s="26"/>
      <c r="H12" s="26"/>
    </row>
    <row r="13" ht="30.0" customHeight="1">
      <c r="A13" s="67" t="s">
        <v>183</v>
      </c>
      <c r="B13" s="68">
        <v>158.0</v>
      </c>
      <c r="C13" s="69">
        <v>0.0</v>
      </c>
      <c r="D13" s="70"/>
      <c r="E13" s="124"/>
      <c r="F13" s="26"/>
      <c r="G13" s="26"/>
      <c r="H13" s="26"/>
    </row>
    <row r="14" ht="30.0" customHeight="1">
      <c r="A14" s="67" t="s">
        <v>186</v>
      </c>
      <c r="B14" s="68">
        <v>113.0</v>
      </c>
      <c r="C14" s="69">
        <v>2.0</v>
      </c>
      <c r="D14" s="70"/>
      <c r="E14" s="124"/>
      <c r="F14" s="26"/>
      <c r="G14" s="26"/>
      <c r="H14" s="26"/>
    </row>
    <row r="15" ht="30.0" customHeight="1">
      <c r="A15" s="67" t="s">
        <v>187</v>
      </c>
      <c r="B15" s="68">
        <v>110.0</v>
      </c>
      <c r="C15" s="69"/>
      <c r="D15" s="70"/>
      <c r="E15" s="124"/>
      <c r="F15" s="26"/>
      <c r="G15" s="26"/>
      <c r="H15" s="26"/>
    </row>
    <row r="16" ht="30.0" customHeight="1">
      <c r="A16" s="67" t="s">
        <v>188</v>
      </c>
      <c r="B16" s="68">
        <v>72.0</v>
      </c>
      <c r="C16" s="69">
        <v>2.0</v>
      </c>
      <c r="D16" s="70"/>
      <c r="E16" s="124"/>
      <c r="F16" s="26"/>
      <c r="G16" s="26"/>
      <c r="H16" s="26"/>
    </row>
    <row r="17" ht="30.0" customHeight="1">
      <c r="A17" s="67" t="s">
        <v>190</v>
      </c>
      <c r="B17" s="68">
        <v>24.0</v>
      </c>
      <c r="C17" s="69">
        <v>0.0</v>
      </c>
      <c r="D17" s="70"/>
      <c r="E17" s="124"/>
      <c r="F17" s="26"/>
      <c r="G17" s="26"/>
      <c r="H17" s="26"/>
    </row>
    <row r="18" ht="30.0" customHeight="1">
      <c r="A18" s="67" t="s">
        <v>191</v>
      </c>
      <c r="B18" s="68">
        <v>21.0</v>
      </c>
      <c r="C18" s="69">
        <v>1.0</v>
      </c>
      <c r="D18" s="70"/>
      <c r="E18" s="124"/>
      <c r="F18" s="26"/>
      <c r="G18" s="26"/>
      <c r="H18" s="26"/>
    </row>
    <row r="19" ht="30.0" customHeight="1">
      <c r="A19" s="67" t="s">
        <v>192</v>
      </c>
      <c r="B19" s="68">
        <v>19.0</v>
      </c>
      <c r="C19" s="69">
        <v>0.0</v>
      </c>
      <c r="D19" s="70"/>
      <c r="E19" s="124"/>
      <c r="F19" s="26"/>
      <c r="G19" s="26"/>
      <c r="H19" s="26"/>
    </row>
    <row r="20" ht="30.0" customHeight="1">
      <c r="A20" s="67" t="s">
        <v>193</v>
      </c>
      <c r="B20" s="68">
        <v>18.0</v>
      </c>
      <c r="C20" s="69">
        <v>1.0</v>
      </c>
      <c r="D20" s="70"/>
      <c r="E20" s="124"/>
      <c r="F20" s="26"/>
      <c r="G20" s="26"/>
      <c r="H20" s="26"/>
    </row>
    <row r="21" ht="30.0" customHeight="1">
      <c r="A21" s="67" t="s">
        <v>194</v>
      </c>
      <c r="B21" s="68">
        <v>13.0</v>
      </c>
      <c r="C21" s="69">
        <v>1.0</v>
      </c>
      <c r="D21" s="70"/>
      <c r="E21" s="124"/>
      <c r="F21" s="26"/>
      <c r="G21" s="26"/>
      <c r="H21" s="26"/>
    </row>
    <row r="22" ht="30.0" customHeight="1">
      <c r="A22" s="67" t="s">
        <v>195</v>
      </c>
      <c r="B22" s="68">
        <v>3.0</v>
      </c>
      <c r="C22" s="69"/>
      <c r="D22" s="70"/>
      <c r="E22" s="124"/>
      <c r="F22" s="26"/>
      <c r="G22" s="26"/>
      <c r="H22" s="26"/>
    </row>
    <row r="23" ht="30.0" customHeight="1">
      <c r="A23" s="67" t="s">
        <v>196</v>
      </c>
      <c r="B23" s="68">
        <v>2.0</v>
      </c>
      <c r="C23" s="69"/>
      <c r="D23" s="70"/>
      <c r="E23" s="124"/>
      <c r="F23" s="26"/>
      <c r="G23" s="26"/>
      <c r="H23" s="26"/>
    </row>
    <row r="24" ht="30.0" customHeight="1">
      <c r="A24" s="76" t="s">
        <v>55</v>
      </c>
      <c r="B24" s="122">
        <f t="shared" ref="B24:C24" si="2">SUM(B6:B20)</f>
        <v>3196</v>
      </c>
      <c r="C24" s="122">
        <f t="shared" si="2"/>
        <v>33</v>
      </c>
      <c r="D24" s="122">
        <f t="shared" ref="D24:E24" si="3">SUM(D6:D16)</f>
        <v>33</v>
      </c>
      <c r="E24" s="122">
        <f t="shared" si="3"/>
        <v>9</v>
      </c>
      <c r="F24" s="26"/>
      <c r="G24" s="26"/>
      <c r="H24" s="26"/>
    </row>
    <row r="25">
      <c r="A25" s="83"/>
      <c r="B25" s="82"/>
      <c r="C25" s="82"/>
      <c r="D25" s="82"/>
      <c r="E25" s="82"/>
      <c r="F25" s="5"/>
      <c r="G25" s="5"/>
      <c r="H25" s="5"/>
    </row>
    <row r="26">
      <c r="A26" s="80"/>
      <c r="B26" s="81"/>
      <c r="C26" s="82"/>
      <c r="D26" s="82"/>
      <c r="E26" s="82"/>
      <c r="F26" s="5"/>
      <c r="G26" s="5"/>
      <c r="H26" s="5"/>
    </row>
    <row r="27">
      <c r="A27" s="83"/>
      <c r="B27" s="82"/>
      <c r="C27" s="82"/>
      <c r="D27" s="82"/>
      <c r="E27" s="82"/>
      <c r="F27" s="5"/>
      <c r="G27" s="5"/>
      <c r="H27" s="5"/>
    </row>
    <row r="28">
      <c r="A28" s="83"/>
      <c r="B28" s="82"/>
      <c r="C28" s="82"/>
      <c r="D28" s="82"/>
      <c r="E28" s="82"/>
      <c r="F28" s="5"/>
      <c r="G28" s="5"/>
      <c r="H28" s="5"/>
    </row>
  </sheetData>
  <mergeCells count="3">
    <mergeCell ref="A1:E1"/>
    <mergeCell ref="B2:C2"/>
    <mergeCell ref="B3:C3"/>
  </mergeCells>
  <drawing r:id="rId1"/>
  <tableParts count="1">
    <tablePart r:id="rId3"/>
  </tableParts>
</worksheet>
</file>