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<sst xmlns="http://schemas.openxmlformats.org/spreadsheetml/2006/main" count="555" uniqueCount="314">
  <si>
    <t>Updated throughout the day</t>
  </si>
  <si>
    <t>CASES</t>
  </si>
  <si>
    <t>DEATHS</t>
  </si>
  <si>
    <t>RECOVERED</t>
  </si>
  <si>
    <t>ACTIVE CASES</t>
  </si>
  <si>
    <t>UNRESOLVED</t>
  </si>
  <si>
    <t>UNITED STATES</t>
  </si>
  <si>
    <t>Cases</t>
  </si>
  <si>
    <t>Deaths</t>
  </si>
  <si>
    <t>Serious</t>
  </si>
  <si>
    <t>MAINLAND CHINA</t>
  </si>
  <si>
    <t>Critical</t>
  </si>
  <si>
    <t>Recovered</t>
  </si>
  <si>
    <t>Links</t>
  </si>
  <si>
    <t>WORLD</t>
  </si>
  <si>
    <t>Hubei province (includes Wuhan)</t>
  </si>
  <si>
    <t>New cases</t>
  </si>
  <si>
    <t>New deaths</t>
  </si>
  <si>
    <t>% of deaths</t>
  </si>
  <si>
    <t>Serious &amp; Critical</t>
  </si>
  <si>
    <t>China</t>
  </si>
  <si>
    <t>N/A</t>
  </si>
  <si>
    <t>New York</t>
  </si>
  <si>
    <t>Guangdong province</t>
  </si>
  <si>
    <t>Italy</t>
  </si>
  <si>
    <t>New Jersey</t>
  </si>
  <si>
    <t>Henan province</t>
  </si>
  <si>
    <t>United States</t>
  </si>
  <si>
    <t>Zhejiang province</t>
  </si>
  <si>
    <t>Spain</t>
  </si>
  <si>
    <t>California</t>
  </si>
  <si>
    <t>Hunan province</t>
  </si>
  <si>
    <t>Washington</t>
  </si>
  <si>
    <t>Germany</t>
  </si>
  <si>
    <t>Beijing</t>
  </si>
  <si>
    <t>Michigan</t>
  </si>
  <si>
    <t>Iran</t>
  </si>
  <si>
    <t>Shanghai</t>
  </si>
  <si>
    <t>Florida</t>
  </si>
  <si>
    <t>Other regions/TBD</t>
  </si>
  <si>
    <t>&lt;16</t>
  </si>
  <si>
    <t>France</t>
  </si>
  <si>
    <t>Illinois</t>
  </si>
  <si>
    <t>TOTAL</t>
  </si>
  <si>
    <t>Massachusetts</t>
  </si>
  <si>
    <t>Switzerland</t>
  </si>
  <si>
    <t>Louisiana</t>
  </si>
  <si>
    <t>United Kingdom</t>
  </si>
  <si>
    <t>Georgia</t>
  </si>
  <si>
    <t>Texas</t>
  </si>
  <si>
    <t>South Korea</t>
  </si>
  <si>
    <t>Pennsylvania</t>
  </si>
  <si>
    <t>Netherlands</t>
  </si>
  <si>
    <t>Colorado</t>
  </si>
  <si>
    <t>Austria</t>
  </si>
  <si>
    <t>Connecticut</t>
  </si>
  <si>
    <t>Tennessee</t>
  </si>
  <si>
    <t>Belgium</t>
  </si>
  <si>
    <t>Ohio</t>
  </si>
  <si>
    <t>Wisconsin</t>
  </si>
  <si>
    <t>Canada</t>
  </si>
  <si>
    <t>Portugal</t>
  </si>
  <si>
    <t>North Carolina</t>
  </si>
  <si>
    <t>Norway</t>
  </si>
  <si>
    <t>Indiana</t>
  </si>
  <si>
    <t>Maryland</t>
  </si>
  <si>
    <t>Brazil</t>
  </si>
  <si>
    <t>South Carolina</t>
  </si>
  <si>
    <t>Arizona</t>
  </si>
  <si>
    <t>Virginia</t>
  </si>
  <si>
    <t>Sweden</t>
  </si>
  <si>
    <t>Alabama</t>
  </si>
  <si>
    <t>Mississippi</t>
  </si>
  <si>
    <t>CANADA</t>
  </si>
  <si>
    <t>Australia</t>
  </si>
  <si>
    <t>Missouri</t>
  </si>
  <si>
    <t>Quebec</t>
  </si>
  <si>
    <t>Utah</t>
  </si>
  <si>
    <t>Nevada</t>
  </si>
  <si>
    <t>Ontario</t>
  </si>
  <si>
    <t>Israel</t>
  </si>
  <si>
    <t>Minnesota</t>
  </si>
  <si>
    <t>Arkansas</t>
  </si>
  <si>
    <t>British Columbia</t>
  </si>
  <si>
    <t>Oregon</t>
  </si>
  <si>
    <t>District of Columbia</t>
  </si>
  <si>
    <t>Turkey</t>
  </si>
  <si>
    <t>Alberta</t>
  </si>
  <si>
    <t>Kentucky</t>
  </si>
  <si>
    <t>Oklahoma</t>
  </si>
  <si>
    <t>Saskatchewan</t>
  </si>
  <si>
    <t>Malaysia</t>
  </si>
  <si>
    <t>Iowa</t>
  </si>
  <si>
    <t>Nova Scotia</t>
  </si>
  <si>
    <t>Maine</t>
  </si>
  <si>
    <t>Denmark</t>
  </si>
  <si>
    <t>New Hampshire</t>
  </si>
  <si>
    <t>Newfoundland &amp; Labrador</t>
  </si>
  <si>
    <t>Rhode Island</t>
  </si>
  <si>
    <t>Kansas</t>
  </si>
  <si>
    <t>Czech Republic</t>
  </si>
  <si>
    <t>Vermont</t>
  </si>
  <si>
    <t>Idaho</t>
  </si>
  <si>
    <t>Delaware</t>
  </si>
  <si>
    <t>Ireland</t>
  </si>
  <si>
    <t>New Mexico</t>
  </si>
  <si>
    <t>Manitoba</t>
  </si>
  <si>
    <t>Hawaii</t>
  </si>
  <si>
    <t>Luxembourg</t>
  </si>
  <si>
    <t>Nebraska</t>
  </si>
  <si>
    <t>New Brunswick</t>
  </si>
  <si>
    <t>Montana</t>
  </si>
  <si>
    <t>West Virginia</t>
  </si>
  <si>
    <t>Repatriated travellers</t>
  </si>
  <si>
    <t>Japan</t>
  </si>
  <si>
    <t>Puerto Rico</t>
  </si>
  <si>
    <t>Prince Edward Island</t>
  </si>
  <si>
    <t>Wyoming</t>
  </si>
  <si>
    <t>Yukon</t>
  </si>
  <si>
    <t>Diamond Princess (repatriated)</t>
  </si>
  <si>
    <t>Ecuador</t>
  </si>
  <si>
    <t>Alaska</t>
  </si>
  <si>
    <t>Northwest Territories</t>
  </si>
  <si>
    <t>North Dakota</t>
  </si>
  <si>
    <t>Chile</t>
  </si>
  <si>
    <t>South Dakota</t>
  </si>
  <si>
    <t>Nunavut</t>
  </si>
  <si>
    <t>Guam</t>
  </si>
  <si>
    <t>Poland</t>
  </si>
  <si>
    <t>Grand Princess</t>
  </si>
  <si>
    <t>U.S. Virgin Islands</t>
  </si>
  <si>
    <t>Pakistan</t>
  </si>
  <si>
    <t>Wuhan (repatriated)</t>
  </si>
  <si>
    <t>American Samoa</t>
  </si>
  <si>
    <t>Thailand</t>
  </si>
  <si>
    <t>Northern Mariana Islands</t>
  </si>
  <si>
    <t>TBD</t>
  </si>
  <si>
    <t>Romania</t>
  </si>
  <si>
    <t>Finland</t>
  </si>
  <si>
    <t>U.S. TOTAL</t>
  </si>
  <si>
    <t>Indonesia</t>
  </si>
  <si>
    <t>Saudi Arabia</t>
  </si>
  <si>
    <t>Greece</t>
  </si>
  <si>
    <t>A Marzo 21</t>
  </si>
  <si>
    <t>CASOS</t>
  </si>
  <si>
    <t>MUERTES</t>
  </si>
  <si>
    <t>RECUPERADOS</t>
  </si>
  <si>
    <t>Iceland</t>
  </si>
  <si>
    <t>Mundo Hispano</t>
  </si>
  <si>
    <t>Casos</t>
  </si>
  <si>
    <t>AUSTRALIA</t>
  </si>
  <si>
    <t>Muertes</t>
  </si>
  <si>
    <t>Serios</t>
  </si>
  <si>
    <t>Recuperados</t>
  </si>
  <si>
    <t>Brasil</t>
  </si>
  <si>
    <t>New South Wales</t>
  </si>
  <si>
    <t>Peru</t>
  </si>
  <si>
    <t>México</t>
  </si>
  <si>
    <t>Panamá</t>
  </si>
  <si>
    <t>Diamond Princess</t>
  </si>
  <si>
    <t>Argentina</t>
  </si>
  <si>
    <t>Victoria</t>
  </si>
  <si>
    <t>Colombia</t>
  </si>
  <si>
    <t>Costa Rica</t>
  </si>
  <si>
    <t>Uruguay</t>
  </si>
  <si>
    <t>Rep. Dominicana</t>
  </si>
  <si>
    <t>Honduras</t>
  </si>
  <si>
    <t>Queensland</t>
  </si>
  <si>
    <t>Cuba</t>
  </si>
  <si>
    <t>South Africa</t>
  </si>
  <si>
    <t>Bolivia</t>
  </si>
  <si>
    <t>Paraguay</t>
  </si>
  <si>
    <t>Guatemala</t>
  </si>
  <si>
    <t>El Salvador</t>
  </si>
  <si>
    <t>Western Australia</t>
  </si>
  <si>
    <t>Nicaragua</t>
  </si>
  <si>
    <t>Russia</t>
  </si>
  <si>
    <t>South Australia</t>
  </si>
  <si>
    <t>Philippines</t>
  </si>
  <si>
    <t>Canberra (ACT)</t>
  </si>
  <si>
    <t>Tasmania</t>
  </si>
  <si>
    <t>Singapore</t>
  </si>
  <si>
    <t>Northern Territory</t>
  </si>
  <si>
    <t>External territories</t>
  </si>
  <si>
    <t>India</t>
  </si>
  <si>
    <t>Jervis Bay Territory</t>
  </si>
  <si>
    <t>Panama</t>
  </si>
  <si>
    <t>Slovenia</t>
  </si>
  <si>
    <t>Qatar</t>
  </si>
  <si>
    <t>Mexico</t>
  </si>
  <si>
    <t>Croatia</t>
  </si>
  <si>
    <t>Bahrain</t>
  </si>
  <si>
    <t>Hong Kong</t>
  </si>
  <si>
    <t>Estonia</t>
  </si>
  <si>
    <t>Egypt</t>
  </si>
  <si>
    <t>Dominican Republic</t>
  </si>
  <si>
    <t>Lebanon</t>
  </si>
  <si>
    <t>Iraq</t>
  </si>
  <si>
    <t>Serbia</t>
  </si>
  <si>
    <t>New Zealand</t>
  </si>
  <si>
    <t>Armenia</t>
  </si>
  <si>
    <t>Algeria</t>
  </si>
  <si>
    <t>Lithuania</t>
  </si>
  <si>
    <t>United Arab Emirates</t>
  </si>
  <si>
    <t>Taiwan</t>
  </si>
  <si>
    <t>Hungary</t>
  </si>
  <si>
    <t>Morocco</t>
  </si>
  <si>
    <t>Latvia</t>
  </si>
  <si>
    <t>Bulgaria</t>
  </si>
  <si>
    <t>Slovakia</t>
  </si>
  <si>
    <t>San Marino</t>
  </si>
  <si>
    <t>Kuwait</t>
  </si>
  <si>
    <t>Andorra</t>
  </si>
  <si>
    <t>North Macedonia</t>
  </si>
  <si>
    <t>Bosnia</t>
  </si>
  <si>
    <t>Jordan</t>
  </si>
  <si>
    <t>Moldova</t>
  </si>
  <si>
    <t>Vietnam</t>
  </si>
  <si>
    <t>Albania</t>
  </si>
  <si>
    <t>Malta</t>
  </si>
  <si>
    <t>Cyprus</t>
  </si>
  <si>
    <t>Burkina Faso</t>
  </si>
  <si>
    <t>Tunisia</t>
  </si>
  <si>
    <t>Ukraine</t>
  </si>
  <si>
    <t>Brunei</t>
  </si>
  <si>
    <t>Sri Lanka</t>
  </si>
  <si>
    <t>Oman</t>
  </si>
  <si>
    <t>Senegal</t>
  </si>
  <si>
    <t>Cambodia</t>
  </si>
  <si>
    <t>Venezuela</t>
  </si>
  <si>
    <t>Azerbaijan</t>
  </si>
  <si>
    <t>Belarus</t>
  </si>
  <si>
    <t>Kazakhstan</t>
  </si>
  <si>
    <t>Ivory Coast</t>
  </si>
  <si>
    <t>Kosovo</t>
  </si>
  <si>
    <t>Cameroon</t>
  </si>
  <si>
    <t>Palestine</t>
  </si>
  <si>
    <t>Trinidad and Tobago</t>
  </si>
  <si>
    <t>Uzbekistan</t>
  </si>
  <si>
    <t>Ghana</t>
  </si>
  <si>
    <t>Montenegro</t>
  </si>
  <si>
    <t>Liechtenstein</t>
  </si>
  <si>
    <t>Nigeria</t>
  </si>
  <si>
    <t>DR Congo</t>
  </si>
  <si>
    <t>Mauritius</t>
  </si>
  <si>
    <t>Kyrgyzstan</t>
  </si>
  <si>
    <t>Afghanistan</t>
  </si>
  <si>
    <t>Northern Cyprus</t>
  </si>
  <si>
    <t>Rwanda</t>
  </si>
  <si>
    <t>Bangladesh</t>
  </si>
  <si>
    <t>Macau</t>
  </si>
  <si>
    <t>Kenya</t>
  </si>
  <si>
    <t>Monaco</t>
  </si>
  <si>
    <t>Gibraltar</t>
  </si>
  <si>
    <t>Jamaica</t>
  </si>
  <si>
    <t>French Polynesia</t>
  </si>
  <si>
    <t>Togo</t>
  </si>
  <si>
    <t>Isle of Man</t>
  </si>
  <si>
    <t>Guernsey</t>
  </si>
  <si>
    <t>Madagascar</t>
  </si>
  <si>
    <t>Barbados</t>
  </si>
  <si>
    <t>Aruba</t>
  </si>
  <si>
    <t>Jersey</t>
  </si>
  <si>
    <t>New Caledonia</t>
  </si>
  <si>
    <t>Maldives</t>
  </si>
  <si>
    <t>Tanzania</t>
  </si>
  <si>
    <t>Ethiopia</t>
  </si>
  <si>
    <t>Zambia</t>
  </si>
  <si>
    <t>Djibouti</t>
  </si>
  <si>
    <t>Mongolia</t>
  </si>
  <si>
    <t>Equatorial Guinea</t>
  </si>
  <si>
    <t>Uganda</t>
  </si>
  <si>
    <t>Suriname</t>
  </si>
  <si>
    <t>Seychelles</t>
  </si>
  <si>
    <t>Haiti</t>
  </si>
  <si>
    <t>Gabon</t>
  </si>
  <si>
    <t>Curaçao</t>
  </si>
  <si>
    <t>Cayman Islands</t>
  </si>
  <si>
    <t>Congo Republic</t>
  </si>
  <si>
    <t>Benin</t>
  </si>
  <si>
    <t>Namibia</t>
  </si>
  <si>
    <t>Guyana</t>
  </si>
  <si>
    <t>Eswatini</t>
  </si>
  <si>
    <t>Fiji</t>
  </si>
  <si>
    <t>Greenland</t>
  </si>
  <si>
    <t>Central African Republic</t>
  </si>
  <si>
    <t>Bahamas</t>
  </si>
  <si>
    <t>Liberia</t>
  </si>
  <si>
    <t>Guinea</t>
  </si>
  <si>
    <t>Chad</t>
  </si>
  <si>
    <t>Cape Verde</t>
  </si>
  <si>
    <t>Vatican City</t>
  </si>
  <si>
    <t>Angola</t>
  </si>
  <si>
    <t>Antigua and Barbuda</t>
  </si>
  <si>
    <t>Saint Lucia</t>
  </si>
  <si>
    <t>Zimbabwe</t>
  </si>
  <si>
    <t>Nepal</t>
  </si>
  <si>
    <t>The Gambia</t>
  </si>
  <si>
    <t>Myanmar</t>
  </si>
  <si>
    <t>Bhutan</t>
  </si>
  <si>
    <t>Sudan</t>
  </si>
  <si>
    <t>Mauritania</t>
  </si>
  <si>
    <t>Sint Maarten</t>
  </si>
  <si>
    <t>Niger</t>
  </si>
  <si>
    <t>Montserrat</t>
  </si>
  <si>
    <t>Belize</t>
  </si>
  <si>
    <t>Eritrea</t>
  </si>
  <si>
    <t>Grenada</t>
  </si>
  <si>
    <t>Syria</t>
  </si>
  <si>
    <t>Papua New Guinea</t>
  </si>
  <si>
    <t>Mozambique</t>
  </si>
  <si>
    <t>Turks and Caicos Islands</t>
  </si>
  <si>
    <t>Saint Vincent and the Grenadines</t>
  </si>
  <si>
    <t>Somalia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</si>
</sst>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b/>
      <sz val="13.0"/>
      <color theme="1"/>
      <name val="Roboto"/>
    </font>
    <font>
      <b/>
      <i/>
      <sz val="11.0"/>
      <color rgb="FF000000"/>
      <name val="Arial"/>
    </font>
    <font>
      <sz val="11.0"/>
      <color theme="1"/>
      <name val="Arial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999999"/>
      <name val="Arial"/>
    </font>
    <font>
      <u/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color theme="1"/>
      <name val="Arial"/>
    </font>
    <font>
      <sz val="11.0"/>
      <color rgb="FF0A0A0A"/>
      <name val="Roboto"/>
    </font>
    <font>
      <sz val="11.0"/>
      <color rgb="FFFFFFFF"/>
      <name val="Roboto"/>
    </font>
    <font>
      <sz val="11.0"/>
      <color rgb="FFFFFFFF"/>
      <name val="Arial"/>
    </font>
    <font>
      <sz val="11.0"/>
      <color rgb="FF000000"/>
      <name val="Arial"/>
    </font>
    <font>
      <b/>
      <sz val="11.0"/>
      <color rgb="FF38761D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vertical="top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2" fontId="5" numFmtId="0" xfId="0" applyFill="1" applyFont="1"/>
    <xf borderId="0" fillId="2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7" numFmtId="0" xfId="0" applyAlignment="1" applyFont="1">
      <alignment horizontal="left" readingOrder="0"/>
    </xf>
    <xf borderId="0" fillId="0" fontId="11" numFmtId="3" xfId="0" applyAlignment="1" applyFont="1" applyNumberFormat="1">
      <alignment horizontal="center" vertical="bottom"/>
    </xf>
    <xf borderId="0" fillId="3" fontId="7" numFmtId="0" xfId="0" applyAlignment="1" applyFill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/>
    </xf>
    <xf borderId="0" fillId="3" fontId="6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vertical="center"/>
    </xf>
    <xf borderId="1" fillId="0" fontId="7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0" fontId="5" numFmtId="3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2" fontId="5" numFmtId="0" xfId="0" applyAlignment="1" applyFont="1">
      <alignment readingOrder="0" vertical="center"/>
    </xf>
    <xf borderId="0" fillId="0" fontId="5" numFmtId="0" xfId="0" applyAlignment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0" fillId="4" fontId="12" numFmtId="0" xfId="0" applyAlignment="1" applyFill="1" applyFont="1">
      <alignment horizontal="left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vertical="center"/>
    </xf>
    <xf borderId="0" fillId="6" fontId="5" numFmtId="0" xfId="0" applyAlignment="1" applyFill="1" applyFont="1">
      <alignment vertical="center"/>
    </xf>
    <xf borderId="0" fillId="4" fontId="12" numFmtId="3" xfId="0" applyAlignment="1" applyFont="1" applyNumberFormat="1">
      <alignment horizontal="center" readingOrder="0" shrinkToFit="0" vertical="center" wrapText="1"/>
    </xf>
    <xf borderId="1" fillId="7" fontId="5" numFmtId="3" xfId="0" applyAlignment="1" applyBorder="1" applyFill="1" applyFont="1" applyNumberForma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1" fillId="2" fontId="5" numFmtId="10" xfId="0" applyAlignment="1" applyBorder="1" applyFont="1" applyNumberFormat="1">
      <alignment horizontal="center" readingOrder="0" vertical="center"/>
    </xf>
    <xf borderId="0" fillId="4" fontId="5" numFmtId="0" xfId="0" applyAlignment="1" applyFont="1">
      <alignment horizontal="center" readingOrder="0" shrinkToFit="0" vertical="center" wrapText="1"/>
    </xf>
    <xf borderId="1" fillId="0" fontId="5" numFmtId="3" xfId="0" applyAlignment="1" applyBorder="1" applyFont="1" applyNumberFormat="1">
      <alignment horizontal="center" readingOrder="0" vertical="center"/>
    </xf>
    <xf borderId="0" fillId="4" fontId="5" numFmtId="3" xfId="0" applyAlignment="1" applyFont="1" applyNumberForma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vertical="center"/>
    </xf>
    <xf borderId="0" fillId="4" fontId="15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3" fontId="12" numFmtId="3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2" fontId="16" numFmtId="0" xfId="0" applyAlignment="1" applyFont="1">
      <alignment vertical="center"/>
    </xf>
    <xf borderId="0" fillId="6" fontId="5" numFmtId="0" xfId="0" applyAlignment="1" applyFont="1">
      <alignment vertical="center"/>
    </xf>
    <xf borderId="0" fillId="2" fontId="5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3" fontId="17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8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20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2" fontId="21" numFmtId="0" xfId="0" applyFont="1"/>
    <xf borderId="1" fillId="0" fontId="12" numFmtId="0" xfId="0" applyAlignment="1" applyBorder="1" applyFont="1">
      <alignment horizontal="center" readingOrder="0" vertical="center"/>
    </xf>
    <xf borderId="0" fillId="6" fontId="16" numFmtId="0" xfId="0" applyAlignment="1" applyFont="1">
      <alignment vertical="center"/>
    </xf>
    <xf borderId="0" fillId="0" fontId="22" numFmtId="0" xfId="0" applyAlignment="1" applyFont="1">
      <alignment horizontal="center" readingOrder="0" shrinkToFit="0" vertical="center" wrapText="1"/>
    </xf>
    <xf borderId="0" fillId="3" fontId="22" numFmtId="0" xfId="0" applyAlignment="1" applyFont="1">
      <alignment horizontal="center" readingOrder="0" shrinkToFit="0" vertical="center" wrapText="1"/>
    </xf>
    <xf borderId="0" fillId="3" fontId="22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left" readingOrder="0" shrinkToFit="0" vertical="center" wrapText="1"/>
    </xf>
    <xf borderId="0" fillId="2" fontId="23" numFmtId="3" xfId="0" applyAlignment="1" applyFont="1" applyNumberForma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horizontal="center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vertical="center"/>
    </xf>
    <xf borderId="0" fillId="6" fontId="25" numFmtId="0" xfId="0" applyAlignment="1" applyFont="1">
      <alignment vertical="center"/>
    </xf>
    <xf borderId="0" fillId="2" fontId="25" numFmtId="0" xfId="0" applyAlignment="1" applyFont="1">
      <alignment vertical="center"/>
    </xf>
    <xf borderId="2" fillId="0" fontId="12" numFmtId="0" xfId="0" applyAlignment="1" applyBorder="1" applyFont="1">
      <alignment horizontal="center" readingOrder="0" vertical="center"/>
    </xf>
    <xf borderId="3" fillId="5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7" fontId="5" numFmtId="3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2" fontId="23" numFmtId="0" xfId="0" applyAlignment="1" applyFont="1">
      <alignment horizontal="left" readingOrder="0" vertical="center"/>
    </xf>
    <xf borderId="0" fillId="2" fontId="23" numFmtId="0" xfId="0" applyAlignment="1" applyFont="1">
      <alignment horizontal="center" readingOrder="0" vertical="center"/>
    </xf>
    <xf borderId="0" fillId="2" fontId="23" numFmtId="3" xfId="0" applyAlignment="1" applyFont="1" applyNumberFormat="1">
      <alignment horizontal="center" readingOrder="0" vertical="center"/>
    </xf>
    <xf borderId="0" fillId="2" fontId="24" numFmtId="3" xfId="0" applyAlignment="1" applyFont="1" applyNumberFormat="1">
      <alignment horizontal="center" readingOrder="0" vertical="center"/>
    </xf>
    <xf borderId="0" fillId="2" fontId="24" numFmtId="0" xfId="0" applyAlignment="1" applyFont="1">
      <alignment horizontal="center" readingOrder="0" vertical="center"/>
    </xf>
    <xf borderId="0" fillId="2" fontId="23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19" numFmtId="3" xfId="0" applyAlignment="1" applyFont="1" applyNumberFormat="1">
      <alignment horizontal="center" vertical="center"/>
    </xf>
    <xf borderId="0" fillId="5" fontId="7" numFmtId="3" xfId="0" applyAlignment="1" applyFont="1" applyNumberFormat="1">
      <alignment horizontal="center" readingOrder="0" vertical="center"/>
    </xf>
    <xf borderId="0" fillId="0" fontId="18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2" fontId="21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World!$A$7:$A$191</c:f>
            </c:strRef>
          </c:cat>
          <c:val>
            <c:numRef>
              <c:f>World!$B$7:$B$191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World!$A$7:$A$191</c:f>
            </c:strRef>
          </c:cat>
          <c:val>
            <c:numRef>
              <c:f>World!$D$7:$D$192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194" displayName="Table_6" id="6">
  <tableColumns count="1">
    <tableColumn name="Cases" id="1"/>
  </tableColumns>
  <tableStyleInfo name="World-style" showColumnStripes="0" showFirstColumn="1" showLastColumn="1" showRowStripes="1"/>
</table>
</file>

<file path=xl/tables/table2.xml><?xml version="1.0" encoding="utf-8"?>
<table xmlns="http://schemas.openxmlformats.org/spreadsheetml/2006/main" ref="A6:I194" displayName="Table_7" id="7">
  <tableColumns count="9">
    <tableColumn name="WORLD" id="1"/>
    <tableColumn name="Cases" id="2"/>
    <tableColumn name="New cases" id="3"/>
    <tableColumn name="Deaths" id="4"/>
    <tableColumn name="New deaths" id="5"/>
    <tableColumn name="% of deaths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194" displayName="Table_8" id="8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G67" displayName="Table_3" id="3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5:G20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5:G17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5:E24" displayName="Table_4" id="4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1"/>
      <c r="B1" s="2"/>
      <c r="C1" s="2"/>
      <c r="D1" s="2"/>
      <c r="E1" s="3"/>
      <c r="F1" s="3"/>
      <c r="G1" s="3"/>
      <c r="H1" s="6"/>
      <c r="I1" s="7"/>
      <c r="J1" s="5"/>
      <c r="K1" s="5"/>
      <c r="L1" s="2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/>
      <c r="B2" s="2"/>
      <c r="C2" s="2"/>
      <c r="D2" s="2"/>
      <c r="E2" s="3"/>
      <c r="F2" s="3"/>
      <c r="G2" s="3"/>
      <c r="H2" s="6"/>
      <c r="I2" s="7"/>
      <c r="J2" s="5"/>
      <c r="K2" s="5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" t="s">
        <v>1</v>
      </c>
      <c r="B3" s="9" t="s">
        <v>2</v>
      </c>
      <c r="C3" s="3" t="s">
        <v>3</v>
      </c>
      <c r="E3" s="10" t="s">
        <v>5</v>
      </c>
      <c r="H3" s="6"/>
      <c r="I3" s="7"/>
      <c r="J3" s="5"/>
      <c r="K3" s="5"/>
      <c r="L3" s="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>
        <f>SUM(B193, B194)</f>
        <v>475271</v>
      </c>
      <c r="B4" s="13">
        <f>SUM(D193, D194)</f>
        <v>21430</v>
      </c>
      <c r="C4" s="12">
        <f>SUM(H193, H194)</f>
        <v>110498</v>
      </c>
      <c r="E4" s="15">
        <f>MINUS(A4,B4 + C4)</f>
        <v>343343</v>
      </c>
      <c r="F4" s="15"/>
      <c r="G4" s="3"/>
      <c r="H4" s="6"/>
      <c r="I4" s="7"/>
      <c r="J4" s="5"/>
      <c r="K4" s="5"/>
      <c r="L4" s="1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4"/>
      <c r="B5" s="7"/>
      <c r="C5" s="7"/>
      <c r="D5" s="7"/>
      <c r="E5" s="6"/>
      <c r="F5" s="6"/>
      <c r="G5" s="6"/>
      <c r="H5" s="6"/>
      <c r="I5" s="7"/>
      <c r="J5" s="8"/>
      <c r="K5" s="8"/>
      <c r="L5" s="7"/>
      <c r="M5" s="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0.0" customHeight="1">
      <c r="A6" s="21" t="s">
        <v>14</v>
      </c>
      <c r="B6" s="23" t="s">
        <v>7</v>
      </c>
      <c r="C6" s="25" t="s">
        <v>16</v>
      </c>
      <c r="D6" s="23" t="s">
        <v>8</v>
      </c>
      <c r="E6" s="27" t="s">
        <v>17</v>
      </c>
      <c r="F6" s="27" t="s">
        <v>18</v>
      </c>
      <c r="G6" s="27" t="s">
        <v>19</v>
      </c>
      <c r="H6" s="28" t="s">
        <v>12</v>
      </c>
      <c r="I6" s="23" t="s">
        <v>13</v>
      </c>
      <c r="J6" s="20"/>
      <c r="K6" s="20"/>
      <c r="L6" s="23" t="s">
        <v>7</v>
      </c>
      <c r="M6" s="23" t="s">
        <v>8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0.0" customHeight="1">
      <c r="A7" s="30" t="s">
        <v>20</v>
      </c>
      <c r="B7" s="33">
        <f>China!A3</f>
        <v>81285</v>
      </c>
      <c r="C7" s="36">
        <f t="shared" ref="C7:C157" si="1">MINUS(B7,L7)</f>
        <v>114</v>
      </c>
      <c r="D7" s="33">
        <f>China!B3</f>
        <v>3287</v>
      </c>
      <c r="E7" s="39">
        <f t="shared" ref="E7:E192" si="2">MINUS(D7, M7)</f>
        <v>10</v>
      </c>
      <c r="F7" s="41">
        <f t="shared" ref="F7:F191" si="3">DIVIDE(D7, B7)</f>
        <v>0.04043796518</v>
      </c>
      <c r="G7" s="43">
        <v>1399.0</v>
      </c>
      <c r="H7" s="43">
        <f>China!D3</f>
        <v>74041</v>
      </c>
      <c r="I7" s="45" t="str">
        <f>HYPERLINK("https://bnonews.com/index.php/2020/03/tracking-coronavirus-china-data/","Source")</f>
        <v>Source</v>
      </c>
      <c r="J7" s="20"/>
      <c r="K7" s="20"/>
      <c r="L7" s="33">
        <v>81171.0</v>
      </c>
      <c r="M7" s="33">
        <v>3277.0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30" t="s">
        <v>24</v>
      </c>
      <c r="B8" s="33">
        <v>74386.0</v>
      </c>
      <c r="C8" s="36">
        <f t="shared" si="1"/>
        <v>5210</v>
      </c>
      <c r="D8" s="33">
        <v>7503.0</v>
      </c>
      <c r="E8" s="39">
        <f t="shared" si="2"/>
        <v>683</v>
      </c>
      <c r="F8" s="41">
        <f t="shared" si="3"/>
        <v>0.1008657543</v>
      </c>
      <c r="G8" s="43">
        <v>3489.0</v>
      </c>
      <c r="H8" s="43">
        <v>9362.0</v>
      </c>
      <c r="I8" s="45" t="str">
        <f>HYPERLINK("http://www.salute.gov.it/imgs/C_17_pagineAree_5351_32_file.pdf","Source")</f>
        <v>Source</v>
      </c>
      <c r="J8" s="37"/>
      <c r="K8" s="20"/>
      <c r="L8" s="33">
        <v>69176.0</v>
      </c>
      <c r="M8" s="33">
        <v>6820.0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0.0" customHeight="1">
      <c r="A9" s="30" t="s">
        <v>27</v>
      </c>
      <c r="B9" s="33">
        <f>USA!A3</f>
        <v>68347</v>
      </c>
      <c r="C9" s="36">
        <f t="shared" si="1"/>
        <v>14024</v>
      </c>
      <c r="D9" s="33">
        <f>USA!B3</f>
        <v>1037</v>
      </c>
      <c r="E9" s="39">
        <f t="shared" si="2"/>
        <v>265</v>
      </c>
      <c r="F9" s="41">
        <f t="shared" si="3"/>
        <v>0.01517257524</v>
      </c>
      <c r="G9" s="51">
        <v>664.0</v>
      </c>
      <c r="H9" s="43">
        <f>USA!D3</f>
        <v>46</v>
      </c>
      <c r="I9" s="45" t="str">
        <f>HYPERLINK("https://bnonews.com/index.php/2019/12/tracking-coronavirus-u-s-data/","Source")</f>
        <v>Source</v>
      </c>
      <c r="J9" s="55"/>
      <c r="K9" s="56"/>
      <c r="L9" s="33">
        <v>54323.0</v>
      </c>
      <c r="M9" s="57">
        <v>772.0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30.0" customHeight="1">
      <c r="A10" s="30" t="s">
        <v>29</v>
      </c>
      <c r="B10" s="33">
        <v>49515.0</v>
      </c>
      <c r="C10" s="36">
        <f t="shared" si="1"/>
        <v>7457</v>
      </c>
      <c r="D10" s="33">
        <v>3647.0</v>
      </c>
      <c r="E10" s="39">
        <f t="shared" si="2"/>
        <v>656</v>
      </c>
      <c r="F10" s="41">
        <f t="shared" si="3"/>
        <v>0.07365444815</v>
      </c>
      <c r="G10" s="43">
        <v>3166.0</v>
      </c>
      <c r="H10" s="43">
        <v>5367.0</v>
      </c>
      <c r="I10" s="45" t="str">
        <f>HYPERLINK("https://www.rtve.es/noticias/20200325/mapa-del-coronavirus-espana/2004681.shtml","Source")</f>
        <v>Source</v>
      </c>
      <c r="J10" s="37"/>
      <c r="K10" s="20"/>
      <c r="L10" s="33">
        <v>42058.0</v>
      </c>
      <c r="M10" s="33">
        <v>2991.0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30.0" customHeight="1">
      <c r="A11" s="30" t="s">
        <v>33</v>
      </c>
      <c r="B11" s="33">
        <v>37323.0</v>
      </c>
      <c r="C11" s="36">
        <f t="shared" si="1"/>
        <v>3907</v>
      </c>
      <c r="D11" s="57">
        <v>206.0</v>
      </c>
      <c r="E11" s="39">
        <f t="shared" si="2"/>
        <v>47</v>
      </c>
      <c r="F11" s="41">
        <f t="shared" si="3"/>
        <v>0.00551938483</v>
      </c>
      <c r="G11" s="51" t="s">
        <v>21</v>
      </c>
      <c r="H11" s="43">
        <v>3133.0</v>
      </c>
      <c r="I11" s="45" t="str">
        <f>HYPERLINK("https://interaktiv.morgenpost.de/corona-virus-karte-infektionen-deutschland-weltweit/?fbclid=IwAR04HlqzakGaNssQzbz4d8o8R3gz0C910U8tvfYlBT6P0lVJJvHfk9uS2rc","Source")</f>
        <v>Source</v>
      </c>
      <c r="J11" s="37"/>
      <c r="K11" s="20"/>
      <c r="L11" s="33">
        <v>33416.0</v>
      </c>
      <c r="M11" s="57">
        <v>159.0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30.0" customHeight="1">
      <c r="A12" s="30" t="s">
        <v>36</v>
      </c>
      <c r="B12" s="33">
        <v>27017.0</v>
      </c>
      <c r="C12" s="36">
        <f t="shared" si="1"/>
        <v>2206</v>
      </c>
      <c r="D12" s="33">
        <v>2077.0</v>
      </c>
      <c r="E12" s="39">
        <f t="shared" si="2"/>
        <v>143</v>
      </c>
      <c r="F12" s="41">
        <f t="shared" si="3"/>
        <v>0.07687752156</v>
      </c>
      <c r="G12" s="51" t="s">
        <v>21</v>
      </c>
      <c r="H12" s="43">
        <v>9625.0</v>
      </c>
      <c r="I12" s="45" t="str">
        <f>HYPERLINK("https://twitter.com/AbasAslani/status/1242747619031617537","Source")</f>
        <v>Source</v>
      </c>
      <c r="J12" s="37"/>
      <c r="K12" s="20"/>
      <c r="L12" s="33">
        <v>24811.0</v>
      </c>
      <c r="M12" s="33">
        <v>1934.0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30.0" customHeight="1">
      <c r="A13" s="30" t="s">
        <v>41</v>
      </c>
      <c r="B13" s="33">
        <v>25233.0</v>
      </c>
      <c r="C13" s="36">
        <f t="shared" si="1"/>
        <v>2931</v>
      </c>
      <c r="D13" s="33">
        <v>1331.0</v>
      </c>
      <c r="E13" s="39">
        <f t="shared" si="2"/>
        <v>231</v>
      </c>
      <c r="F13" s="41">
        <f t="shared" si="3"/>
        <v>0.05274838505</v>
      </c>
      <c r="G13" s="43">
        <v>1746.0</v>
      </c>
      <c r="H13" s="43">
        <v>1587.0</v>
      </c>
      <c r="I13" s="45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3" s="37"/>
      <c r="K13" s="20"/>
      <c r="L13" s="33">
        <v>22302.0</v>
      </c>
      <c r="M13" s="33">
        <v>1100.0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30.0" customHeight="1">
      <c r="A14" s="30" t="s">
        <v>45</v>
      </c>
      <c r="B14" s="33">
        <v>10897.0</v>
      </c>
      <c r="C14" s="36">
        <f t="shared" si="1"/>
        <v>1020</v>
      </c>
      <c r="D14" s="57">
        <v>153.0</v>
      </c>
      <c r="E14" s="39">
        <f t="shared" si="2"/>
        <v>23</v>
      </c>
      <c r="F14" s="41">
        <f t="shared" si="3"/>
        <v>0.01404056162</v>
      </c>
      <c r="G14" s="51" t="s">
        <v>21</v>
      </c>
      <c r="H14" s="51">
        <v>4.0</v>
      </c>
      <c r="I14" s="45" t="str">
        <f>HYPERLINK("https://www.24heures.ch/monde/direct-nouveau-cas-coronavirus-suisse/story/24581768","Source")</f>
        <v>Source</v>
      </c>
      <c r="J14" s="37"/>
      <c r="K14" s="20"/>
      <c r="L14" s="33">
        <v>9877.0</v>
      </c>
      <c r="M14" s="57">
        <v>130.0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30.0" customHeight="1">
      <c r="A15" s="30" t="s">
        <v>47</v>
      </c>
      <c r="B15" s="33">
        <v>9529.0</v>
      </c>
      <c r="C15" s="36">
        <f t="shared" si="1"/>
        <v>1452</v>
      </c>
      <c r="D15" s="57">
        <v>465.0</v>
      </c>
      <c r="E15" s="39">
        <f t="shared" si="2"/>
        <v>43</v>
      </c>
      <c r="F15" s="41">
        <f t="shared" si="3"/>
        <v>0.04879840487</v>
      </c>
      <c r="G15" s="51">
        <v>20.0</v>
      </c>
      <c r="H15" s="51">
        <v>135.0</v>
      </c>
      <c r="I15" s="45" t="str">
        <f>HYPERLINK("https://twitter.com/DHSCgovuk/status/1242950122981470208","Source")</f>
        <v>Source</v>
      </c>
      <c r="J15" s="37"/>
      <c r="K15" s="20"/>
      <c r="L15" s="33">
        <v>8077.0</v>
      </c>
      <c r="M15" s="57">
        <v>422.0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30.0" customHeight="1">
      <c r="A16" s="30" t="s">
        <v>50</v>
      </c>
      <c r="B16" s="33">
        <v>9241.0</v>
      </c>
      <c r="C16" s="36">
        <f t="shared" si="1"/>
        <v>104</v>
      </c>
      <c r="D16" s="57">
        <v>131.0</v>
      </c>
      <c r="E16" s="39">
        <f t="shared" si="2"/>
        <v>5</v>
      </c>
      <c r="F16" s="41">
        <f t="shared" si="3"/>
        <v>0.01417595498</v>
      </c>
      <c r="G16" s="51" t="s">
        <v>21</v>
      </c>
      <c r="H16" s="43">
        <v>3730.0</v>
      </c>
      <c r="I16" s="45" t="str">
        <f>HYPERLINK("http://ncov.mohw.go.kr/tcmBoardView.do?brdId=&amp;brdGubun=&amp;dataGubun=&amp;ncvContSeq=353730&amp;contSeq=353730&amp;board_id=&amp;gubun=ALL","Source")</f>
        <v>Source</v>
      </c>
      <c r="J16" s="37"/>
      <c r="K16" s="20"/>
      <c r="L16" s="33">
        <v>9137.0</v>
      </c>
      <c r="M16" s="57">
        <v>126.0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30.0" customHeight="1">
      <c r="A17" s="30" t="s">
        <v>52</v>
      </c>
      <c r="B17" s="33">
        <v>6412.0</v>
      </c>
      <c r="C17" s="36">
        <f t="shared" si="1"/>
        <v>852</v>
      </c>
      <c r="D17" s="57">
        <v>356.0</v>
      </c>
      <c r="E17" s="39">
        <f t="shared" si="2"/>
        <v>80</v>
      </c>
      <c r="F17" s="41">
        <f t="shared" si="3"/>
        <v>0.05552089832</v>
      </c>
      <c r="G17" s="51">
        <v>405.0</v>
      </c>
      <c r="H17" s="51">
        <v>2.0</v>
      </c>
      <c r="I17" s="45" t="str">
        <f>HYPERLINK("https://www.rivm.nl/nieuws/actuele-informatie-over-coronavirus","Source")</f>
        <v>Source</v>
      </c>
      <c r="J17" s="37"/>
      <c r="K17" s="20"/>
      <c r="L17" s="33">
        <v>5560.0</v>
      </c>
      <c r="M17" s="57">
        <v>276.0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30.0" customHeight="1">
      <c r="A18" s="30" t="s">
        <v>54</v>
      </c>
      <c r="B18" s="33">
        <v>5560.0</v>
      </c>
      <c r="C18" s="36">
        <f t="shared" si="1"/>
        <v>684</v>
      </c>
      <c r="D18" s="57">
        <v>31.0</v>
      </c>
      <c r="E18" s="39">
        <f t="shared" si="2"/>
        <v>3</v>
      </c>
      <c r="F18" s="41">
        <f t="shared" si="3"/>
        <v>0.005575539568</v>
      </c>
      <c r="G18" s="51">
        <v>16.0</v>
      </c>
      <c r="H18" s="51">
        <v>9.0</v>
      </c>
      <c r="I18" s="45" t="str">
        <f>HYPERLINK("https://www.sozialministerium.at/Informationen-zum-Coronavirus/Neuartiges-Coronavirus-(2019-nCov).html","Source")</f>
        <v>Source</v>
      </c>
      <c r="J18" s="37"/>
      <c r="K18" s="20"/>
      <c r="L18" s="33">
        <v>4876.0</v>
      </c>
      <c r="M18" s="57">
        <v>28.0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30.0" customHeight="1">
      <c r="A19" s="30" t="s">
        <v>57</v>
      </c>
      <c r="B19" s="33">
        <v>4937.0</v>
      </c>
      <c r="C19" s="36">
        <f t="shared" si="1"/>
        <v>668</v>
      </c>
      <c r="D19" s="57">
        <v>178.0</v>
      </c>
      <c r="E19" s="39">
        <f t="shared" si="2"/>
        <v>56</v>
      </c>
      <c r="F19" s="41">
        <f t="shared" si="3"/>
        <v>0.03605428398</v>
      </c>
      <c r="G19" s="51">
        <v>381.0</v>
      </c>
      <c r="H19" s="51">
        <v>410.0</v>
      </c>
      <c r="I19" s="45" t="str">
        <f>HYPERLINK("https://www.info-coronavirus.be/nl/2020/03/25/668-nieuwe-besmettingen-met-coronavirus-covid-19/","Source")</f>
        <v>Source</v>
      </c>
      <c r="J19" s="37"/>
      <c r="K19" s="20"/>
      <c r="L19" s="33">
        <v>4269.0</v>
      </c>
      <c r="M19" s="57">
        <v>122.0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30.0" customHeight="1">
      <c r="A20" s="30" t="s">
        <v>60</v>
      </c>
      <c r="B20" s="33">
        <f>Canada!A3</f>
        <v>3409</v>
      </c>
      <c r="C20" s="36">
        <f t="shared" si="1"/>
        <v>617</v>
      </c>
      <c r="D20" s="33">
        <f>Canada!B3</f>
        <v>35</v>
      </c>
      <c r="E20" s="39">
        <f t="shared" si="2"/>
        <v>7</v>
      </c>
      <c r="F20" s="41">
        <f t="shared" si="3"/>
        <v>0.01026694045</v>
      </c>
      <c r="G20" s="51">
        <v>23.0</v>
      </c>
      <c r="H20" s="43">
        <f>Canada!D3</f>
        <v>197</v>
      </c>
      <c r="I20" s="45" t="str">
        <f>HYPERLINK("https://bnonews.com/index.php/2019/12/tracking-coronavirus-canada-data/","Source")</f>
        <v>Source</v>
      </c>
      <c r="J20" s="37"/>
      <c r="K20" s="20"/>
      <c r="L20" s="33">
        <v>2792.0</v>
      </c>
      <c r="M20" s="57">
        <v>28.0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30.0" customHeight="1">
      <c r="A21" s="30" t="s">
        <v>61</v>
      </c>
      <c r="B21" s="33">
        <v>2995.0</v>
      </c>
      <c r="C21" s="36">
        <f t="shared" si="1"/>
        <v>633</v>
      </c>
      <c r="D21" s="57">
        <v>43.0</v>
      </c>
      <c r="E21" s="39">
        <f t="shared" si="2"/>
        <v>10</v>
      </c>
      <c r="F21" s="41">
        <f t="shared" si="3"/>
        <v>0.0143572621</v>
      </c>
      <c r="G21" s="51">
        <v>61.0</v>
      </c>
      <c r="H21" s="51">
        <v>22.0</v>
      </c>
      <c r="I21" s="45" t="str">
        <f>HYPERLINK("https://covid19.min-saude.pt/ponto-de-situacao-atual-em-portugal/","Source")</f>
        <v>Source</v>
      </c>
      <c r="J21" s="37"/>
      <c r="K21" s="20"/>
      <c r="L21" s="33">
        <v>2362.0</v>
      </c>
      <c r="M21" s="57">
        <v>33.0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30.0" customHeight="1">
      <c r="A22" s="30" t="s">
        <v>63</v>
      </c>
      <c r="B22" s="33">
        <v>3077.0</v>
      </c>
      <c r="C22" s="36">
        <f t="shared" si="1"/>
        <v>209</v>
      </c>
      <c r="D22" s="57">
        <v>14.0</v>
      </c>
      <c r="E22" s="39">
        <f t="shared" si="2"/>
        <v>2</v>
      </c>
      <c r="F22" s="41">
        <f t="shared" si="3"/>
        <v>0.004549886253</v>
      </c>
      <c r="G22" s="51">
        <v>57.0</v>
      </c>
      <c r="H22" s="51" t="s">
        <v>21</v>
      </c>
      <c r="I22" s="45" t="str">
        <f>HYPERLINK("https://www.vg.no/spesial/2020/corona/","Source")</f>
        <v>Source</v>
      </c>
      <c r="J22" s="37"/>
      <c r="K22" s="20"/>
      <c r="L22" s="33">
        <v>2868.0</v>
      </c>
      <c r="M22" s="57">
        <v>12.0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30.0" customHeight="1">
      <c r="A23" s="30" t="s">
        <v>66</v>
      </c>
      <c r="B23" s="33">
        <v>2555.0</v>
      </c>
      <c r="C23" s="36">
        <f t="shared" si="1"/>
        <v>354</v>
      </c>
      <c r="D23" s="57">
        <v>59.0</v>
      </c>
      <c r="E23" s="39">
        <f t="shared" si="2"/>
        <v>13</v>
      </c>
      <c r="F23" s="41">
        <f t="shared" si="3"/>
        <v>0.02309197652</v>
      </c>
      <c r="G23" s="51" t="s">
        <v>21</v>
      </c>
      <c r="H23" s="51">
        <v>1.0</v>
      </c>
      <c r="I23" s="45" t="str">
        <f>HYPERLINK("https://g1.globo.com/bemestar/coronavirus/noticia/2020/03/25/casos-de-coronavirus-no-brasil-em-25-de-marco.ghtml","Source")</f>
        <v>Source</v>
      </c>
      <c r="J23" s="37"/>
      <c r="K23" s="20"/>
      <c r="L23" s="33">
        <v>2201.0</v>
      </c>
      <c r="M23" s="57">
        <v>46.0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30.0" customHeight="1">
      <c r="A24" s="30" t="s">
        <v>70</v>
      </c>
      <c r="B24" s="33">
        <v>2510.0</v>
      </c>
      <c r="C24" s="36">
        <f t="shared" si="1"/>
        <v>494</v>
      </c>
      <c r="D24" s="57">
        <v>42.0</v>
      </c>
      <c r="E24" s="39">
        <f t="shared" si="2"/>
        <v>9</v>
      </c>
      <c r="F24" s="41">
        <f t="shared" si="3"/>
        <v>0.01673306773</v>
      </c>
      <c r="G24" s="51" t="s">
        <v>21</v>
      </c>
      <c r="H24" s="51" t="s">
        <v>21</v>
      </c>
      <c r="I24" s="45" t="str">
        <f>HYPERLINK("https://www.svt.se/datajournalistik/har-sprider-sig-coronaviruset/","Source")</f>
        <v>Source</v>
      </c>
      <c r="J24" s="37"/>
      <c r="K24" s="20"/>
      <c r="L24" s="33">
        <v>2016.0</v>
      </c>
      <c r="M24" s="57">
        <v>33.0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30.0" customHeight="1">
      <c r="A25" s="30" t="s">
        <v>74</v>
      </c>
      <c r="B25" s="33">
        <f>Australia!A3</f>
        <v>2364</v>
      </c>
      <c r="C25" s="36">
        <f t="shared" si="1"/>
        <v>46</v>
      </c>
      <c r="D25" s="33">
        <f>Australia!B3</f>
        <v>8</v>
      </c>
      <c r="E25" s="39">
        <f t="shared" si="2"/>
        <v>0</v>
      </c>
      <c r="F25" s="41">
        <f t="shared" si="3"/>
        <v>0.003384094755</v>
      </c>
      <c r="G25" s="51" t="s">
        <v>21</v>
      </c>
      <c r="H25" s="43">
        <f>Australia!D3</f>
        <v>119</v>
      </c>
      <c r="I25" s="45" t="str">
        <f>HYPERLINK("https://bnonews.com/index.php/2019/12/tracking-coronavirus-australia-data/","Source")</f>
        <v>Source</v>
      </c>
      <c r="J25" s="20"/>
      <c r="K25" s="20"/>
      <c r="L25" s="33">
        <v>2318.0</v>
      </c>
      <c r="M25" s="57">
        <v>8.0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30.0" customHeight="1">
      <c r="A26" s="30" t="s">
        <v>80</v>
      </c>
      <c r="B26" s="33">
        <v>2170.0</v>
      </c>
      <c r="C26" s="36">
        <f t="shared" si="1"/>
        <v>514</v>
      </c>
      <c r="D26" s="57">
        <v>5.0</v>
      </c>
      <c r="E26" s="39">
        <f t="shared" si="2"/>
        <v>2</v>
      </c>
      <c r="F26" s="41">
        <f t="shared" si="3"/>
        <v>0.002304147465</v>
      </c>
      <c r="G26" s="51">
        <v>37.0</v>
      </c>
      <c r="H26" s="51">
        <v>37.0</v>
      </c>
      <c r="I26" s="45" t="str">
        <f>HYPERLINK("https://www.jpost.com/HEALTH-SCIENCE/Coronavirus-Fourth-Israeli-dies-as-gov-approves-harsher-restrictions-622246","Source")</f>
        <v>Source</v>
      </c>
      <c r="J26" s="20"/>
      <c r="K26" s="20"/>
      <c r="L26" s="33">
        <v>1656.0</v>
      </c>
      <c r="M26" s="57">
        <v>3.0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27.75" customHeight="1">
      <c r="A27" s="30" t="s">
        <v>86</v>
      </c>
      <c r="B27" s="33">
        <v>1892.0</v>
      </c>
      <c r="C27" s="36">
        <f t="shared" si="1"/>
        <v>0</v>
      </c>
      <c r="D27" s="57">
        <v>44.0</v>
      </c>
      <c r="E27" s="39">
        <f t="shared" si="2"/>
        <v>0</v>
      </c>
      <c r="F27" s="41">
        <f t="shared" si="3"/>
        <v>0.02325581395</v>
      </c>
      <c r="G27" s="51" t="s">
        <v>21</v>
      </c>
      <c r="H27" s="51" t="s">
        <v>21</v>
      </c>
      <c r="I27" s="45" t="str">
        <f>HYPERLINK("https://twitter.com/drfahrettinkoca/status/1242528779148328960","Source")</f>
        <v>Source</v>
      </c>
      <c r="J27" s="20"/>
      <c r="K27" s="20"/>
      <c r="L27" s="33">
        <v>1892.0</v>
      </c>
      <c r="M27" s="57">
        <v>44.0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30.0" customHeight="1">
      <c r="A28" s="30" t="s">
        <v>91</v>
      </c>
      <c r="B28" s="33">
        <v>1796.0</v>
      </c>
      <c r="C28" s="36">
        <f t="shared" si="1"/>
        <v>172</v>
      </c>
      <c r="D28" s="57">
        <v>17.0</v>
      </c>
      <c r="E28" s="39">
        <f t="shared" si="2"/>
        <v>2</v>
      </c>
      <c r="F28" s="41">
        <f t="shared" si="3"/>
        <v>0.009465478842</v>
      </c>
      <c r="G28" s="51">
        <v>64.0</v>
      </c>
      <c r="H28" s="51">
        <v>159.0</v>
      </c>
      <c r="I28" s="45" t="str">
        <f>HYPERLINK("https://www.straitstimes.com/asia/se-asia/coronavirus-malaysia-records-another-death-total-now-at-17","Source")</f>
        <v>Source</v>
      </c>
      <c r="J28" s="20"/>
      <c r="K28" s="20"/>
      <c r="L28" s="33">
        <v>1624.0</v>
      </c>
      <c r="M28" s="57">
        <v>15.0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30.0" customHeight="1">
      <c r="A29" s="30" t="s">
        <v>95</v>
      </c>
      <c r="B29" s="33">
        <v>1713.0</v>
      </c>
      <c r="C29" s="36">
        <f t="shared" si="1"/>
        <v>0</v>
      </c>
      <c r="D29" s="57">
        <v>32.0</v>
      </c>
      <c r="E29" s="39">
        <f t="shared" si="2"/>
        <v>0</v>
      </c>
      <c r="F29" s="41">
        <f t="shared" si="3"/>
        <v>0.01868067717</v>
      </c>
      <c r="G29" s="51">
        <v>46.0</v>
      </c>
      <c r="H29" s="51">
        <v>3.0</v>
      </c>
      <c r="I29" s="45" t="str">
        <f>HYPERLINK("https://www.sst.dk/da/corona/tal-og-overvaagning","Source")</f>
        <v>Source</v>
      </c>
      <c r="J29" s="20"/>
      <c r="K29" s="20"/>
      <c r="L29" s="33">
        <v>1713.0</v>
      </c>
      <c r="M29" s="57">
        <v>32.0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30.0" customHeight="1">
      <c r="A30" s="30" t="s">
        <v>100</v>
      </c>
      <c r="B30" s="33">
        <v>1497.0</v>
      </c>
      <c r="C30" s="36">
        <f t="shared" si="1"/>
        <v>208</v>
      </c>
      <c r="D30" s="57">
        <v>5.0</v>
      </c>
      <c r="E30" s="39">
        <f t="shared" si="2"/>
        <v>4</v>
      </c>
      <c r="F30" s="41">
        <f t="shared" si="3"/>
        <v>0.00334001336</v>
      </c>
      <c r="G30" s="51">
        <v>2.0</v>
      </c>
      <c r="H30" s="51">
        <v>10.0</v>
      </c>
      <c r="I30" s="45" t="str">
        <f>HYPERLINK("https://onemocneni-aktualne.mzcr.cz/covid-19","Source")</f>
        <v>Source</v>
      </c>
      <c r="J30" s="20"/>
      <c r="K30" s="20"/>
      <c r="L30" s="33">
        <v>1289.0</v>
      </c>
      <c r="M30" s="57">
        <v>1.0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30.0" customHeight="1">
      <c r="A31" s="30" t="s">
        <v>104</v>
      </c>
      <c r="B31" s="33">
        <v>1564.0</v>
      </c>
      <c r="C31" s="36">
        <f t="shared" si="1"/>
        <v>235</v>
      </c>
      <c r="D31" s="57">
        <v>9.0</v>
      </c>
      <c r="E31" s="39">
        <f t="shared" si="2"/>
        <v>2</v>
      </c>
      <c r="F31" s="41">
        <f t="shared" si="3"/>
        <v>0.005754475703</v>
      </c>
      <c r="G31" s="51">
        <v>25.0</v>
      </c>
      <c r="H31" s="51" t="s">
        <v>21</v>
      </c>
      <c r="I31" s="45" t="str">
        <f>HYPERLINK("https://twitter.com/roinnslainte/status/1242551086499729409","Source")</f>
        <v>Source</v>
      </c>
      <c r="J31" s="54"/>
      <c r="K31" s="20"/>
      <c r="L31" s="33">
        <v>1329.0</v>
      </c>
      <c r="M31" s="57">
        <v>7.0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30.0" customHeight="1">
      <c r="A32" s="30" t="s">
        <v>108</v>
      </c>
      <c r="B32" s="33">
        <v>1333.0</v>
      </c>
      <c r="C32" s="36">
        <f t="shared" si="1"/>
        <v>234</v>
      </c>
      <c r="D32" s="57">
        <v>8.0</v>
      </c>
      <c r="E32" s="39">
        <f t="shared" si="2"/>
        <v>0</v>
      </c>
      <c r="F32" s="41">
        <f t="shared" si="3"/>
        <v>0.006001500375</v>
      </c>
      <c r="G32" s="51" t="s">
        <v>21</v>
      </c>
      <c r="H32" s="51" t="s">
        <v>21</v>
      </c>
      <c r="I32" s="71" t="str">
        <f>HYPERLINK("https://gouvernement.lu/fr/dossiers.gouv_msan+fr+dossiers+2020+corona-virus.html","Source")</f>
        <v>Source</v>
      </c>
      <c r="J32" s="37"/>
      <c r="K32" s="20"/>
      <c r="L32" s="33">
        <v>1099.0</v>
      </c>
      <c r="M32" s="57">
        <v>8.0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30.0" customHeight="1">
      <c r="A33" s="30" t="s">
        <v>114</v>
      </c>
      <c r="B33" s="33">
        <v>1307.0</v>
      </c>
      <c r="C33" s="36">
        <f t="shared" si="1"/>
        <v>167</v>
      </c>
      <c r="D33" s="57">
        <v>45.0</v>
      </c>
      <c r="E33" s="39">
        <f t="shared" si="2"/>
        <v>4</v>
      </c>
      <c r="F33" s="41">
        <f t="shared" si="3"/>
        <v>0.03442999235</v>
      </c>
      <c r="G33" s="51">
        <v>57.0</v>
      </c>
      <c r="H33" s="51">
        <v>310.0</v>
      </c>
      <c r="I33" s="45" t="str">
        <f>HYPERLINK("https://www3.nhk.or.jp/news/html/20200325/k10012348851000.html?utm_int=word_contents_list-items_039&amp;word_result=%E6%96%B0%E5%9E%8B%E3%82%B3%E3%83%AD%E3%83%8A%E3%82%A6%E3%82%A4%E3%83%AB%E3%82%B9","Source")</f>
        <v>Source</v>
      </c>
      <c r="J33" s="72"/>
      <c r="K33" s="20"/>
      <c r="L33" s="33">
        <v>1140.0</v>
      </c>
      <c r="M33" s="57">
        <v>41.0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30.0" customHeight="1">
      <c r="A34" s="30" t="s">
        <v>120</v>
      </c>
      <c r="B34" s="33">
        <v>1211.0</v>
      </c>
      <c r="C34" s="36">
        <f t="shared" si="1"/>
        <v>129</v>
      </c>
      <c r="D34" s="57">
        <v>29.0</v>
      </c>
      <c r="E34" s="39">
        <f t="shared" si="2"/>
        <v>2</v>
      </c>
      <c r="F34" s="41">
        <f t="shared" si="3"/>
        <v>0.02394715111</v>
      </c>
      <c r="G34" s="51">
        <v>41.0</v>
      </c>
      <c r="H34" s="51">
        <v>3.0</v>
      </c>
      <c r="I34" s="45" t="str">
        <f>HYPERLINK("https://coronavirusecuador.com/","Source")</f>
        <v>Source</v>
      </c>
      <c r="J34" s="37"/>
      <c r="K34" s="20"/>
      <c r="L34" s="33">
        <v>1082.0</v>
      </c>
      <c r="M34" s="57">
        <v>27.0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30.0" customHeight="1">
      <c r="A35" s="30" t="s">
        <v>124</v>
      </c>
      <c r="B35" s="33">
        <v>1142.0</v>
      </c>
      <c r="C35" s="36">
        <f t="shared" si="1"/>
        <v>396</v>
      </c>
      <c r="D35" s="57">
        <v>3.0</v>
      </c>
      <c r="E35" s="39">
        <f t="shared" si="2"/>
        <v>2</v>
      </c>
      <c r="F35" s="41">
        <f t="shared" si="3"/>
        <v>0.002626970228</v>
      </c>
      <c r="G35" s="51" t="s">
        <v>21</v>
      </c>
      <c r="H35" s="51">
        <v>22.0</v>
      </c>
      <c r="I35" s="45" t="str">
        <f>HYPERLINK("https://www.minsal.cl/nuevo-coronavirus-2019-ncov/casos-confirmados-en-chile-covid-19/","Source")</f>
        <v>Source</v>
      </c>
      <c r="J35" s="37"/>
      <c r="K35" s="20"/>
      <c r="L35" s="57">
        <v>746.0</v>
      </c>
      <c r="M35" s="57">
        <v>1.0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27.75" customHeight="1">
      <c r="A36" s="30" t="s">
        <v>128</v>
      </c>
      <c r="B36" s="33">
        <v>1051.0</v>
      </c>
      <c r="C36" s="36">
        <f t="shared" si="1"/>
        <v>150</v>
      </c>
      <c r="D36" s="57">
        <v>14.0</v>
      </c>
      <c r="E36" s="39">
        <f t="shared" si="2"/>
        <v>4</v>
      </c>
      <c r="F36" s="41">
        <f t="shared" si="3"/>
        <v>0.013320647</v>
      </c>
      <c r="G36" s="51">
        <v>2.0</v>
      </c>
      <c r="H36" s="51">
        <v>0.0</v>
      </c>
      <c r="I36" s="45" t="str">
        <f>HYPERLINK("https://twitter.com/MZ_GOV_PL/status/1242897433497161730","Source")</f>
        <v>Source</v>
      </c>
      <c r="J36" s="37"/>
      <c r="K36" s="20"/>
      <c r="L36" s="57">
        <v>901.0</v>
      </c>
      <c r="M36" s="57">
        <v>10.0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30.0" customHeight="1">
      <c r="A37" s="30" t="s">
        <v>131</v>
      </c>
      <c r="B37" s="57">
        <v>997.0</v>
      </c>
      <c r="C37" s="36">
        <f t="shared" si="1"/>
        <v>110</v>
      </c>
      <c r="D37" s="57">
        <v>7.0</v>
      </c>
      <c r="E37" s="39">
        <f t="shared" si="2"/>
        <v>1</v>
      </c>
      <c r="F37" s="41">
        <f t="shared" si="3"/>
        <v>0.00702106319</v>
      </c>
      <c r="G37" s="51" t="s">
        <v>21</v>
      </c>
      <c r="H37" s="51">
        <v>16.0</v>
      </c>
      <c r="I37" s="45" t="str">
        <f>HYPERLINK("https://www.dawn.com/live-blog/","Source")</f>
        <v>Source</v>
      </c>
      <c r="J37" s="20"/>
      <c r="K37" s="20"/>
      <c r="L37" s="57">
        <v>887.0</v>
      </c>
      <c r="M37" s="57">
        <v>6.0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30.0" customHeight="1">
      <c r="A38" s="30" t="s">
        <v>134</v>
      </c>
      <c r="B38" s="57">
        <v>934.0</v>
      </c>
      <c r="C38" s="36">
        <f t="shared" si="1"/>
        <v>107</v>
      </c>
      <c r="D38" s="57">
        <v>4.0</v>
      </c>
      <c r="E38" s="39">
        <f t="shared" si="2"/>
        <v>0</v>
      </c>
      <c r="F38" s="41">
        <f t="shared" si="3"/>
        <v>0.004282655246</v>
      </c>
      <c r="G38" s="51">
        <v>8.0</v>
      </c>
      <c r="H38" s="51">
        <v>45.0</v>
      </c>
      <c r="I38" s="45" t="str">
        <f>HYPERLINK("https://www.thaienquirer.com/10052/thailand-virus-toll-rises-by-107-total-at-934/","Source")</f>
        <v>Source</v>
      </c>
      <c r="J38" s="20"/>
      <c r="K38" s="20"/>
      <c r="L38" s="57">
        <v>827.0</v>
      </c>
      <c r="M38" s="57">
        <v>4.0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30.0" customHeight="1">
      <c r="A39" s="30" t="s">
        <v>137</v>
      </c>
      <c r="B39" s="57">
        <v>906.0</v>
      </c>
      <c r="C39" s="36">
        <f t="shared" si="1"/>
        <v>144</v>
      </c>
      <c r="D39" s="57">
        <v>17.0</v>
      </c>
      <c r="E39" s="39">
        <f t="shared" si="2"/>
        <v>6</v>
      </c>
      <c r="F39" s="41">
        <f t="shared" si="3"/>
        <v>0.01876379691</v>
      </c>
      <c r="G39" s="51">
        <v>8.0</v>
      </c>
      <c r="H39" s="51">
        <v>86.0</v>
      </c>
      <c r="I39" s="45" t="str">
        <f>HYPERLINK("http://www.ms.ro/2020/03/24/inca-3-decese-ale-unor-persoane-infectate-cu-noul-coronavirus/","Source")</f>
        <v>Source</v>
      </c>
      <c r="J39" s="37"/>
      <c r="K39" s="20"/>
      <c r="L39" s="57">
        <v>762.0</v>
      </c>
      <c r="M39" s="57">
        <v>11.0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30.0" customHeight="1">
      <c r="A40" s="30" t="s">
        <v>138</v>
      </c>
      <c r="B40" s="57">
        <v>792.0</v>
      </c>
      <c r="C40" s="36">
        <f t="shared" si="1"/>
        <v>92</v>
      </c>
      <c r="D40" s="57">
        <v>3.0</v>
      </c>
      <c r="E40" s="39">
        <f t="shared" si="2"/>
        <v>2</v>
      </c>
      <c r="F40" s="41">
        <f t="shared" si="3"/>
        <v>0.003787878788</v>
      </c>
      <c r="G40" s="51">
        <v>13.0</v>
      </c>
      <c r="H40" s="51">
        <v>10.0</v>
      </c>
      <c r="I40" s="45" t="str">
        <f>HYPERLINK("https://yle.fi/uutiset/3-11212596","Source")</f>
        <v>Source</v>
      </c>
      <c r="J40" s="20"/>
      <c r="K40" s="20"/>
      <c r="L40" s="57">
        <v>700.0</v>
      </c>
      <c r="M40" s="57">
        <v>1.0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30.0" customHeight="1">
      <c r="A41" s="30" t="s">
        <v>140</v>
      </c>
      <c r="B41" s="57">
        <v>790.0</v>
      </c>
      <c r="C41" s="36">
        <f t="shared" si="1"/>
        <v>104</v>
      </c>
      <c r="D41" s="57">
        <v>58.0</v>
      </c>
      <c r="E41" s="39">
        <f t="shared" si="2"/>
        <v>3</v>
      </c>
      <c r="F41" s="41">
        <f t="shared" si="3"/>
        <v>0.07341772152</v>
      </c>
      <c r="G41" s="51" t="s">
        <v>21</v>
      </c>
      <c r="H41" s="51">
        <v>31.0</v>
      </c>
      <c r="I41" s="45" t="str">
        <f>HYPERLINK("https://infeksiemerging.kemkes.go.id/","Source")</f>
        <v>Source</v>
      </c>
      <c r="J41" s="20"/>
      <c r="K41" s="20"/>
      <c r="L41" s="57">
        <v>686.0</v>
      </c>
      <c r="M41" s="57">
        <v>55.0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30.0" customHeight="1">
      <c r="A42" s="30" t="s">
        <v>141</v>
      </c>
      <c r="B42" s="57">
        <v>900.0</v>
      </c>
      <c r="C42" s="36">
        <f t="shared" si="1"/>
        <v>133</v>
      </c>
      <c r="D42" s="57">
        <v>1.0</v>
      </c>
      <c r="E42" s="39">
        <f t="shared" si="2"/>
        <v>0</v>
      </c>
      <c r="F42" s="41">
        <f t="shared" si="3"/>
        <v>0.001111111111</v>
      </c>
      <c r="G42" s="51" t="s">
        <v>21</v>
      </c>
      <c r="H42" s="51">
        <v>8.0</v>
      </c>
      <c r="I42" s="45" t="str">
        <f>HYPERLINK("https://english.alarabiya.net/en/News/gulf/2020/03/24/Saudi-Arabia-confirms-first-coronavirus-death-767-infections-so-far-Health-ministry.html","Source")</f>
        <v>Source</v>
      </c>
      <c r="J42" s="37"/>
      <c r="K42" s="20"/>
      <c r="L42" s="57">
        <v>767.0</v>
      </c>
      <c r="M42" s="57">
        <v>1.0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30.0" customHeight="1">
      <c r="A43" s="30" t="s">
        <v>142</v>
      </c>
      <c r="B43" s="57">
        <v>743.0</v>
      </c>
      <c r="C43" s="36">
        <f t="shared" si="1"/>
        <v>48</v>
      </c>
      <c r="D43" s="57">
        <v>20.0</v>
      </c>
      <c r="E43" s="39">
        <f t="shared" si="2"/>
        <v>3</v>
      </c>
      <c r="F43" s="41">
        <f t="shared" si="3"/>
        <v>0.0269179004</v>
      </c>
      <c r="G43" s="51">
        <v>34.0</v>
      </c>
      <c r="H43" s="51">
        <v>19.0</v>
      </c>
      <c r="I43" s="45" t="str">
        <f>HYPERLINK("https://greece.greekreporter.com/2020/03/24/greece-records-48-new-coronavirus-cases-death-toll-rises-to-20/","Source")</f>
        <v>Source</v>
      </c>
      <c r="J43" s="20"/>
      <c r="K43" s="20"/>
      <c r="L43" s="57">
        <v>695.0</v>
      </c>
      <c r="M43" s="57">
        <v>17.0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30.0" customHeight="1">
      <c r="A44" s="30" t="s">
        <v>147</v>
      </c>
      <c r="B44" s="57">
        <v>737.0</v>
      </c>
      <c r="C44" s="36">
        <f t="shared" si="1"/>
        <v>89</v>
      </c>
      <c r="D44" s="57">
        <v>0.0</v>
      </c>
      <c r="E44" s="39">
        <f t="shared" si="2"/>
        <v>0</v>
      </c>
      <c r="F44" s="41">
        <f t="shared" si="3"/>
        <v>0</v>
      </c>
      <c r="G44" s="51">
        <v>1.0</v>
      </c>
      <c r="H44" s="51">
        <v>51.0</v>
      </c>
      <c r="I44" s="45" t="str">
        <f>HYPERLINK("https://www.covid.is/tolulegar-upplysingar","Source")</f>
        <v>Source</v>
      </c>
      <c r="J44" s="83"/>
      <c r="K44" s="20"/>
      <c r="L44" s="57">
        <v>648.0</v>
      </c>
      <c r="M44" s="57">
        <v>0.0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30.0" customHeight="1">
      <c r="A45" s="30" t="s">
        <v>159</v>
      </c>
      <c r="B45" s="57">
        <v>712.0</v>
      </c>
      <c r="C45" s="36">
        <f t="shared" si="1"/>
        <v>0</v>
      </c>
      <c r="D45" s="57">
        <v>10.0</v>
      </c>
      <c r="E45" s="39">
        <f t="shared" si="2"/>
        <v>0</v>
      </c>
      <c r="F45" s="41">
        <f t="shared" si="3"/>
        <v>0.01404494382</v>
      </c>
      <c r="G45" s="51">
        <v>9.0</v>
      </c>
      <c r="H45" s="51">
        <v>597.0</v>
      </c>
      <c r="I45" s="45" t="str">
        <f>HYPERLINK("https://www3.nhk.or.jp/news/html/20200325/k10012348851000.html?utm_int=word_contents_list-items_005&amp;word_result=%E6%96%B0%E5%9E%8B%E3%82%B3%E3%83%AD%E3%83%8A%E3%82%A6%E3%82%A4%E3%83%AB%E3%82%B9","Source")</f>
        <v>Source</v>
      </c>
      <c r="J45" s="37"/>
      <c r="K45" s="20"/>
      <c r="L45" s="57">
        <v>712.0</v>
      </c>
      <c r="M45" s="57">
        <v>10.0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27.75" customHeight="1">
      <c r="A46" s="30" t="s">
        <v>169</v>
      </c>
      <c r="B46" s="57">
        <v>709.0</v>
      </c>
      <c r="C46" s="36">
        <f t="shared" si="1"/>
        <v>155</v>
      </c>
      <c r="D46" s="57">
        <v>0.0</v>
      </c>
      <c r="E46" s="39">
        <f t="shared" si="2"/>
        <v>0</v>
      </c>
      <c r="F46" s="41">
        <f t="shared" si="3"/>
        <v>0</v>
      </c>
      <c r="G46" s="51" t="s">
        <v>21</v>
      </c>
      <c r="H46" s="51" t="s">
        <v>21</v>
      </c>
      <c r="I46" s="45" t="str">
        <f>HYPERLINK("https://news.trust.org/item/20200325054656-xfufv","Source")</f>
        <v>Source</v>
      </c>
      <c r="J46" s="37"/>
      <c r="K46" s="20"/>
      <c r="L46" s="57">
        <v>554.0</v>
      </c>
      <c r="M46" s="57">
        <v>0.0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30.0" customHeight="1">
      <c r="A47" s="30" t="s">
        <v>176</v>
      </c>
      <c r="B47" s="57">
        <v>658.0</v>
      </c>
      <c r="C47" s="36">
        <f t="shared" si="1"/>
        <v>163</v>
      </c>
      <c r="D47" s="57">
        <v>1.0</v>
      </c>
      <c r="E47" s="39">
        <f t="shared" si="2"/>
        <v>0</v>
      </c>
      <c r="F47" s="41">
        <f t="shared" si="3"/>
        <v>0.001519756839</v>
      </c>
      <c r="G47" s="51" t="s">
        <v>21</v>
      </c>
      <c r="H47" s="51">
        <v>29.0</v>
      </c>
      <c r="I47" s="45" t="str">
        <f>HYPERLINK("https://tass.com/world/1134401","Source")</f>
        <v>Source</v>
      </c>
      <c r="J47" s="37"/>
      <c r="K47" s="20"/>
      <c r="L47" s="57">
        <v>495.0</v>
      </c>
      <c r="M47" s="57">
        <v>1.0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30.0" customHeight="1">
      <c r="A48" s="30" t="s">
        <v>178</v>
      </c>
      <c r="B48" s="57">
        <v>636.0</v>
      </c>
      <c r="C48" s="36">
        <f t="shared" si="1"/>
        <v>84</v>
      </c>
      <c r="D48" s="57">
        <v>38.0</v>
      </c>
      <c r="E48" s="39">
        <f t="shared" si="2"/>
        <v>3</v>
      </c>
      <c r="F48" s="41">
        <f t="shared" si="3"/>
        <v>0.05974842767</v>
      </c>
      <c r="G48" s="51">
        <v>1.0</v>
      </c>
      <c r="H48" s="51">
        <v>26.0</v>
      </c>
      <c r="I48" s="71" t="str">
        <f>HYPERLINK("https://twitter.com/manilabulletin/status/1242728996460048384","Source")</f>
        <v>Source</v>
      </c>
      <c r="J48" s="37"/>
      <c r="K48" s="20"/>
      <c r="L48" s="57">
        <v>552.0</v>
      </c>
      <c r="M48" s="57">
        <v>35.0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30.0" customHeight="1">
      <c r="A49" s="30" t="s">
        <v>181</v>
      </c>
      <c r="B49" s="57">
        <v>631.0</v>
      </c>
      <c r="C49" s="36">
        <f t="shared" si="1"/>
        <v>73</v>
      </c>
      <c r="D49" s="57">
        <v>2.0</v>
      </c>
      <c r="E49" s="39">
        <f t="shared" si="2"/>
        <v>0</v>
      </c>
      <c r="F49" s="41">
        <f t="shared" si="3"/>
        <v>0.003169572108</v>
      </c>
      <c r="G49" s="51">
        <v>17.0</v>
      </c>
      <c r="H49" s="51">
        <v>160.0</v>
      </c>
      <c r="I49" s="45" t="str">
        <f>HYPERLINK("https://www.moh.gov.sg/news-highlights/details/five-more-cases-discharged-73-new-cases-of-covid-19-infection-confirmed","Source")</f>
        <v>Source</v>
      </c>
      <c r="J49" s="37"/>
      <c r="K49" s="20"/>
      <c r="L49" s="57">
        <v>558.0</v>
      </c>
      <c r="M49" s="57">
        <v>2.0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30.0" customHeight="1">
      <c r="A50" s="30" t="s">
        <v>184</v>
      </c>
      <c r="B50" s="57">
        <v>606.0</v>
      </c>
      <c r="C50" s="36">
        <f t="shared" si="1"/>
        <v>85</v>
      </c>
      <c r="D50" s="57">
        <v>10.0</v>
      </c>
      <c r="E50" s="39">
        <f t="shared" si="2"/>
        <v>0</v>
      </c>
      <c r="F50" s="41">
        <f t="shared" si="3"/>
        <v>0.01650165017</v>
      </c>
      <c r="G50" s="51" t="s">
        <v>21</v>
      </c>
      <c r="H50" s="51">
        <v>43.0</v>
      </c>
      <c r="I50" s="45" t="str">
        <f>HYPERLINK("https://www.mohfw.gov.in/","Source")</f>
        <v>Source</v>
      </c>
      <c r="J50" s="37"/>
      <c r="K50" s="20"/>
      <c r="L50" s="57">
        <v>521.0</v>
      </c>
      <c r="M50" s="57">
        <v>10.0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27.75" customHeight="1">
      <c r="A51" s="30" t="s">
        <v>186</v>
      </c>
      <c r="B51" s="57">
        <v>557.0</v>
      </c>
      <c r="C51" s="36">
        <f t="shared" si="1"/>
        <v>212</v>
      </c>
      <c r="D51" s="57">
        <v>8.0</v>
      </c>
      <c r="E51" s="39">
        <f t="shared" si="2"/>
        <v>2</v>
      </c>
      <c r="F51" s="41">
        <f t="shared" si="3"/>
        <v>0.01436265709</v>
      </c>
      <c r="G51" s="51" t="s">
        <v>21</v>
      </c>
      <c r="H51" s="51">
        <v>2.0</v>
      </c>
      <c r="I51" s="71" t="str">
        <f>HYPERLINK("https://geosocial.maps.arcgis.com/apps/opsdashboard/index.html#/2c6e932c690d467b85375af52b614472","Source")</f>
        <v>Source</v>
      </c>
      <c r="J51" s="37"/>
      <c r="K51" s="20"/>
      <c r="L51" s="57">
        <v>345.0</v>
      </c>
      <c r="M51" s="57">
        <v>6.0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27.75" customHeight="1">
      <c r="A52" s="30" t="s">
        <v>187</v>
      </c>
      <c r="B52" s="57">
        <v>528.0</v>
      </c>
      <c r="C52" s="36">
        <f t="shared" si="1"/>
        <v>86</v>
      </c>
      <c r="D52" s="57">
        <v>4.0</v>
      </c>
      <c r="E52" s="39">
        <f t="shared" si="2"/>
        <v>1</v>
      </c>
      <c r="F52" s="41">
        <f t="shared" si="3"/>
        <v>0.007575757576</v>
      </c>
      <c r="G52" s="51">
        <v>10.0</v>
      </c>
      <c r="H52" s="51">
        <v>0.0</v>
      </c>
      <c r="I52" s="45" t="str">
        <f>HYPERLINK("https://www.rtvslo.si/zdravje/novice/50-novih-potrjenih-okuzb-peta-smrtna-zrtev-v-sloveniji/518339","Source")</f>
        <v>Source</v>
      </c>
      <c r="J52" s="20"/>
      <c r="K52" s="20"/>
      <c r="L52" s="57">
        <v>442.0</v>
      </c>
      <c r="M52" s="57">
        <v>3.0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30.0" customHeight="1">
      <c r="A53" s="30" t="s">
        <v>188</v>
      </c>
      <c r="B53" s="57">
        <v>526.0</v>
      </c>
      <c r="C53" s="36">
        <f t="shared" si="1"/>
        <v>0</v>
      </c>
      <c r="D53" s="57">
        <v>0.0</v>
      </c>
      <c r="E53" s="39">
        <f t="shared" si="2"/>
        <v>0</v>
      </c>
      <c r="F53" s="41">
        <f t="shared" si="3"/>
        <v>0</v>
      </c>
      <c r="G53" s="51" t="s">
        <v>21</v>
      </c>
      <c r="H53" s="51">
        <v>41.0</v>
      </c>
      <c r="I53" s="45" t="str">
        <f>HYPERLINK("https://twitter.com/MOPHQatar/status/1242512079434715138","Source")</f>
        <v>Source</v>
      </c>
      <c r="J53" s="20"/>
      <c r="K53" s="20"/>
      <c r="L53" s="57">
        <v>526.0</v>
      </c>
      <c r="M53" s="57">
        <v>0.0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27.75" customHeight="1">
      <c r="A54" s="30" t="s">
        <v>160</v>
      </c>
      <c r="B54" s="57">
        <v>502.0</v>
      </c>
      <c r="C54" s="36">
        <f t="shared" si="1"/>
        <v>201</v>
      </c>
      <c r="D54" s="57">
        <v>8.0</v>
      </c>
      <c r="E54" s="39">
        <f t="shared" si="2"/>
        <v>4</v>
      </c>
      <c r="F54" s="41">
        <f t="shared" si="3"/>
        <v>0.01593625498</v>
      </c>
      <c r="G54" s="51" t="s">
        <v>21</v>
      </c>
      <c r="H54" s="51">
        <v>63.0</v>
      </c>
      <c r="I54" s="71" t="str">
        <f>HYPERLINK("https://www.argentina.gob.ar/sites/default/files/25-03-20-reporte-diario-vespertino-covid-19.pdf","Source")</f>
        <v>Source</v>
      </c>
      <c r="J54" s="37"/>
      <c r="K54" s="20"/>
      <c r="L54" s="57">
        <v>301.0</v>
      </c>
      <c r="M54" s="57">
        <v>4.0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30.0" customHeight="1">
      <c r="A55" s="30" t="s">
        <v>156</v>
      </c>
      <c r="B55" s="57">
        <v>480.0</v>
      </c>
      <c r="C55" s="36">
        <f t="shared" si="1"/>
        <v>85</v>
      </c>
      <c r="D55" s="57">
        <v>7.0</v>
      </c>
      <c r="E55" s="39">
        <f t="shared" si="2"/>
        <v>2</v>
      </c>
      <c r="F55" s="41">
        <f t="shared" si="3"/>
        <v>0.01458333333</v>
      </c>
      <c r="G55" s="51">
        <v>9.0</v>
      </c>
      <c r="H55" s="51">
        <v>2.0</v>
      </c>
      <c r="I55" s="71" t="str">
        <f>HYPERLINK("https://rpp.pe/peru/actualidad/coronavirus-en-peru-minuto-a-minuto-cinco-fallecidos-y-397-contagiados-al-noveno-dia-de-estado-de-emergencia-nacional-live-191","Source")</f>
        <v>Source</v>
      </c>
      <c r="J55" s="37"/>
      <c r="K55" s="20"/>
      <c r="L55" s="57">
        <v>395.0</v>
      </c>
      <c r="M55" s="57">
        <v>5.0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30.0" customHeight="1">
      <c r="A56" s="30" t="s">
        <v>189</v>
      </c>
      <c r="B56" s="57">
        <v>475.0</v>
      </c>
      <c r="C56" s="36">
        <f t="shared" si="1"/>
        <v>70</v>
      </c>
      <c r="D56" s="57">
        <v>6.0</v>
      </c>
      <c r="E56" s="39">
        <f t="shared" si="2"/>
        <v>1</v>
      </c>
      <c r="F56" s="41">
        <f t="shared" si="3"/>
        <v>0.01263157895</v>
      </c>
      <c r="G56" s="51">
        <v>7.0</v>
      </c>
      <c r="H56" s="51">
        <v>35.0</v>
      </c>
      <c r="I56" s="71" t="str">
        <f>HYPERLINK("https://twitter.com/SSalud_mx/status/1242979664999534592","Source")</f>
        <v>Source</v>
      </c>
      <c r="J56" s="37"/>
      <c r="K56" s="20"/>
      <c r="L56" s="57">
        <v>405.0</v>
      </c>
      <c r="M56" s="57">
        <v>5.0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30.0" customHeight="1">
      <c r="A57" s="30" t="s">
        <v>190</v>
      </c>
      <c r="B57" s="57">
        <v>442.0</v>
      </c>
      <c r="C57" s="36">
        <f t="shared" si="1"/>
        <v>81</v>
      </c>
      <c r="D57" s="57">
        <v>1.0</v>
      </c>
      <c r="E57" s="39">
        <f t="shared" si="2"/>
        <v>0</v>
      </c>
      <c r="F57" s="41">
        <f t="shared" si="3"/>
        <v>0.002262443439</v>
      </c>
      <c r="G57" s="51">
        <v>6.0</v>
      </c>
      <c r="H57" s="51">
        <v>22.0</v>
      </c>
      <c r="I57" s="45" t="str">
        <f>HYPERLINK("https://www.koronavirus.hr/","Source")</f>
        <v>Source</v>
      </c>
      <c r="J57" s="72"/>
      <c r="K57" s="20"/>
      <c r="L57" s="57">
        <v>361.0</v>
      </c>
      <c r="M57" s="57">
        <v>1.0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30.0" customHeight="1">
      <c r="A58" s="30" t="s">
        <v>191</v>
      </c>
      <c r="B58" s="57">
        <v>419.0</v>
      </c>
      <c r="C58" s="36">
        <f t="shared" si="1"/>
        <v>27</v>
      </c>
      <c r="D58" s="57">
        <v>4.0</v>
      </c>
      <c r="E58" s="39">
        <f t="shared" si="2"/>
        <v>1</v>
      </c>
      <c r="F58" s="41">
        <f t="shared" si="3"/>
        <v>0.009546539379</v>
      </c>
      <c r="G58" s="51">
        <v>3.0</v>
      </c>
      <c r="H58" s="51">
        <v>190.0</v>
      </c>
      <c r="I58" s="45" t="str">
        <f>HYPERLINK("https://www.moh.gov.bh/COVID19","Source")</f>
        <v>Source</v>
      </c>
      <c r="J58" s="72"/>
      <c r="K58" s="20"/>
      <c r="L58" s="57">
        <v>392.0</v>
      </c>
      <c r="M58" s="57">
        <v>3.0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30.0" customHeight="1">
      <c r="A59" s="30" t="s">
        <v>192</v>
      </c>
      <c r="B59" s="57">
        <v>411.0</v>
      </c>
      <c r="C59" s="36">
        <f t="shared" si="1"/>
        <v>24</v>
      </c>
      <c r="D59" s="57">
        <v>4.0</v>
      </c>
      <c r="E59" s="39">
        <f t="shared" si="2"/>
        <v>0</v>
      </c>
      <c r="F59" s="41">
        <f t="shared" si="3"/>
        <v>0.009732360097</v>
      </c>
      <c r="G59" s="51" t="s">
        <v>21</v>
      </c>
      <c r="H59" s="51">
        <v>106.0</v>
      </c>
      <c r="I59" s="71" t="str">
        <f>HYPERLINK("https://www.info.gov.hk/gia/general/202003/25/P2020032500783.htm","Source")</f>
        <v>Source</v>
      </c>
      <c r="J59" s="37"/>
      <c r="K59" s="20"/>
      <c r="L59" s="57">
        <v>387.0</v>
      </c>
      <c r="M59" s="57">
        <v>4.0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30.0" customHeight="1">
      <c r="A60" s="30" t="s">
        <v>193</v>
      </c>
      <c r="B60" s="57">
        <v>404.0</v>
      </c>
      <c r="C60" s="36">
        <f t="shared" si="1"/>
        <v>35</v>
      </c>
      <c r="D60" s="57">
        <v>0.0</v>
      </c>
      <c r="E60" s="39">
        <f t="shared" si="2"/>
        <v>0</v>
      </c>
      <c r="F60" s="41">
        <f t="shared" si="3"/>
        <v>0</v>
      </c>
      <c r="G60" s="51" t="s">
        <v>21</v>
      </c>
      <c r="H60" s="51">
        <v>8.0</v>
      </c>
      <c r="I60" s="71" t="str">
        <f>HYPERLINK("https://www.terviseamet.ee/et/koroonaviirus/koroonakaart","Source")</f>
        <v>Source</v>
      </c>
      <c r="J60" s="37"/>
      <c r="K60" s="20"/>
      <c r="L60" s="57">
        <v>369.0</v>
      </c>
      <c r="M60" s="57">
        <v>0.0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30.0" customHeight="1">
      <c r="A61" s="30" t="s">
        <v>194</v>
      </c>
      <c r="B61" s="57">
        <v>402.0</v>
      </c>
      <c r="C61" s="36">
        <f t="shared" si="1"/>
        <v>36</v>
      </c>
      <c r="D61" s="57">
        <v>20.0</v>
      </c>
      <c r="E61" s="39">
        <f t="shared" si="2"/>
        <v>1</v>
      </c>
      <c r="F61" s="41">
        <f t="shared" si="3"/>
        <v>0.04975124378</v>
      </c>
      <c r="G61" s="51" t="s">
        <v>21</v>
      </c>
      <c r="H61" s="51">
        <v>80.0</v>
      </c>
      <c r="I61" s="71" t="str">
        <f>HYPERLINK("https://www.facebook.com/EgyMohpSpokes/photos/a.526422597694914/1130741050596396/?type=3&amp;theater","Source")</f>
        <v>Source</v>
      </c>
      <c r="J61" s="20"/>
      <c r="K61" s="20"/>
      <c r="L61" s="57">
        <v>366.0</v>
      </c>
      <c r="M61" s="57">
        <v>19.0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30.0" customHeight="1">
      <c r="A62" s="30" t="s">
        <v>195</v>
      </c>
      <c r="B62" s="57">
        <v>392.0</v>
      </c>
      <c r="C62" s="36">
        <f t="shared" si="1"/>
        <v>147</v>
      </c>
      <c r="D62" s="57">
        <v>10.0</v>
      </c>
      <c r="E62" s="39">
        <f t="shared" si="2"/>
        <v>7</v>
      </c>
      <c r="F62" s="41">
        <f t="shared" si="3"/>
        <v>0.02551020408</v>
      </c>
      <c r="G62" s="51" t="s">
        <v>21</v>
      </c>
      <c r="H62" s="51">
        <v>2.0</v>
      </c>
      <c r="I62" s="45" t="str">
        <f>HYPERLINK("https://www.diariolibre.com/actualidad/aumentan-los-casos-de-covid-19-en-el-pais-el-presidente-medina-hablara-este-miercoles-NP17909271","Source")</f>
        <v>Source</v>
      </c>
      <c r="J62" s="55"/>
      <c r="K62" s="20"/>
      <c r="L62" s="57">
        <v>245.0</v>
      </c>
      <c r="M62" s="57">
        <v>3.0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27.75" customHeight="1">
      <c r="A63" s="30" t="s">
        <v>162</v>
      </c>
      <c r="B63" s="57">
        <v>378.0</v>
      </c>
      <c r="C63" s="36">
        <f t="shared" si="1"/>
        <v>72</v>
      </c>
      <c r="D63" s="57">
        <v>3.0</v>
      </c>
      <c r="E63" s="39">
        <f t="shared" si="2"/>
        <v>0</v>
      </c>
      <c r="F63" s="41">
        <f t="shared" si="3"/>
        <v>0.007936507937</v>
      </c>
      <c r="G63" s="51" t="s">
        <v>21</v>
      </c>
      <c r="H63" s="51">
        <v>6.0</v>
      </c>
      <c r="I63" s="71" t="str">
        <f>HYPERLINK("https://twitter.com/MinSaludCol/status/1242572459259371522","Source")</f>
        <v>Source</v>
      </c>
      <c r="J63" s="20"/>
      <c r="K63" s="20"/>
      <c r="L63" s="57">
        <v>306.0</v>
      </c>
      <c r="M63" s="57">
        <v>3.0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30.0" customHeight="1">
      <c r="A64" s="30" t="s">
        <v>196</v>
      </c>
      <c r="B64" s="57">
        <v>333.0</v>
      </c>
      <c r="C64" s="36">
        <f t="shared" si="1"/>
        <v>66</v>
      </c>
      <c r="D64" s="57">
        <v>4.0</v>
      </c>
      <c r="E64" s="39">
        <f t="shared" si="2"/>
        <v>0</v>
      </c>
      <c r="F64" s="41">
        <f t="shared" si="3"/>
        <v>0.01201201201</v>
      </c>
      <c r="G64" s="51">
        <v>2.0</v>
      </c>
      <c r="H64" s="51">
        <v>3.0</v>
      </c>
      <c r="I64" s="45" t="str">
        <f>HYPERLINK("https://maps.moph.gov.lb/portal/apps/opsdashboard/index.html?fbclid=IwAR16xBrtR1w9HaYhO1_aHHOR2zyN1W5p_vezLF_lV3jTqgjphMy95ttgEHw#/d19be998323548278e088076d46d24f8","Source")</f>
        <v>Source</v>
      </c>
      <c r="J64" s="20"/>
      <c r="K64" s="20"/>
      <c r="L64" s="57">
        <v>267.0</v>
      </c>
      <c r="M64" s="57">
        <v>4.0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30.0" customHeight="1">
      <c r="A65" s="30" t="s">
        <v>197</v>
      </c>
      <c r="B65" s="57">
        <v>316.0</v>
      </c>
      <c r="C65" s="36">
        <f t="shared" si="1"/>
        <v>50</v>
      </c>
      <c r="D65" s="57">
        <v>27.0</v>
      </c>
      <c r="E65" s="39">
        <f t="shared" si="2"/>
        <v>4</v>
      </c>
      <c r="F65" s="41">
        <f t="shared" si="3"/>
        <v>0.08544303797</v>
      </c>
      <c r="G65" s="51" t="s">
        <v>21</v>
      </c>
      <c r="H65" s="51">
        <v>75.0</v>
      </c>
      <c r="I65" s="45" t="str">
        <f>HYPERLINK("https://www.facebook.com/MOH.GOV.IQ/photos/a.860171854037214/2823023561085357/?type=3&amp;theater","Source")</f>
        <v>Source</v>
      </c>
      <c r="J65" s="20"/>
      <c r="K65" s="20"/>
      <c r="L65" s="57">
        <v>266.0</v>
      </c>
      <c r="M65" s="57">
        <v>23.0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27.75" customHeight="1">
      <c r="A66" s="30" t="s">
        <v>198</v>
      </c>
      <c r="B66" s="57">
        <v>303.0</v>
      </c>
      <c r="C66" s="36">
        <f t="shared" si="1"/>
        <v>54</v>
      </c>
      <c r="D66" s="57">
        <v>1.0</v>
      </c>
      <c r="E66" s="39">
        <f t="shared" si="2"/>
        <v>1</v>
      </c>
      <c r="F66" s="41">
        <f t="shared" si="3"/>
        <v>0.003300330033</v>
      </c>
      <c r="G66" s="51">
        <v>1.0</v>
      </c>
      <c r="H66" s="51"/>
      <c r="I66" s="45" t="str">
        <f>HYPERLINK("https://covid19.rs/homepage-english/","Source")</f>
        <v>Source</v>
      </c>
      <c r="J66" s="20"/>
      <c r="K66" s="20"/>
      <c r="L66" s="57">
        <v>249.0</v>
      </c>
      <c r="M66" s="57">
        <v>0.0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30.0" customHeight="1">
      <c r="A67" s="30" t="s">
        <v>199</v>
      </c>
      <c r="B67" s="57">
        <v>283.0</v>
      </c>
      <c r="C67" s="36">
        <f t="shared" si="1"/>
        <v>78</v>
      </c>
      <c r="D67" s="57">
        <v>0.0</v>
      </c>
      <c r="E67" s="39">
        <f t="shared" si="2"/>
        <v>0</v>
      </c>
      <c r="F67" s="41">
        <f t="shared" si="3"/>
        <v>0</v>
      </c>
      <c r="G67" s="51">
        <v>0.0</v>
      </c>
      <c r="H67" s="51">
        <v>27.0</v>
      </c>
      <c r="I67" s="45" t="str">
        <f>HYPERLINK("https://www.youtube.com/watch?v=m5OrzviGNds","Source")</f>
        <v>Source</v>
      </c>
      <c r="J67" s="37"/>
      <c r="K67" s="20"/>
      <c r="L67" s="57">
        <v>205.0</v>
      </c>
      <c r="M67" s="57">
        <v>0.0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30.0" customHeight="1">
      <c r="A68" s="30" t="s">
        <v>200</v>
      </c>
      <c r="B68" s="57">
        <v>266.0</v>
      </c>
      <c r="C68" s="36">
        <f t="shared" si="1"/>
        <v>31</v>
      </c>
      <c r="D68" s="57">
        <v>0.0</v>
      </c>
      <c r="E68" s="39">
        <f t="shared" si="2"/>
        <v>0</v>
      </c>
      <c r="F68" s="41">
        <f t="shared" si="3"/>
        <v>0</v>
      </c>
      <c r="G68" s="51">
        <v>0.0</v>
      </c>
      <c r="H68" s="51">
        <v>2.0</v>
      </c>
      <c r="I68" s="45" t="str">
        <f>HYPERLINK("https://news.am/eng/news/568153.html","Source")</f>
        <v>Source</v>
      </c>
      <c r="J68" s="20"/>
      <c r="K68" s="20"/>
      <c r="L68" s="57">
        <v>235.0</v>
      </c>
      <c r="M68" s="57">
        <v>0.0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30.0" customHeight="1">
      <c r="A69" s="30" t="s">
        <v>201</v>
      </c>
      <c r="B69" s="57">
        <v>264.0</v>
      </c>
      <c r="C69" s="36">
        <f t="shared" si="1"/>
        <v>34</v>
      </c>
      <c r="D69" s="57">
        <v>19.0</v>
      </c>
      <c r="E69" s="39">
        <f t="shared" si="2"/>
        <v>2</v>
      </c>
      <c r="F69" s="41">
        <f t="shared" si="3"/>
        <v>0.07196969697</v>
      </c>
      <c r="G69" s="51" t="s">
        <v>21</v>
      </c>
      <c r="H69" s="51">
        <v>10.0</v>
      </c>
      <c r="I69" s="45" t="str">
        <f>HYPERLINK("http://www.aps.dz/en/health-science-technology/33708-coronavirus-34-further-cases-confirmed-including-two-deaths-in-algeria","Source")</f>
        <v>Source</v>
      </c>
      <c r="J69" s="20"/>
      <c r="K69" s="20"/>
      <c r="L69" s="57">
        <v>230.0</v>
      </c>
      <c r="M69" s="57">
        <v>17.0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30.0" customHeight="1">
      <c r="A70" s="30" t="s">
        <v>202</v>
      </c>
      <c r="B70" s="57">
        <v>255.0</v>
      </c>
      <c r="C70" s="36">
        <f t="shared" si="1"/>
        <v>68</v>
      </c>
      <c r="D70" s="57">
        <v>2.0</v>
      </c>
      <c r="E70" s="39">
        <f t="shared" si="2"/>
        <v>1</v>
      </c>
      <c r="F70" s="41">
        <f t="shared" si="3"/>
        <v>0.007843137255</v>
      </c>
      <c r="G70" s="51" t="s">
        <v>21</v>
      </c>
      <c r="H70" s="51">
        <v>1.0</v>
      </c>
      <c r="I70" s="45" t="str">
        <f>HYPERLINK("http://sam.lrv.lt/koronavirusas","Source")</f>
        <v>Source</v>
      </c>
      <c r="J70" s="54"/>
      <c r="K70" s="20"/>
      <c r="L70" s="57">
        <v>187.0</v>
      </c>
      <c r="M70" s="57">
        <v>1.0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30.0" customHeight="1">
      <c r="A71" s="30" t="s">
        <v>203</v>
      </c>
      <c r="B71" s="57">
        <v>248.0</v>
      </c>
      <c r="C71" s="36">
        <f t="shared" si="1"/>
        <v>0</v>
      </c>
      <c r="D71" s="57">
        <v>2.0</v>
      </c>
      <c r="E71" s="39">
        <f t="shared" si="2"/>
        <v>0</v>
      </c>
      <c r="F71" s="41">
        <f t="shared" si="3"/>
        <v>0.008064516129</v>
      </c>
      <c r="G71" s="51">
        <v>2.0</v>
      </c>
      <c r="H71" s="51">
        <v>45.0</v>
      </c>
      <c r="I71" s="45" t="str">
        <f>HYPERLINK("https://twitter.com/mohapuae/status/1242489370885619712","Source")</f>
        <v>Source</v>
      </c>
      <c r="J71" s="20"/>
      <c r="K71" s="20"/>
      <c r="L71" s="57">
        <v>248.0</v>
      </c>
      <c r="M71" s="57">
        <v>2.0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30.0" customHeight="1">
      <c r="A72" s="30" t="s">
        <v>204</v>
      </c>
      <c r="B72" s="57">
        <v>235.0</v>
      </c>
      <c r="C72" s="36">
        <f t="shared" si="1"/>
        <v>20</v>
      </c>
      <c r="D72" s="57">
        <v>2.0</v>
      </c>
      <c r="E72" s="39">
        <f t="shared" si="2"/>
        <v>0</v>
      </c>
      <c r="F72" s="41">
        <f t="shared" si="3"/>
        <v>0.008510638298</v>
      </c>
      <c r="G72" s="51">
        <v>0.0</v>
      </c>
      <c r="H72" s="51">
        <v>29.0</v>
      </c>
      <c r="I72" s="45" t="str">
        <f>HYPERLINK("https://www.cdc.gov.tw/Bulletin/Detail/K_PYDjL4vD_ca3rZcA5aew?typeid=9","Source")</f>
        <v>Source</v>
      </c>
      <c r="J72" s="20"/>
      <c r="K72" s="20"/>
      <c r="L72" s="57">
        <v>215.0</v>
      </c>
      <c r="M72" s="57">
        <v>2.0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30.0" customHeight="1">
      <c r="A73" s="30" t="s">
        <v>205</v>
      </c>
      <c r="B73" s="57">
        <v>226.0</v>
      </c>
      <c r="C73" s="36">
        <f t="shared" si="1"/>
        <v>39</v>
      </c>
      <c r="D73" s="57">
        <v>10.0</v>
      </c>
      <c r="E73" s="39">
        <f t="shared" si="2"/>
        <v>2</v>
      </c>
      <c r="F73" s="41">
        <f t="shared" si="3"/>
        <v>0.04424778761</v>
      </c>
      <c r="G73" s="51" t="s">
        <v>21</v>
      </c>
      <c r="H73" s="51">
        <v>21.0</v>
      </c>
      <c r="I73" s="45" t="str">
        <f>HYPERLINK("https://koronavirus.gov.hu/#aktualis","Source")</f>
        <v>Source</v>
      </c>
      <c r="J73" s="20"/>
      <c r="K73" s="20"/>
      <c r="L73" s="57">
        <v>187.0</v>
      </c>
      <c r="M73" s="57">
        <v>8.0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30.0" customHeight="1">
      <c r="A74" s="30" t="s">
        <v>206</v>
      </c>
      <c r="B74" s="57">
        <v>225.0</v>
      </c>
      <c r="C74" s="36">
        <f t="shared" si="1"/>
        <v>82</v>
      </c>
      <c r="D74" s="57">
        <v>6.0</v>
      </c>
      <c r="E74" s="39">
        <f t="shared" si="2"/>
        <v>2</v>
      </c>
      <c r="F74" s="41">
        <f t="shared" si="3"/>
        <v>0.02666666667</v>
      </c>
      <c r="G74" s="51" t="s">
        <v>21</v>
      </c>
      <c r="H74" s="51">
        <v>7.0</v>
      </c>
      <c r="I74" s="45" t="str">
        <f>HYPERLINK("http://www.covidmaroc.ma/Pages/AccueilAR.aspx","Source")</f>
        <v>Source</v>
      </c>
      <c r="J74" s="37"/>
      <c r="K74" s="20"/>
      <c r="L74" s="57">
        <v>143.0</v>
      </c>
      <c r="M74" s="57">
        <v>4.0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30.0" customHeight="1">
      <c r="A75" s="30" t="s">
        <v>207</v>
      </c>
      <c r="B75" s="57">
        <v>221.0</v>
      </c>
      <c r="C75" s="36">
        <f t="shared" si="1"/>
        <v>24</v>
      </c>
      <c r="D75" s="57">
        <v>0.0</v>
      </c>
      <c r="E75" s="39">
        <f t="shared" si="2"/>
        <v>0</v>
      </c>
      <c r="F75" s="41">
        <f t="shared" si="3"/>
        <v>0</v>
      </c>
      <c r="G75" s="51" t="s">
        <v>21</v>
      </c>
      <c r="H75" s="51" t="s">
        <v>21</v>
      </c>
      <c r="I75" s="45" t="str">
        <f>HYPERLINK("https://twitter.com/SPKCentrs/status/1242729693033488386","Source")</f>
        <v>Source</v>
      </c>
      <c r="J75" s="20"/>
      <c r="K75" s="20"/>
      <c r="L75" s="57">
        <v>197.0</v>
      </c>
      <c r="M75" s="57">
        <v>0.0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30.0" customHeight="1">
      <c r="A76" s="30" t="s">
        <v>208</v>
      </c>
      <c r="B76" s="57">
        <v>220.0</v>
      </c>
      <c r="C76" s="36">
        <f t="shared" si="1"/>
        <v>19</v>
      </c>
      <c r="D76" s="57">
        <v>3.0</v>
      </c>
      <c r="E76" s="39">
        <f t="shared" si="2"/>
        <v>0</v>
      </c>
      <c r="F76" s="41">
        <f t="shared" si="3"/>
        <v>0.01363636364</v>
      </c>
      <c r="G76" s="51">
        <v>2.0</v>
      </c>
      <c r="H76" s="51">
        <v>3.0</v>
      </c>
      <c r="I76" s="45" t="str">
        <f>HYPERLINK("http://www.mh.government.bg/bg/novini/aktualno/220-sa-sluchaite-na-covid-19-potvrdeni-v-blgariya/","Source")</f>
        <v>Source</v>
      </c>
      <c r="J76" s="20"/>
      <c r="K76" s="20"/>
      <c r="L76" s="57">
        <v>201.0</v>
      </c>
      <c r="M76" s="57">
        <v>3.0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30.0" customHeight="1">
      <c r="A77" s="30" t="s">
        <v>209</v>
      </c>
      <c r="B77" s="57">
        <v>216.0</v>
      </c>
      <c r="C77" s="36">
        <f t="shared" si="1"/>
        <v>30</v>
      </c>
      <c r="D77" s="57">
        <v>0.0</v>
      </c>
      <c r="E77" s="39">
        <f t="shared" si="2"/>
        <v>0</v>
      </c>
      <c r="F77" s="41">
        <f t="shared" si="3"/>
        <v>0</v>
      </c>
      <c r="G77" s="51" t="s">
        <v>21</v>
      </c>
      <c r="H77" s="51" t="s">
        <v>21</v>
      </c>
      <c r="I77" s="45" t="str">
        <f>HYPERLINK("https://www.korona.gov.sk/","Source")</f>
        <v>Source</v>
      </c>
      <c r="J77" s="20"/>
      <c r="K77" s="20"/>
      <c r="L77" s="57">
        <v>186.0</v>
      </c>
      <c r="M77" s="57">
        <v>0.0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30.0" customHeight="1">
      <c r="A78" s="30" t="s">
        <v>210</v>
      </c>
      <c r="B78" s="57">
        <v>208.0</v>
      </c>
      <c r="C78" s="36">
        <f t="shared" si="1"/>
        <v>21</v>
      </c>
      <c r="D78" s="57">
        <v>21.0</v>
      </c>
      <c r="E78" s="39">
        <f t="shared" si="2"/>
        <v>1</v>
      </c>
      <c r="F78" s="41">
        <f t="shared" si="3"/>
        <v>0.1009615385</v>
      </c>
      <c r="G78" s="51">
        <v>12.0</v>
      </c>
      <c r="H78" s="51">
        <v>4.0</v>
      </c>
      <c r="I78" s="45" t="str">
        <f>HYPERLINK("http://www.iss.sm/on-line/home/articolo49014169.html","Source")</f>
        <v>Source</v>
      </c>
      <c r="J78" s="84"/>
      <c r="K78" s="20"/>
      <c r="L78" s="57">
        <v>187.0</v>
      </c>
      <c r="M78" s="57">
        <v>20.0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30.0" customHeight="1">
      <c r="A79" s="30" t="s">
        <v>211</v>
      </c>
      <c r="B79" s="57">
        <v>195.0</v>
      </c>
      <c r="C79" s="36">
        <f t="shared" si="1"/>
        <v>4</v>
      </c>
      <c r="D79" s="57">
        <v>0.0</v>
      </c>
      <c r="E79" s="39">
        <f t="shared" si="2"/>
        <v>0</v>
      </c>
      <c r="F79" s="41">
        <f t="shared" si="3"/>
        <v>0</v>
      </c>
      <c r="G79" s="51">
        <v>5.0</v>
      </c>
      <c r="H79" s="51">
        <v>39.0</v>
      </c>
      <c r="I79" s="45" t="str">
        <f>HYPERLINK("https://twitter.com/KUWAIT_MOH/status/1242362201358376960","Source")</f>
        <v>Source</v>
      </c>
      <c r="J79" s="20"/>
      <c r="K79" s="20"/>
      <c r="L79" s="57">
        <v>191.0</v>
      </c>
      <c r="M79" s="57">
        <v>0.0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30.0" customHeight="1">
      <c r="A80" s="30" t="s">
        <v>164</v>
      </c>
      <c r="B80" s="57">
        <v>189.0</v>
      </c>
      <c r="C80" s="36">
        <f t="shared" si="1"/>
        <v>27</v>
      </c>
      <c r="D80" s="57">
        <v>0.0</v>
      </c>
      <c r="E80" s="39">
        <f t="shared" si="2"/>
        <v>0</v>
      </c>
      <c r="F80" s="41">
        <f t="shared" si="3"/>
        <v>0</v>
      </c>
      <c r="G80" s="51">
        <v>1.0</v>
      </c>
      <c r="H80" s="51">
        <v>2.0</v>
      </c>
      <c r="I80" s="45" t="str">
        <f>HYPERLINK("https://twitter.com/MSPUruguay/status/1242613620535635970","Source")</f>
        <v>Source</v>
      </c>
      <c r="J80" s="20"/>
      <c r="K80" s="20"/>
      <c r="L80" s="57">
        <v>162.0</v>
      </c>
      <c r="M80" s="57">
        <v>0.0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30.0" customHeight="1">
      <c r="A81" s="30" t="s">
        <v>212</v>
      </c>
      <c r="B81" s="57">
        <v>188.0</v>
      </c>
      <c r="C81" s="36">
        <f t="shared" si="1"/>
        <v>55</v>
      </c>
      <c r="D81" s="57">
        <v>0.0</v>
      </c>
      <c r="E81" s="39">
        <f t="shared" si="2"/>
        <v>0</v>
      </c>
      <c r="F81" s="41">
        <f t="shared" si="3"/>
        <v>0</v>
      </c>
      <c r="G81" s="51">
        <v>3.0</v>
      </c>
      <c r="H81" s="51">
        <v>2.0</v>
      </c>
      <c r="I81" s="45" t="str">
        <f>HYPERLINK("https://www.govern.ad/coronavirus","Source")</f>
        <v>Source</v>
      </c>
      <c r="J81" s="37"/>
      <c r="K81" s="20"/>
      <c r="L81" s="57">
        <v>133.0</v>
      </c>
      <c r="M81" s="57">
        <v>0.0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30.0" customHeight="1">
      <c r="A82" s="30" t="s">
        <v>213</v>
      </c>
      <c r="B82" s="57">
        <v>177.0</v>
      </c>
      <c r="C82" s="36">
        <f t="shared" si="1"/>
        <v>41</v>
      </c>
      <c r="D82" s="57">
        <v>2.0</v>
      </c>
      <c r="E82" s="39">
        <f t="shared" si="2"/>
        <v>0</v>
      </c>
      <c r="F82" s="41">
        <f t="shared" si="3"/>
        <v>0.01129943503</v>
      </c>
      <c r="G82" s="51">
        <v>0.0</v>
      </c>
      <c r="H82" s="51">
        <v>1.0</v>
      </c>
      <c r="I82" s="45" t="str">
        <f>HYPERLINK("https://twitter.com/ZdravstvoMK/status/1242776251422707712","Source")</f>
        <v>Source</v>
      </c>
      <c r="J82" s="20"/>
      <c r="K82" s="20"/>
      <c r="L82" s="57">
        <v>136.0</v>
      </c>
      <c r="M82" s="57">
        <v>2.0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30.0" customHeight="1">
      <c r="A83" s="30" t="s">
        <v>163</v>
      </c>
      <c r="B83" s="57">
        <v>177.0</v>
      </c>
      <c r="C83" s="36">
        <f t="shared" si="1"/>
        <v>19</v>
      </c>
      <c r="D83" s="57">
        <v>2.0</v>
      </c>
      <c r="E83" s="39">
        <f t="shared" si="2"/>
        <v>0</v>
      </c>
      <c r="F83" s="41">
        <f t="shared" si="3"/>
        <v>0.01129943503</v>
      </c>
      <c r="G83" s="51" t="s">
        <v>21</v>
      </c>
      <c r="H83" s="51">
        <v>2.0</v>
      </c>
      <c r="I83" s="45" t="str">
        <f>HYPERLINK("https://twitter.com/msaludcr/status/1242539859929112579","Source")</f>
        <v>Source</v>
      </c>
      <c r="J83" s="20"/>
      <c r="K83" s="20"/>
      <c r="L83" s="57">
        <v>158.0</v>
      </c>
      <c r="M83" s="57">
        <v>2.0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27.75" customHeight="1">
      <c r="A84" s="30" t="s">
        <v>214</v>
      </c>
      <c r="B84" s="57">
        <v>168.0</v>
      </c>
      <c r="C84" s="36">
        <f t="shared" si="1"/>
        <v>31</v>
      </c>
      <c r="D84" s="57">
        <v>3.0</v>
      </c>
      <c r="E84" s="39">
        <f t="shared" si="2"/>
        <v>2</v>
      </c>
      <c r="F84" s="41">
        <f t="shared" si="3"/>
        <v>0.01785714286</v>
      </c>
      <c r="G84" s="51" t="s">
        <v>21</v>
      </c>
      <c r="H84" s="51">
        <v>2.0</v>
      </c>
      <c r="I84" s="45" t="str">
        <f>HYPERLINK("https://www.klix.ba/vijesti/bih/u-29-mjesta-u-bih-potvrdjen-je-koronavirus-hoce-li-nadlezni-konacno-staviti-gradove-u-karantine/200325061","Source")</f>
        <v>Source</v>
      </c>
      <c r="J84" s="20"/>
      <c r="K84" s="20"/>
      <c r="L84" s="57">
        <v>137.0</v>
      </c>
      <c r="M84" s="57">
        <v>1.0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30.0" customHeight="1">
      <c r="A85" s="30" t="s">
        <v>215</v>
      </c>
      <c r="B85" s="57">
        <v>153.0</v>
      </c>
      <c r="C85" s="36">
        <f t="shared" si="1"/>
        <v>26</v>
      </c>
      <c r="D85" s="57">
        <v>0.0</v>
      </c>
      <c r="E85" s="39">
        <f t="shared" si="2"/>
        <v>0</v>
      </c>
      <c r="F85" s="41">
        <f t="shared" si="3"/>
        <v>0</v>
      </c>
      <c r="G85" s="51" t="s">
        <v>21</v>
      </c>
      <c r="H85" s="51">
        <v>1.0</v>
      </c>
      <c r="I85" s="45" t="str">
        <f>HYPERLINK("https://corona.moh.gov.jo/ar","Source")</f>
        <v>Source</v>
      </c>
      <c r="J85" s="20"/>
      <c r="K85" s="20"/>
      <c r="L85" s="57">
        <v>127.0</v>
      </c>
      <c r="M85" s="57">
        <v>0.0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27.75" customHeight="1">
      <c r="A86" s="30" t="s">
        <v>216</v>
      </c>
      <c r="B86" s="57">
        <v>149.0</v>
      </c>
      <c r="C86" s="36">
        <f t="shared" si="1"/>
        <v>40</v>
      </c>
      <c r="D86" s="57">
        <v>1.0</v>
      </c>
      <c r="E86" s="39">
        <f t="shared" si="2"/>
        <v>0</v>
      </c>
      <c r="F86" s="41">
        <f t="shared" si="3"/>
        <v>0.006711409396</v>
      </c>
      <c r="G86" s="51" t="s">
        <v>21</v>
      </c>
      <c r="H86" s="51">
        <v>2.0</v>
      </c>
      <c r="I86" s="45" t="str">
        <f>HYPERLINK("https://gismoldova.maps.arcgis.com/apps/opsdashboard/index.html#/d274da857ed345efa66e1fbc959b021b","Source")</f>
        <v>Source</v>
      </c>
      <c r="J86" s="37"/>
      <c r="K86" s="20"/>
      <c r="L86" s="57">
        <v>109.0</v>
      </c>
      <c r="M86" s="57">
        <v>1.0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30.0" customHeight="1">
      <c r="A87" s="30" t="s">
        <v>217</v>
      </c>
      <c r="B87" s="57">
        <v>148.0</v>
      </c>
      <c r="C87" s="36">
        <f t="shared" si="1"/>
        <v>14</v>
      </c>
      <c r="D87" s="57">
        <v>0.0</v>
      </c>
      <c r="E87" s="39">
        <f t="shared" si="2"/>
        <v>0</v>
      </c>
      <c r="F87" s="41">
        <f t="shared" si="3"/>
        <v>0</v>
      </c>
      <c r="G87" s="51" t="s">
        <v>21</v>
      </c>
      <c r="H87" s="51">
        <v>17.0</v>
      </c>
      <c r="I87" s="45" t="str">
        <f>HYPERLINK("http://news.chinhphu.vn/Home/Seven-more-COVID19-infections-confirmed-total-increases-to-148/20203/39388.vgp","Source")</f>
        <v>Source</v>
      </c>
      <c r="J87" s="37"/>
      <c r="K87" s="20"/>
      <c r="L87" s="57">
        <v>134.0</v>
      </c>
      <c r="M87" s="57">
        <v>0.0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30.0" customHeight="1">
      <c r="A88" s="30" t="s">
        <v>218</v>
      </c>
      <c r="B88" s="57">
        <v>146.0</v>
      </c>
      <c r="C88" s="36">
        <f t="shared" si="1"/>
        <v>42</v>
      </c>
      <c r="D88" s="57">
        <v>4.0</v>
      </c>
      <c r="E88" s="39">
        <f t="shared" si="2"/>
        <v>0</v>
      </c>
      <c r="F88" s="41">
        <f t="shared" si="3"/>
        <v>0.02739726027</v>
      </c>
      <c r="G88" s="51">
        <v>4.0</v>
      </c>
      <c r="H88" s="51">
        <v>17.0</v>
      </c>
      <c r="I88" s="45" t="str">
        <f>HYPERLINK("https://shendetesia.gov.al/ministria-e-shendetesise-23-raste-te-reja-ne-24-ore-146-te-prekur-nga-covid-19/","Source")</f>
        <v>Source</v>
      </c>
      <c r="J88" s="20"/>
      <c r="K88" s="20"/>
      <c r="L88" s="57">
        <v>104.0</v>
      </c>
      <c r="M88" s="57">
        <v>4.0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27.75" customHeight="1">
      <c r="A89" s="30" t="s">
        <v>219</v>
      </c>
      <c r="B89" s="57">
        <v>129.0</v>
      </c>
      <c r="C89" s="36">
        <f t="shared" si="1"/>
        <v>22</v>
      </c>
      <c r="D89" s="57">
        <v>0.0</v>
      </c>
      <c r="E89" s="39">
        <f t="shared" si="2"/>
        <v>0</v>
      </c>
      <c r="F89" s="41">
        <f t="shared" si="3"/>
        <v>0</v>
      </c>
      <c r="G89" s="51">
        <v>1.0</v>
      </c>
      <c r="H89" s="51">
        <v>2.0</v>
      </c>
      <c r="I89" s="45" t="str">
        <f>HYPERLINK("https://timesofmalta.com/articles/view/watch-live-19-new-cases-of-coronavirus-bringing-total-to-129.780815","Source")</f>
        <v>Source</v>
      </c>
      <c r="J89" s="20"/>
      <c r="K89" s="20"/>
      <c r="L89" s="57">
        <v>107.0</v>
      </c>
      <c r="M89" s="57">
        <v>0.0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30.0" customHeight="1">
      <c r="A90" s="30" t="s">
        <v>220</v>
      </c>
      <c r="B90" s="57">
        <v>124.0</v>
      </c>
      <c r="C90" s="36">
        <f t="shared" si="1"/>
        <v>8</v>
      </c>
      <c r="D90" s="57">
        <v>3.0</v>
      </c>
      <c r="E90" s="39">
        <f t="shared" si="2"/>
        <v>2</v>
      </c>
      <c r="F90" s="41">
        <f t="shared" si="3"/>
        <v>0.02419354839</v>
      </c>
      <c r="G90" s="51">
        <v>7.0</v>
      </c>
      <c r="H90" s="51">
        <v>1.0</v>
      </c>
      <c r="I90" s="45" t="str">
        <f>HYPERLINK("https://in-cyprus.philenews.com/coronavirus-two-dead-another-eight-test-positive-brings-total-to-124/","Source")</f>
        <v>Source</v>
      </c>
      <c r="J90" s="20"/>
      <c r="K90" s="20"/>
      <c r="L90" s="57">
        <v>116.0</v>
      </c>
      <c r="M90" s="57">
        <v>1.0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27.75" customHeight="1">
      <c r="A91" s="30" t="s">
        <v>221</v>
      </c>
      <c r="B91" s="57">
        <v>114.0</v>
      </c>
      <c r="C91" s="36">
        <f t="shared" si="1"/>
        <v>15</v>
      </c>
      <c r="D91" s="57">
        <v>4.0</v>
      </c>
      <c r="E91" s="39">
        <f t="shared" si="2"/>
        <v>0</v>
      </c>
      <c r="F91" s="41">
        <f t="shared" si="3"/>
        <v>0.0350877193</v>
      </c>
      <c r="G91" s="51" t="s">
        <v>21</v>
      </c>
      <c r="H91" s="51">
        <v>7.0</v>
      </c>
      <c r="I91" s="45" t="str">
        <f>HYPERLINK("https://lefaso.net/spip.php?article95683","Source")</f>
        <v>Source</v>
      </c>
      <c r="J91" s="20"/>
      <c r="K91" s="20"/>
      <c r="L91" s="57">
        <v>99.0</v>
      </c>
      <c r="M91" s="57">
        <v>4.0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30.0" customHeight="1">
      <c r="A92" s="30" t="s">
        <v>222</v>
      </c>
      <c r="B92" s="57">
        <v>114.0</v>
      </c>
      <c r="C92" s="36">
        <f t="shared" si="1"/>
        <v>25</v>
      </c>
      <c r="D92" s="57">
        <v>3.0</v>
      </c>
      <c r="E92" s="39">
        <f t="shared" si="2"/>
        <v>0</v>
      </c>
      <c r="F92" s="41">
        <f t="shared" si="3"/>
        <v>0.02631578947</v>
      </c>
      <c r="G92" s="51" t="s">
        <v>21</v>
      </c>
      <c r="H92" s="51">
        <v>1.0</v>
      </c>
      <c r="I92" s="45" t="str">
        <f>HYPERLINK("https://www.facebook.com/santetunisie.rns.tn/photos/a.186499378055841/2975769595795458/?type=3&amp;theater","Source")</f>
        <v>Source</v>
      </c>
      <c r="J92" s="20"/>
      <c r="K92" s="20"/>
      <c r="L92" s="57">
        <v>89.0</v>
      </c>
      <c r="M92" s="57">
        <v>3.0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30.0" customHeight="1">
      <c r="A93" s="30" t="s">
        <v>223</v>
      </c>
      <c r="B93" s="57">
        <v>113.0</v>
      </c>
      <c r="C93" s="36">
        <f t="shared" si="1"/>
        <v>29</v>
      </c>
      <c r="D93" s="57">
        <v>4.0</v>
      </c>
      <c r="E93" s="39">
        <f t="shared" si="2"/>
        <v>1</v>
      </c>
      <c r="F93" s="41">
        <f t="shared" si="3"/>
        <v>0.03539823009</v>
      </c>
      <c r="G93" s="51" t="s">
        <v>21</v>
      </c>
      <c r="H93" s="51">
        <v>1.0</v>
      </c>
      <c r="I93" s="45" t="str">
        <f>HYPERLINK("https://t.me/s/COVID19_Ukraine","Source")</f>
        <v>Source</v>
      </c>
      <c r="J93" s="20"/>
      <c r="K93" s="20"/>
      <c r="L93" s="57">
        <v>84.0</v>
      </c>
      <c r="M93" s="57">
        <v>3.0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30.0" customHeight="1">
      <c r="A94" s="30" t="s">
        <v>224</v>
      </c>
      <c r="B94" s="57">
        <v>109.0</v>
      </c>
      <c r="C94" s="36">
        <f t="shared" si="1"/>
        <v>18</v>
      </c>
      <c r="D94" s="57">
        <v>0.0</v>
      </c>
      <c r="E94" s="39">
        <f t="shared" si="2"/>
        <v>0</v>
      </c>
      <c r="F94" s="41">
        <f t="shared" si="3"/>
        <v>0</v>
      </c>
      <c r="G94" s="51" t="s">
        <v>21</v>
      </c>
      <c r="H94" s="51">
        <v>2.0</v>
      </c>
      <c r="I94" s="45" t="str">
        <f>HYPERLINK("https://www.healthinfo.gov.bn/covid19/#/home","Source")</f>
        <v>Source</v>
      </c>
      <c r="J94" s="37"/>
      <c r="K94" s="20"/>
      <c r="L94" s="57">
        <v>91.0</v>
      </c>
      <c r="M94" s="57">
        <v>0.0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30.0" customHeight="1">
      <c r="A95" s="30" t="s">
        <v>225</v>
      </c>
      <c r="B95" s="57">
        <v>102.0</v>
      </c>
      <c r="C95" s="36">
        <f t="shared" si="1"/>
        <v>5</v>
      </c>
      <c r="D95" s="57">
        <v>0.0</v>
      </c>
      <c r="E95" s="39">
        <f t="shared" si="2"/>
        <v>0</v>
      </c>
      <c r="F95" s="41">
        <f t="shared" si="3"/>
        <v>0</v>
      </c>
      <c r="G95" s="51" t="s">
        <v>21</v>
      </c>
      <c r="H95" s="51">
        <v>3.0</v>
      </c>
      <c r="I95" s="45" t="str">
        <f>HYPERLINK("https://hpb.health.gov.lk/en","Source")</f>
        <v>Source</v>
      </c>
      <c r="J95" s="37"/>
      <c r="K95" s="20"/>
      <c r="L95" s="57">
        <v>97.0</v>
      </c>
      <c r="M95" s="57">
        <v>0.0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30.0" customHeight="1">
      <c r="A96" s="30" t="s">
        <v>226</v>
      </c>
      <c r="B96" s="57">
        <v>99.0</v>
      </c>
      <c r="C96" s="36">
        <f t="shared" si="1"/>
        <v>15</v>
      </c>
      <c r="D96" s="57">
        <v>0.0</v>
      </c>
      <c r="E96" s="39">
        <f t="shared" si="2"/>
        <v>0</v>
      </c>
      <c r="F96" s="41">
        <f t="shared" si="3"/>
        <v>0</v>
      </c>
      <c r="G96" s="51">
        <v>0.0</v>
      </c>
      <c r="H96" s="51">
        <v>17.0</v>
      </c>
      <c r="I96" s="45" t="str">
        <f>HYPERLINK("https://covid19.moh.gov.om/#/home","Source")</f>
        <v>Source</v>
      </c>
      <c r="J96" s="72"/>
      <c r="K96" s="20"/>
      <c r="L96" s="57">
        <v>84.0</v>
      </c>
      <c r="M96" s="57">
        <v>0.0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30.0" customHeight="1">
      <c r="A97" s="30" t="s">
        <v>227</v>
      </c>
      <c r="B97" s="57">
        <v>99.0</v>
      </c>
      <c r="C97" s="36">
        <f t="shared" si="1"/>
        <v>20</v>
      </c>
      <c r="D97" s="57">
        <v>0.0</v>
      </c>
      <c r="E97" s="39">
        <f t="shared" si="2"/>
        <v>0</v>
      </c>
      <c r="F97" s="41">
        <f t="shared" si="3"/>
        <v>0</v>
      </c>
      <c r="G97" s="51" t="s">
        <v>21</v>
      </c>
      <c r="H97" s="51">
        <v>9.0</v>
      </c>
      <c r="I97" s="45" t="str">
        <f>HYPERLINK("https://twitter.com/MinisteredelaS1/status/1242756162845622272","Source")</f>
        <v>Source</v>
      </c>
      <c r="J97" s="20"/>
      <c r="K97" s="20"/>
      <c r="L97" s="57">
        <v>79.0</v>
      </c>
      <c r="M97" s="57">
        <v>0.0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30.0" customHeight="1">
      <c r="A98" s="30" t="s">
        <v>228</v>
      </c>
      <c r="B98" s="57">
        <v>93.0</v>
      </c>
      <c r="C98" s="36">
        <f t="shared" si="1"/>
        <v>6</v>
      </c>
      <c r="D98" s="57">
        <v>0.0</v>
      </c>
      <c r="E98" s="39">
        <f t="shared" si="2"/>
        <v>0</v>
      </c>
      <c r="F98" s="41">
        <f t="shared" si="3"/>
        <v>0</v>
      </c>
      <c r="G98" s="51" t="s">
        <v>21</v>
      </c>
      <c r="H98" s="51">
        <v>2.0</v>
      </c>
      <c r="I98" s="45" t="str">
        <f>HYPERLINK("https://www.voacambodia.com/a/six-new-covid-19-cases-four-from-already-quarantined-viking-journey-cruise/5344343.html","Source")</f>
        <v>Source</v>
      </c>
      <c r="J98" s="20"/>
      <c r="K98" s="20"/>
      <c r="L98" s="57">
        <v>87.0</v>
      </c>
      <c r="M98" s="57">
        <v>0.0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30.0" customHeight="1">
      <c r="A99" s="30" t="s">
        <v>229</v>
      </c>
      <c r="B99" s="57">
        <v>91.0</v>
      </c>
      <c r="C99" s="36">
        <f t="shared" si="1"/>
        <v>7</v>
      </c>
      <c r="D99" s="57">
        <v>0.0</v>
      </c>
      <c r="E99" s="39">
        <f t="shared" si="2"/>
        <v>0</v>
      </c>
      <c r="F99" s="41">
        <f t="shared" si="3"/>
        <v>0</v>
      </c>
      <c r="G99" s="51">
        <v>2.0</v>
      </c>
      <c r="H99" s="51">
        <v>15.0</v>
      </c>
      <c r="I99" s="45" t="str">
        <f>HYPERLINK("https://www.telesurtv.net/news/venezuela-maduro-confirma-nuevos-casos-coronavirus-contagios-20200324-0044.html","Source")</f>
        <v>Source</v>
      </c>
      <c r="J99" s="20"/>
      <c r="K99" s="20"/>
      <c r="L99" s="57">
        <v>84.0</v>
      </c>
      <c r="M99" s="57">
        <v>0.0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30.0" customHeight="1">
      <c r="A100" s="30" t="s">
        <v>230</v>
      </c>
      <c r="B100" s="57">
        <v>87.0</v>
      </c>
      <c r="C100" s="36">
        <f t="shared" si="1"/>
        <v>0</v>
      </c>
      <c r="D100" s="57">
        <v>1.0</v>
      </c>
      <c r="E100" s="39">
        <f t="shared" si="2"/>
        <v>0</v>
      </c>
      <c r="F100" s="41">
        <f t="shared" si="3"/>
        <v>0.01149425287</v>
      </c>
      <c r="G100" s="51" t="s">
        <v>21</v>
      </c>
      <c r="H100" s="51">
        <v>10.0</v>
      </c>
      <c r="I100" s="45" t="str">
        <f>HYPERLINK("https://koronavirusinfo.az/az%C9%99rbaycanda-cari-v%C9%99ziyy%C9%99t/","Source")</f>
        <v>Source</v>
      </c>
      <c r="J100" s="54"/>
      <c r="K100" s="20"/>
      <c r="L100" s="57">
        <v>87.0</v>
      </c>
      <c r="M100" s="57">
        <v>1.0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30.0" customHeight="1">
      <c r="A101" s="30" t="s">
        <v>231</v>
      </c>
      <c r="B101" s="57">
        <v>86.0</v>
      </c>
      <c r="C101" s="36">
        <f t="shared" si="1"/>
        <v>5</v>
      </c>
      <c r="D101" s="57">
        <v>0.0</v>
      </c>
      <c r="E101" s="39">
        <f t="shared" si="2"/>
        <v>0</v>
      </c>
      <c r="F101" s="41">
        <f t="shared" si="3"/>
        <v>0</v>
      </c>
      <c r="G101" s="51" t="s">
        <v>21</v>
      </c>
      <c r="H101" s="51">
        <v>22.0</v>
      </c>
      <c r="I101" s="45" t="str">
        <f>HYPERLINK("https://people.onliner.by/2020/03/25/koronavirus-48","Source")</f>
        <v>Source</v>
      </c>
      <c r="J101" s="20"/>
      <c r="K101" s="20"/>
      <c r="L101" s="57">
        <v>81.0</v>
      </c>
      <c r="M101" s="57">
        <v>0.0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30.0" customHeight="1">
      <c r="A102" s="30" t="s">
        <v>232</v>
      </c>
      <c r="B102" s="57">
        <v>80.0</v>
      </c>
      <c r="C102" s="36">
        <f t="shared" si="1"/>
        <v>12</v>
      </c>
      <c r="D102" s="57">
        <v>0.0</v>
      </c>
      <c r="E102" s="39">
        <f t="shared" si="2"/>
        <v>0</v>
      </c>
      <c r="F102" s="41">
        <f t="shared" si="3"/>
        <v>0</v>
      </c>
      <c r="G102" s="51" t="s">
        <v>21</v>
      </c>
      <c r="H102" s="51" t="s">
        <v>21</v>
      </c>
      <c r="I102" s="45" t="str">
        <f>HYPERLINK("https://www.facebook.com/MinzdravRK/photos/a.205080056336531/1440135576164300/?type=3&amp;theater","Source")</f>
        <v>Source</v>
      </c>
      <c r="J102" s="20"/>
      <c r="K102" s="20"/>
      <c r="L102" s="57">
        <v>68.0</v>
      </c>
      <c r="M102" s="57">
        <v>0.0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30.0" customHeight="1">
      <c r="A103" s="30" t="s">
        <v>48</v>
      </c>
      <c r="B103" s="57">
        <v>75.0</v>
      </c>
      <c r="C103" s="36">
        <f t="shared" si="1"/>
        <v>9</v>
      </c>
      <c r="D103" s="57">
        <v>0.0</v>
      </c>
      <c r="E103" s="39">
        <f t="shared" si="2"/>
        <v>0</v>
      </c>
      <c r="F103" s="41">
        <f t="shared" si="3"/>
        <v>0</v>
      </c>
      <c r="G103" s="51">
        <v>1.0</v>
      </c>
      <c r="H103" s="51">
        <v>10.0</v>
      </c>
      <c r="I103" s="45" t="str">
        <f>HYPERLINK("https://stopcov.ge/en","Source")</f>
        <v>Source</v>
      </c>
      <c r="J103" s="37"/>
      <c r="K103" s="20"/>
      <c r="L103" s="57">
        <v>66.0</v>
      </c>
      <c r="M103" s="57">
        <v>0.0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27.75" customHeight="1">
      <c r="A104" s="30" t="s">
        <v>233</v>
      </c>
      <c r="B104" s="57">
        <v>73.0</v>
      </c>
      <c r="C104" s="36">
        <f t="shared" si="1"/>
        <v>48</v>
      </c>
      <c r="D104" s="57">
        <v>0.0</v>
      </c>
      <c r="E104" s="39">
        <f t="shared" si="2"/>
        <v>0</v>
      </c>
      <c r="F104" s="41">
        <f t="shared" si="3"/>
        <v>0</v>
      </c>
      <c r="G104" s="51" t="s">
        <v>21</v>
      </c>
      <c r="H104" s="51" t="s">
        <v>21</v>
      </c>
      <c r="I104" s="45" t="str">
        <f>HYPERLINK("https://twitter.com/OmsCotedivoire/status/1242544989437079553","Source")</f>
        <v>Source</v>
      </c>
      <c r="J104" s="20"/>
      <c r="K104" s="20"/>
      <c r="L104" s="57">
        <v>25.0</v>
      </c>
      <c r="M104" s="57">
        <v>0.0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30.0" customHeight="1">
      <c r="A105" s="30" t="s">
        <v>234</v>
      </c>
      <c r="B105" s="57">
        <v>71.0</v>
      </c>
      <c r="C105" s="36">
        <f t="shared" si="1"/>
        <v>10</v>
      </c>
      <c r="D105" s="57">
        <v>1.0</v>
      </c>
      <c r="E105" s="39">
        <f t="shared" si="2"/>
        <v>0</v>
      </c>
      <c r="F105" s="41">
        <f t="shared" si="3"/>
        <v>0.01408450704</v>
      </c>
      <c r="G105" s="51" t="s">
        <v>21</v>
      </c>
      <c r="H105" s="51" t="s">
        <v>21</v>
      </c>
      <c r="I105" s="45" t="str">
        <f>HYPERLINK("https://kosova.health/en/","Source")</f>
        <v>Source</v>
      </c>
      <c r="J105" s="37"/>
      <c r="K105" s="20"/>
      <c r="L105" s="57">
        <v>61.0</v>
      </c>
      <c r="M105" s="57">
        <v>1.0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27.75" customHeight="1">
      <c r="A106" s="30" t="s">
        <v>235</v>
      </c>
      <c r="B106" s="57">
        <v>70.0</v>
      </c>
      <c r="C106" s="36">
        <f t="shared" si="1"/>
        <v>4</v>
      </c>
      <c r="D106" s="57">
        <v>1.0</v>
      </c>
      <c r="E106" s="39">
        <f t="shared" si="2"/>
        <v>1</v>
      </c>
      <c r="F106" s="41">
        <f t="shared" si="3"/>
        <v>0.01428571429</v>
      </c>
      <c r="G106" s="51" t="s">
        <v>21</v>
      </c>
      <c r="H106" s="51">
        <v>2.0</v>
      </c>
      <c r="I106" s="45" t="str">
        <f>HYPERLINK("https://twitter.com/DrManaouda/status/1242468231190740993","Source")</f>
        <v>Source</v>
      </c>
      <c r="J106" s="20"/>
      <c r="K106" s="20"/>
      <c r="L106" s="57">
        <v>66.0</v>
      </c>
      <c r="M106" s="57">
        <v>0.0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30.0" customHeight="1">
      <c r="A107" s="30" t="s">
        <v>236</v>
      </c>
      <c r="B107" s="57">
        <v>62.0</v>
      </c>
      <c r="C107" s="36">
        <f t="shared" si="1"/>
        <v>3</v>
      </c>
      <c r="D107" s="57">
        <v>0.0</v>
      </c>
      <c r="E107" s="39">
        <f t="shared" si="2"/>
        <v>0</v>
      </c>
      <c r="F107" s="41">
        <f t="shared" si="3"/>
        <v>0</v>
      </c>
      <c r="G107" s="51">
        <v>0.0</v>
      </c>
      <c r="H107" s="51">
        <v>17.0</v>
      </c>
      <c r="I107" s="45" t="str">
        <f>HYPERLINK("https://www.facebook.com/mohps/posts/2704822649643596?__xts__[0]=68.ARDLKqfLedPwS_JTI22yOslyALKcUNS0fZn--Hevzxj1FSh1zadBMXlWhg3EYFyAMutNpj2osdf9EVLiFa0jFJeBEsujr-XhGk4RJ-f8ZWbWNqXbAx_o2irSejT0hue4ouvzLK7RTnnx7ZHxYdOjD2WHGkC7axRzrxLHTuO95TynXpNyZjMQoEGLibH"&amp;"skSn6pthxz2bClvQQbPkx4ZXAEj_yA1qlD9sM3oYccooxwrXk8YCaCPgIXSIfMwbzCKlGgSLt_NTpwgB6HsFUdmR8LXt2e89bR14x78d5eUaEPhfnShG4vyO9HTQLe64e-LvwdFeNoWvW2qOm5be9RCmTUw&amp;__tn__=-R","Source")</f>
        <v>Source</v>
      </c>
      <c r="J107" s="20"/>
      <c r="K107" s="20"/>
      <c r="L107" s="57">
        <v>59.0</v>
      </c>
      <c r="M107" s="57">
        <v>0.0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30.0" customHeight="1">
      <c r="A108" s="30" t="s">
        <v>237</v>
      </c>
      <c r="B108" s="57">
        <v>57.0</v>
      </c>
      <c r="C108" s="36">
        <f t="shared" si="1"/>
        <v>0</v>
      </c>
      <c r="D108" s="57">
        <v>0.0</v>
      </c>
      <c r="E108" s="39">
        <f t="shared" si="2"/>
        <v>0</v>
      </c>
      <c r="F108" s="41">
        <f t="shared" si="3"/>
        <v>0</v>
      </c>
      <c r="G108" s="51" t="s">
        <v>21</v>
      </c>
      <c r="H108" s="51" t="s">
        <v>21</v>
      </c>
      <c r="I108" s="45" t="str">
        <f>HYPERLINK("https://twitter.com/MOH_TT/status/1242542783937884161","Source")</f>
        <v>Source</v>
      </c>
      <c r="J108" s="20"/>
      <c r="K108" s="20"/>
      <c r="L108" s="57">
        <v>57.0</v>
      </c>
      <c r="M108" s="57">
        <v>0.0</v>
      </c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30.0" customHeight="1">
      <c r="A109" s="30" t="s">
        <v>238</v>
      </c>
      <c r="B109" s="57">
        <v>55.0</v>
      </c>
      <c r="C109" s="36">
        <f t="shared" si="1"/>
        <v>6</v>
      </c>
      <c r="D109" s="57">
        <v>0.0</v>
      </c>
      <c r="E109" s="39">
        <f t="shared" si="2"/>
        <v>0</v>
      </c>
      <c r="F109" s="41">
        <f t="shared" si="3"/>
        <v>0</v>
      </c>
      <c r="G109" s="51">
        <v>4.0</v>
      </c>
      <c r="H109" s="51" t="s">
        <v>21</v>
      </c>
      <c r="I109" s="45" t="str">
        <f>HYPERLINK("https://akipress.com/news:638026:Total_number_of_COVID-19_cases_in_Uzbekistan_rises_to_55/","Source")</f>
        <v>Source</v>
      </c>
      <c r="J109" s="20"/>
      <c r="K109" s="20"/>
      <c r="L109" s="57">
        <v>49.0</v>
      </c>
      <c r="M109" s="57">
        <v>0.0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30.0" customHeight="1">
      <c r="A110" s="30" t="s">
        <v>239</v>
      </c>
      <c r="B110" s="57">
        <v>53.0</v>
      </c>
      <c r="C110" s="36">
        <f t="shared" si="1"/>
        <v>0</v>
      </c>
      <c r="D110" s="57">
        <v>2.0</v>
      </c>
      <c r="E110" s="39">
        <f t="shared" si="2"/>
        <v>0</v>
      </c>
      <c r="F110" s="41">
        <f t="shared" si="3"/>
        <v>0.03773584906</v>
      </c>
      <c r="G110" s="51" t="s">
        <v>21</v>
      </c>
      <c r="H110" s="51" t="s">
        <v>21</v>
      </c>
      <c r="I110" s="45" t="str">
        <f>HYPERLINK("https://www.ghanahealthservice.org/covid19/","Source")</f>
        <v>Source</v>
      </c>
      <c r="J110" s="20"/>
      <c r="K110" s="20"/>
      <c r="L110" s="57">
        <v>53.0</v>
      </c>
      <c r="M110" s="57">
        <v>2.0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30.0" customHeight="1">
      <c r="A111" s="30" t="s">
        <v>240</v>
      </c>
      <c r="B111" s="57">
        <v>52.0</v>
      </c>
      <c r="C111" s="36">
        <f t="shared" si="1"/>
        <v>25</v>
      </c>
      <c r="D111" s="57">
        <v>1.0</v>
      </c>
      <c r="E111" s="39">
        <f t="shared" si="2"/>
        <v>0</v>
      </c>
      <c r="F111" s="41">
        <f t="shared" si="3"/>
        <v>0.01923076923</v>
      </c>
      <c r="G111" s="51" t="s">
        <v>21</v>
      </c>
      <c r="H111" s="51" t="s">
        <v>21</v>
      </c>
      <c r="I111" s="45" t="str">
        <f>HYPERLINK("https://twitter.com/ijzcg/status/1242707863094669313","Source")</f>
        <v>Source</v>
      </c>
      <c r="J111" s="20"/>
      <c r="K111" s="20"/>
      <c r="L111" s="57">
        <v>27.0</v>
      </c>
      <c r="M111" s="57">
        <v>1.0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27.75" customHeight="1">
      <c r="A112" s="30" t="s">
        <v>241</v>
      </c>
      <c r="B112" s="57">
        <v>51.0</v>
      </c>
      <c r="C112" s="36">
        <f t="shared" si="1"/>
        <v>0</v>
      </c>
      <c r="D112" s="57">
        <v>0.0</v>
      </c>
      <c r="E112" s="39">
        <f t="shared" si="2"/>
        <v>0</v>
      </c>
      <c r="F112" s="41">
        <f t="shared" si="3"/>
        <v>0</v>
      </c>
      <c r="G112" s="51" t="s">
        <v>21</v>
      </c>
      <c r="H112" s="51" t="s">
        <v>21</v>
      </c>
      <c r="I112" s="45" t="str">
        <f>HYPERLINK("https://www.regierung.li/media/attachments/140-corona-regierung-0323.pdf?t=637206370335906569","Source")</f>
        <v>Source</v>
      </c>
      <c r="J112" s="20"/>
      <c r="K112" s="20"/>
      <c r="L112" s="57">
        <v>51.0</v>
      </c>
      <c r="M112" s="57">
        <v>0.0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30.0" customHeight="1">
      <c r="A113" s="30" t="s">
        <v>242</v>
      </c>
      <c r="B113" s="57">
        <v>50.0</v>
      </c>
      <c r="C113" s="36">
        <f t="shared" si="1"/>
        <v>10</v>
      </c>
      <c r="D113" s="57">
        <v>1.0</v>
      </c>
      <c r="E113" s="39">
        <f t="shared" si="2"/>
        <v>0</v>
      </c>
      <c r="F113" s="41">
        <f t="shared" si="3"/>
        <v>0.02</v>
      </c>
      <c r="G113" s="51" t="s">
        <v>21</v>
      </c>
      <c r="H113" s="51">
        <v>2.0</v>
      </c>
      <c r="I113" s="45" t="str">
        <f>HYPERLINK("http://covid19.ncdc.gov.ng/","Source")</f>
        <v>Source</v>
      </c>
      <c r="J113" s="37"/>
      <c r="K113" s="20"/>
      <c r="L113" s="57">
        <v>40.0</v>
      </c>
      <c r="M113" s="57">
        <v>1.0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30.0" customHeight="1">
      <c r="A114" s="30" t="s">
        <v>243</v>
      </c>
      <c r="B114" s="57">
        <v>48.0</v>
      </c>
      <c r="C114" s="36">
        <f t="shared" si="1"/>
        <v>3</v>
      </c>
      <c r="D114" s="57">
        <v>3.0</v>
      </c>
      <c r="E114" s="39">
        <f t="shared" si="2"/>
        <v>1</v>
      </c>
      <c r="F114" s="41">
        <f t="shared" si="3"/>
        <v>0.0625</v>
      </c>
      <c r="G114" s="51" t="s">
        <v>21</v>
      </c>
      <c r="H114" s="51">
        <v>1.0</v>
      </c>
      <c r="I114" s="45" t="str">
        <f>HYPERLINK("https://www.facebook.com/actualiteCD/photos/a.550451625104390/1582479551901587/?type=3&amp;theater","Source")</f>
        <v>Source</v>
      </c>
      <c r="J114" s="20"/>
      <c r="K114" s="20"/>
      <c r="L114" s="57">
        <v>45.0</v>
      </c>
      <c r="M114" s="57">
        <v>2.0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30.0" customHeight="1">
      <c r="A115" s="30" t="s">
        <v>244</v>
      </c>
      <c r="B115" s="57">
        <v>48.0</v>
      </c>
      <c r="C115" s="36">
        <f t="shared" si="1"/>
        <v>12</v>
      </c>
      <c r="D115" s="57">
        <v>2.0</v>
      </c>
      <c r="E115" s="39">
        <f t="shared" si="2"/>
        <v>0</v>
      </c>
      <c r="F115" s="41">
        <f t="shared" si="3"/>
        <v>0.04166666667</v>
      </c>
      <c r="G115" s="51" t="s">
        <v>21</v>
      </c>
      <c r="H115" s="51" t="s">
        <v>21</v>
      </c>
      <c r="I115" s="45" t="str">
        <f>HYPERLINK("https://www.lemauricien.com/covid19/","Source")</f>
        <v>Source</v>
      </c>
      <c r="J115" s="20"/>
      <c r="K115" s="20"/>
      <c r="L115" s="57">
        <v>36.0</v>
      </c>
      <c r="M115" s="57">
        <v>2.0</v>
      </c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27.75" customHeight="1">
      <c r="A116" s="30" t="s">
        <v>168</v>
      </c>
      <c r="B116" s="57">
        <v>48.0</v>
      </c>
      <c r="C116" s="36">
        <f t="shared" si="1"/>
        <v>8</v>
      </c>
      <c r="D116" s="57">
        <v>1.0</v>
      </c>
      <c r="E116" s="39">
        <f t="shared" si="2"/>
        <v>0</v>
      </c>
      <c r="F116" s="41">
        <f t="shared" si="3"/>
        <v>0.02083333333</v>
      </c>
      <c r="G116" s="51">
        <v>3.0</v>
      </c>
      <c r="H116" s="51">
        <v>1.0</v>
      </c>
      <c r="I116" s="45" t="str">
        <f>HYPERLINK("https://salud.msp.gob.cu/?p=4306","Source")</f>
        <v>Source</v>
      </c>
      <c r="J116" s="20"/>
      <c r="K116" s="20"/>
      <c r="L116" s="57">
        <v>40.0</v>
      </c>
      <c r="M116" s="57">
        <v>1.0</v>
      </c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30.0" customHeight="1">
      <c r="A117" s="30" t="s">
        <v>245</v>
      </c>
      <c r="B117" s="57">
        <v>44.0</v>
      </c>
      <c r="C117" s="36">
        <f t="shared" si="1"/>
        <v>2</v>
      </c>
      <c r="D117" s="57">
        <v>0.0</v>
      </c>
      <c r="E117" s="39">
        <f t="shared" si="2"/>
        <v>0</v>
      </c>
      <c r="F117" s="41">
        <f t="shared" si="3"/>
        <v>0</v>
      </c>
      <c r="G117" s="51" t="s">
        <v>21</v>
      </c>
      <c r="H117" s="51" t="s">
        <v>21</v>
      </c>
      <c r="I117" s="45" t="str">
        <f>HYPERLINK("https://akipress.com/news:638061:Two_more_new_coronavirus_cases_confirmed_in_Kyrgyzstan,_44_in_total/?place=main1","Source")</f>
        <v>Source</v>
      </c>
      <c r="J117" s="20"/>
      <c r="K117" s="20"/>
      <c r="L117" s="57">
        <v>42.0</v>
      </c>
      <c r="M117" s="57">
        <v>0.0</v>
      </c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30.0" customHeight="1">
      <c r="A118" s="30" t="s">
        <v>246</v>
      </c>
      <c r="B118" s="57">
        <v>42.0</v>
      </c>
      <c r="C118" s="36">
        <f t="shared" si="1"/>
        <v>0</v>
      </c>
      <c r="D118" s="57">
        <v>1.0</v>
      </c>
      <c r="E118" s="39">
        <f t="shared" si="2"/>
        <v>0</v>
      </c>
      <c r="F118" s="41">
        <f t="shared" si="3"/>
        <v>0.02380952381</v>
      </c>
      <c r="G118" s="51" t="s">
        <v>21</v>
      </c>
      <c r="H118" s="51">
        <v>1.0</v>
      </c>
      <c r="I118" s="45" t="str">
        <f>HYPERLINK("https://www.humanitarianresponse.info/en/operations/afghanistan/document/afghanistan-flash-update-covid-19-daily-brief-no-18-23-mar-2020","Source")</f>
        <v>Source</v>
      </c>
      <c r="J118" s="20"/>
      <c r="K118" s="20"/>
      <c r="L118" s="57">
        <v>42.0</v>
      </c>
      <c r="M118" s="57">
        <v>1.0</v>
      </c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27.75" customHeight="1">
      <c r="A119" s="30" t="s">
        <v>247</v>
      </c>
      <c r="B119" s="57">
        <v>42.0</v>
      </c>
      <c r="C119" s="36">
        <f t="shared" si="1"/>
        <v>3</v>
      </c>
      <c r="D119" s="57">
        <v>0.0</v>
      </c>
      <c r="E119" s="39">
        <f t="shared" si="2"/>
        <v>0</v>
      </c>
      <c r="F119" s="41">
        <f t="shared" si="3"/>
        <v>0</v>
      </c>
      <c r="G119" s="51" t="s">
        <v>21</v>
      </c>
      <c r="H119" s="51">
        <v>3.0</v>
      </c>
      <c r="I119" s="45" t="str">
        <f>HYPERLINK("https://in-cyprus.philenews.com/coronavirus-two-more-test-positive-in-turkish-held-north-cyprus/","Source")</f>
        <v>Source</v>
      </c>
      <c r="J119" s="20"/>
      <c r="K119" s="20"/>
      <c r="L119" s="57">
        <v>39.0</v>
      </c>
      <c r="M119" s="57">
        <v>0.0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30.0" customHeight="1">
      <c r="A120" s="30" t="s">
        <v>248</v>
      </c>
      <c r="B120" s="57">
        <v>40.0</v>
      </c>
      <c r="C120" s="36">
        <f t="shared" si="1"/>
        <v>0</v>
      </c>
      <c r="D120" s="57">
        <v>0.0</v>
      </c>
      <c r="E120" s="39">
        <f t="shared" si="2"/>
        <v>0</v>
      </c>
      <c r="F120" s="41">
        <f t="shared" si="3"/>
        <v>0</v>
      </c>
      <c r="G120" s="51">
        <v>0.0</v>
      </c>
      <c r="H120" s="51">
        <v>0.0</v>
      </c>
      <c r="I120" s="45" t="str">
        <f>HYPERLINK("https://twitter.com/RwandaHealth/status/1242539318469627913","Source")</f>
        <v>Source</v>
      </c>
      <c r="J120" s="20"/>
      <c r="K120" s="20"/>
      <c r="L120" s="57">
        <v>40.0</v>
      </c>
      <c r="M120" s="57">
        <v>0.0</v>
      </c>
      <c r="N120" s="22"/>
      <c r="O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27.75" customHeight="1">
      <c r="A121" s="30" t="s">
        <v>249</v>
      </c>
      <c r="B121" s="57">
        <v>39.0</v>
      </c>
      <c r="C121" s="36">
        <f t="shared" si="1"/>
        <v>6</v>
      </c>
      <c r="D121" s="57">
        <v>5.0</v>
      </c>
      <c r="E121" s="39">
        <f t="shared" si="2"/>
        <v>2</v>
      </c>
      <c r="F121" s="41">
        <f t="shared" si="3"/>
        <v>0.1282051282</v>
      </c>
      <c r="G121" s="51" t="s">
        <v>21</v>
      </c>
      <c r="H121" s="51">
        <v>5.0</v>
      </c>
      <c r="I121" s="45" t="str">
        <f>HYPERLINK("https://www.thedailystar.net/coronavirus-deadly-new-threat/news/1-more-person-dies-coronavirus-death-toll-bangladesh-now-5-iedcr-1885723","Source")</f>
        <v>Source</v>
      </c>
      <c r="J121" s="20"/>
      <c r="K121" s="20"/>
      <c r="L121" s="57">
        <v>33.0</v>
      </c>
      <c r="M121" s="57">
        <v>3.0</v>
      </c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27.75" customHeight="1">
      <c r="A122" s="30" t="s">
        <v>171</v>
      </c>
      <c r="B122" s="57">
        <v>37.0</v>
      </c>
      <c r="C122" s="36">
        <f t="shared" si="1"/>
        <v>10</v>
      </c>
      <c r="D122" s="57">
        <v>3.0</v>
      </c>
      <c r="E122" s="39">
        <f t="shared" si="2"/>
        <v>1</v>
      </c>
      <c r="F122" s="41">
        <f t="shared" si="3"/>
        <v>0.08108108108</v>
      </c>
      <c r="G122" s="51" t="s">
        <v>21</v>
      </c>
      <c r="H122" s="51" t="s">
        <v>21</v>
      </c>
      <c r="I122" s="45" t="str">
        <f>HYPERLINK("https://twitter.com/msaludpy/status/1242622130728112135","Source")</f>
        <v>Source</v>
      </c>
      <c r="J122" s="20"/>
      <c r="K122" s="20"/>
      <c r="L122" s="57">
        <v>27.0</v>
      </c>
      <c r="M122" s="57">
        <v>2.0</v>
      </c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27.75" customHeight="1">
      <c r="A123" s="30" t="s">
        <v>166</v>
      </c>
      <c r="B123" s="57">
        <v>36.0</v>
      </c>
      <c r="C123" s="36">
        <f t="shared" si="1"/>
        <v>6</v>
      </c>
      <c r="D123" s="57">
        <v>0.0</v>
      </c>
      <c r="E123" s="39">
        <f t="shared" si="2"/>
        <v>0</v>
      </c>
      <c r="F123" s="41">
        <f t="shared" si="3"/>
        <v>0</v>
      </c>
      <c r="G123" s="51" t="s">
        <v>21</v>
      </c>
      <c r="H123" s="51" t="s">
        <v>21</v>
      </c>
      <c r="I123" s="45" t="str">
        <f>HYPERLINK("https://covid19honduras.org/","Source")</f>
        <v>Source</v>
      </c>
      <c r="J123" s="20"/>
      <c r="K123" s="20"/>
      <c r="L123" s="57">
        <v>30.0</v>
      </c>
      <c r="M123" s="57">
        <v>0.0</v>
      </c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30.0" customHeight="1">
      <c r="A124" s="30" t="s">
        <v>170</v>
      </c>
      <c r="B124" s="57">
        <v>32.0</v>
      </c>
      <c r="C124" s="36">
        <f t="shared" si="1"/>
        <v>4</v>
      </c>
      <c r="D124" s="57">
        <v>0.0</v>
      </c>
      <c r="E124" s="39">
        <f t="shared" si="2"/>
        <v>0</v>
      </c>
      <c r="F124" s="41">
        <f t="shared" si="3"/>
        <v>0</v>
      </c>
      <c r="G124" s="51" t="s">
        <v>21</v>
      </c>
      <c r="H124" s="51" t="s">
        <v>21</v>
      </c>
      <c r="I124" s="45" t="str">
        <f>HYPERLINK("https://twitter.com/MinSaludBolivia/status/1242608892703580168","Source")</f>
        <v>Source</v>
      </c>
      <c r="J124" s="20"/>
      <c r="K124" s="20"/>
      <c r="L124" s="57">
        <v>28.0</v>
      </c>
      <c r="M124" s="57">
        <v>0.0</v>
      </c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30.0" customHeight="1">
      <c r="A125" s="30" t="s">
        <v>250</v>
      </c>
      <c r="B125" s="57">
        <v>29.0</v>
      </c>
      <c r="C125" s="36">
        <f t="shared" si="1"/>
        <v>4</v>
      </c>
      <c r="D125" s="57">
        <v>0.0</v>
      </c>
      <c r="E125" s="39">
        <f t="shared" si="2"/>
        <v>0</v>
      </c>
      <c r="F125" s="41">
        <f t="shared" si="3"/>
        <v>0</v>
      </c>
      <c r="G125" s="51" t="s">
        <v>21</v>
      </c>
      <c r="H125" s="51">
        <v>10.0</v>
      </c>
      <c r="I125" s="45" t="str">
        <f>HYPERLINK("https://www.ssm.gov.mo/docs/17747/17747_0dd03b578f264d9da6587bd12ec8f623_000.pdf","Source")</f>
        <v>Source</v>
      </c>
      <c r="J125" s="20"/>
      <c r="K125" s="20"/>
      <c r="L125" s="57">
        <v>25.0</v>
      </c>
      <c r="M125" s="57">
        <v>0.0</v>
      </c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30.0" customHeight="1">
      <c r="A126" s="30" t="s">
        <v>251</v>
      </c>
      <c r="B126" s="57">
        <v>28.0</v>
      </c>
      <c r="C126" s="36">
        <f t="shared" si="1"/>
        <v>12</v>
      </c>
      <c r="D126" s="57">
        <v>0.0</v>
      </c>
      <c r="E126" s="39">
        <f t="shared" si="2"/>
        <v>0</v>
      </c>
      <c r="F126" s="41">
        <f t="shared" si="3"/>
        <v>0</v>
      </c>
      <c r="G126" s="51">
        <v>0.0</v>
      </c>
      <c r="H126" s="51">
        <v>1.0</v>
      </c>
      <c r="I126" s="45" t="str">
        <f>HYPERLINK("https://www.nation.co.ke/","Source")</f>
        <v>Source</v>
      </c>
      <c r="J126" s="37"/>
      <c r="K126" s="20"/>
      <c r="L126" s="57">
        <v>16.0</v>
      </c>
      <c r="M126" s="57">
        <v>0.0</v>
      </c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30.0" customHeight="1">
      <c r="A127" s="30" t="s">
        <v>252</v>
      </c>
      <c r="B127" s="57">
        <v>27.0</v>
      </c>
      <c r="C127" s="36">
        <f t="shared" si="1"/>
        <v>4</v>
      </c>
      <c r="D127" s="57">
        <v>0.0</v>
      </c>
      <c r="E127" s="39">
        <f t="shared" si="2"/>
        <v>0</v>
      </c>
      <c r="F127" s="41">
        <f t="shared" si="3"/>
        <v>0</v>
      </c>
      <c r="G127" s="51" t="s">
        <v>21</v>
      </c>
      <c r="H127" s="51">
        <v>1.0</v>
      </c>
      <c r="I127" s="45" t="str">
        <f>HYPERLINK("https://en.gouv.mc/A-la-Une-du-Portail/Covid19-4-nouveaux-cas-positifs-et-la-chloroquine-sous-surveillance","Source")</f>
        <v>Source</v>
      </c>
      <c r="J127" s="20"/>
      <c r="K127" s="20"/>
      <c r="L127" s="57">
        <v>23.0</v>
      </c>
      <c r="M127" s="57">
        <v>0.0</v>
      </c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27.75" customHeight="1">
      <c r="A128" s="30" t="s">
        <v>253</v>
      </c>
      <c r="B128" s="57">
        <v>26.0</v>
      </c>
      <c r="C128" s="36">
        <f t="shared" si="1"/>
        <v>11</v>
      </c>
      <c r="D128" s="57">
        <v>0.0</v>
      </c>
      <c r="E128" s="39">
        <f t="shared" si="2"/>
        <v>0</v>
      </c>
      <c r="F128" s="41">
        <f t="shared" si="3"/>
        <v>0</v>
      </c>
      <c r="G128" s="51" t="s">
        <v>21</v>
      </c>
      <c r="H128" s="51">
        <v>13.0</v>
      </c>
      <c r="I128" s="45" t="str">
        <f>HYPERLINK("https://www.gibraltar.gov.gi/covid19","Source")</f>
        <v>Source</v>
      </c>
      <c r="J128" s="37"/>
      <c r="K128" s="20"/>
      <c r="L128" s="57">
        <v>15.0</v>
      </c>
      <c r="M128" s="57">
        <v>0.0</v>
      </c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30.0" customHeight="1">
      <c r="A129" s="30" t="s">
        <v>254</v>
      </c>
      <c r="B129" s="57">
        <v>25.0</v>
      </c>
      <c r="C129" s="36">
        <f t="shared" si="1"/>
        <v>4</v>
      </c>
      <c r="D129" s="57">
        <v>1.0</v>
      </c>
      <c r="E129" s="39">
        <f t="shared" si="2"/>
        <v>0</v>
      </c>
      <c r="F129" s="41">
        <f t="shared" si="3"/>
        <v>0.04</v>
      </c>
      <c r="G129" s="51" t="s">
        <v>21</v>
      </c>
      <c r="H129" s="51" t="s">
        <v>21</v>
      </c>
      <c r="I129" s="45" t="str">
        <f>HYPERLINK("https://twitter.com/themohwgovjm/status/1242630112757121027","Source")</f>
        <v>Source</v>
      </c>
      <c r="J129" s="20"/>
      <c r="K129" s="20"/>
      <c r="L129" s="57">
        <v>21.0</v>
      </c>
      <c r="M129" s="57">
        <v>1.0</v>
      </c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30.0" customHeight="1">
      <c r="A130" s="30" t="s">
        <v>255</v>
      </c>
      <c r="B130" s="57">
        <v>25.0</v>
      </c>
      <c r="C130" s="36">
        <f t="shared" si="1"/>
        <v>2</v>
      </c>
      <c r="D130" s="57">
        <v>0.0</v>
      </c>
      <c r="E130" s="39">
        <f t="shared" si="2"/>
        <v>0</v>
      </c>
      <c r="F130" s="41">
        <f t="shared" si="3"/>
        <v>0</v>
      </c>
      <c r="G130" s="51" t="s">
        <v>21</v>
      </c>
      <c r="H130" s="51" t="s">
        <v>21</v>
      </c>
      <c r="I130" s="45" t="str">
        <f>HYPERLINK("https://www.tahitinews.co/index.php/2020/03/24/coronavirus-deux-nouveaux-cas-pour-un-total-de-vingt-cinq-personnes-infectees/","Source")</f>
        <v>Source</v>
      </c>
      <c r="J130" s="20"/>
      <c r="K130" s="20"/>
      <c r="L130" s="57">
        <v>23.0</v>
      </c>
      <c r="M130" s="57">
        <v>0.0</v>
      </c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27.75" customHeight="1">
      <c r="A131" s="30" t="s">
        <v>256</v>
      </c>
      <c r="B131" s="57">
        <v>23.0</v>
      </c>
      <c r="C131" s="36">
        <f t="shared" si="1"/>
        <v>5</v>
      </c>
      <c r="D131" s="57">
        <v>0.0</v>
      </c>
      <c r="E131" s="39">
        <f t="shared" si="2"/>
        <v>0</v>
      </c>
      <c r="F131" s="41">
        <f t="shared" si="3"/>
        <v>0</v>
      </c>
      <c r="G131" s="51" t="s">
        <v>21</v>
      </c>
      <c r="H131" s="51">
        <v>1.0</v>
      </c>
      <c r="I131" s="45" t="str">
        <f>HYPERLINK("https://covid19.gouv.tg/","Source")</f>
        <v>Source</v>
      </c>
      <c r="J131" s="20"/>
      <c r="K131" s="20"/>
      <c r="L131" s="57">
        <v>18.0</v>
      </c>
      <c r="M131" s="57">
        <v>0.0</v>
      </c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30.0" customHeight="1">
      <c r="A132" s="30" t="s">
        <v>257</v>
      </c>
      <c r="B132" s="57">
        <v>23.0</v>
      </c>
      <c r="C132" s="36">
        <f t="shared" si="1"/>
        <v>10</v>
      </c>
      <c r="D132" s="57">
        <v>0.0</v>
      </c>
      <c r="E132" s="39">
        <f t="shared" si="2"/>
        <v>0</v>
      </c>
      <c r="F132" s="41">
        <f t="shared" si="3"/>
        <v>0</v>
      </c>
      <c r="G132" s="51" t="s">
        <v>21</v>
      </c>
      <c r="H132" s="51" t="s">
        <v>21</v>
      </c>
      <c r="I132" s="45" t="str">
        <f>HYPERLINK("https://www.gov.im/categories/health-and-wellbeing/coronavirus-covid-19/","Source")</f>
        <v>Source</v>
      </c>
      <c r="J132" s="20"/>
      <c r="K132" s="20"/>
      <c r="L132" s="57">
        <v>13.0</v>
      </c>
      <c r="M132" s="57">
        <v>0.0</v>
      </c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30.0" customHeight="1">
      <c r="A133" s="30" t="s">
        <v>258</v>
      </c>
      <c r="B133" s="57">
        <v>23.0</v>
      </c>
      <c r="C133" s="36">
        <f t="shared" si="1"/>
        <v>3</v>
      </c>
      <c r="D133" s="57">
        <v>0.0</v>
      </c>
      <c r="E133" s="39">
        <f t="shared" si="2"/>
        <v>0</v>
      </c>
      <c r="F133" s="41">
        <f t="shared" si="3"/>
        <v>0</v>
      </c>
      <c r="G133" s="51" t="s">
        <v>21</v>
      </c>
      <c r="H133" s="51" t="s">
        <v>21</v>
      </c>
      <c r="I133" s="45" t="str">
        <f>HYPERLINK("https://www.gov.gg/coronavirus","Source")</f>
        <v>Source</v>
      </c>
      <c r="J133" s="20"/>
      <c r="K133" s="20"/>
      <c r="L133" s="57">
        <v>20.0</v>
      </c>
      <c r="M133" s="57">
        <v>0.0</v>
      </c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27.75" customHeight="1">
      <c r="A134" s="30" t="s">
        <v>172</v>
      </c>
      <c r="B134" s="57">
        <v>23.0</v>
      </c>
      <c r="C134" s="36">
        <f t="shared" si="1"/>
        <v>3</v>
      </c>
      <c r="D134" s="57">
        <v>1.0</v>
      </c>
      <c r="E134" s="39">
        <f t="shared" si="2"/>
        <v>0</v>
      </c>
      <c r="F134" s="41">
        <f t="shared" si="3"/>
        <v>0.04347826087</v>
      </c>
      <c r="G134" s="51" t="s">
        <v>21</v>
      </c>
      <c r="H134" s="51">
        <v>4.0</v>
      </c>
      <c r="I134" s="45" t="str">
        <f>HYPERLINK("https://www.mspas.gob.gt/index.php/noticias/coronavirus-2019-ncov","Source")</f>
        <v>Source</v>
      </c>
      <c r="J134" s="37"/>
      <c r="K134" s="20"/>
      <c r="L134" s="57">
        <v>20.0</v>
      </c>
      <c r="M134" s="57">
        <v>1.0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30.0" customHeight="1">
      <c r="A135" s="30" t="s">
        <v>259</v>
      </c>
      <c r="B135" s="57">
        <v>19.0</v>
      </c>
      <c r="C135" s="36">
        <f t="shared" si="1"/>
        <v>16</v>
      </c>
      <c r="D135" s="57">
        <v>0.0</v>
      </c>
      <c r="E135" s="39">
        <f t="shared" si="2"/>
        <v>0</v>
      </c>
      <c r="F135" s="41">
        <f t="shared" si="3"/>
        <v>0</v>
      </c>
      <c r="G135" s="51" t="s">
        <v>21</v>
      </c>
      <c r="H135" s="51" t="s">
        <v>21</v>
      </c>
      <c r="I135" s="45" t="str">
        <f>HYPERLINK("https://lexpress.mg/25/03/2020/test-de-prelevement-deux-nouveaux-cas-detectes/","Source")</f>
        <v>Source</v>
      </c>
      <c r="J135" s="20"/>
      <c r="K135" s="20"/>
      <c r="L135" s="57">
        <v>3.0</v>
      </c>
      <c r="M135" s="57">
        <v>0.0</v>
      </c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30.0" customHeight="1">
      <c r="A136" s="30" t="s">
        <v>260</v>
      </c>
      <c r="B136" s="57">
        <v>18.0</v>
      </c>
      <c r="C136" s="36">
        <f t="shared" si="1"/>
        <v>1</v>
      </c>
      <c r="D136" s="57">
        <v>0.0</v>
      </c>
      <c r="E136" s="39">
        <f t="shared" si="2"/>
        <v>0</v>
      </c>
      <c r="F136" s="41">
        <f t="shared" si="3"/>
        <v>0</v>
      </c>
      <c r="G136" s="51" t="s">
        <v>21</v>
      </c>
      <c r="H136" s="51" t="s">
        <v>21</v>
      </c>
      <c r="I136" s="45" t="str">
        <f>HYPERLINK("https://gisbarbados.gov.bb/blog/covid-19-update-only-one-new-case-today/","Source")</f>
        <v>Source</v>
      </c>
      <c r="J136" s="20"/>
      <c r="K136" s="20"/>
      <c r="L136" s="57">
        <v>17.0</v>
      </c>
      <c r="M136" s="57">
        <v>0.0</v>
      </c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30.0" customHeight="1">
      <c r="A137" s="30" t="s">
        <v>261</v>
      </c>
      <c r="B137" s="57">
        <v>17.0</v>
      </c>
      <c r="C137" s="36">
        <f t="shared" si="1"/>
        <v>5</v>
      </c>
      <c r="D137" s="57">
        <v>0.0</v>
      </c>
      <c r="E137" s="39">
        <f t="shared" si="2"/>
        <v>0</v>
      </c>
      <c r="F137" s="41">
        <f t="shared" si="3"/>
        <v>0</v>
      </c>
      <c r="G137" s="51" t="s">
        <v>21</v>
      </c>
      <c r="H137" s="51">
        <v>1.0</v>
      </c>
      <c r="I137" s="45" t="str">
        <f>HYPERLINK("https://www.arubacovid19.org/","Source")</f>
        <v>Source</v>
      </c>
      <c r="J137" s="20"/>
      <c r="K137" s="20"/>
      <c r="L137" s="57">
        <v>12.0</v>
      </c>
      <c r="M137" s="57">
        <v>0.0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30.0" customHeight="1">
      <c r="A138" s="30" t="s">
        <v>262</v>
      </c>
      <c r="B138" s="57">
        <v>16.0</v>
      </c>
      <c r="C138" s="36">
        <f t="shared" si="1"/>
        <v>0</v>
      </c>
      <c r="D138" s="57">
        <v>0.0</v>
      </c>
      <c r="E138" s="39">
        <f t="shared" si="2"/>
        <v>0</v>
      </c>
      <c r="F138" s="41">
        <f t="shared" si="3"/>
        <v>0</v>
      </c>
      <c r="G138" s="51" t="s">
        <v>21</v>
      </c>
      <c r="H138" s="51" t="s">
        <v>21</v>
      </c>
      <c r="I138" s="45" t="str">
        <f>HYPERLINK("https://www.ecdc.europa.eu/en/geographical-distribution-2019-ncov-cases","Source")</f>
        <v>Source</v>
      </c>
      <c r="J138" s="37"/>
      <c r="K138" s="20"/>
      <c r="L138" s="57">
        <v>16.0</v>
      </c>
      <c r="M138" s="57">
        <v>0.0</v>
      </c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30.0" customHeight="1">
      <c r="A139" s="30" t="s">
        <v>263</v>
      </c>
      <c r="B139" s="57">
        <v>14.0</v>
      </c>
      <c r="C139" s="36">
        <f t="shared" si="1"/>
        <v>5</v>
      </c>
      <c r="D139" s="57">
        <v>0.0</v>
      </c>
      <c r="E139" s="39">
        <f t="shared" si="2"/>
        <v>0</v>
      </c>
      <c r="F139" s="41">
        <f t="shared" si="3"/>
        <v>0</v>
      </c>
      <c r="G139" s="51" t="s">
        <v>21</v>
      </c>
      <c r="H139" s="51" t="s">
        <v>21</v>
      </c>
      <c r="I139" s="45" t="str">
        <f>HYPERLINK("https://gouv.nc/coronavirus","Source")</f>
        <v>Source</v>
      </c>
      <c r="J139" s="20"/>
      <c r="K139" s="20"/>
      <c r="L139" s="57">
        <v>9.0</v>
      </c>
      <c r="M139" s="57">
        <v>0.0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27.75" customHeight="1">
      <c r="A140" s="30" t="s">
        <v>264</v>
      </c>
      <c r="B140" s="57">
        <v>13.0</v>
      </c>
      <c r="C140" s="36">
        <f t="shared" si="1"/>
        <v>0</v>
      </c>
      <c r="D140" s="57">
        <v>0.0</v>
      </c>
      <c r="E140" s="39">
        <f t="shared" si="2"/>
        <v>0</v>
      </c>
      <c r="F140" s="41">
        <f t="shared" si="3"/>
        <v>0</v>
      </c>
      <c r="G140" s="51" t="s">
        <v>21</v>
      </c>
      <c r="H140" s="51">
        <v>5.0</v>
      </c>
      <c r="I140" s="45" t="str">
        <f>HYPERLINK("https://covid19.health.gov.mv/en/","Source")</f>
        <v>Source</v>
      </c>
      <c r="J140" s="20"/>
      <c r="K140" s="20"/>
      <c r="L140" s="57">
        <v>13.0</v>
      </c>
      <c r="M140" s="57">
        <v>0.0</v>
      </c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30.0" customHeight="1">
      <c r="A141" s="30" t="s">
        <v>265</v>
      </c>
      <c r="B141" s="57">
        <v>12.0</v>
      </c>
      <c r="C141" s="36">
        <f t="shared" si="1"/>
        <v>0</v>
      </c>
      <c r="D141" s="57">
        <v>0.0</v>
      </c>
      <c r="E141" s="39">
        <f t="shared" si="2"/>
        <v>0</v>
      </c>
      <c r="F141" s="41">
        <f t="shared" si="3"/>
        <v>0</v>
      </c>
      <c r="G141" s="51" t="s">
        <v>21</v>
      </c>
      <c r="H141" s="51" t="s">
        <v>21</v>
      </c>
      <c r="I141" s="45" t="str">
        <f>HYPERLINK("https://pbs.twimg.com/media/ETyT5dFXsAUzuj3?format=jpg&amp;name=large","Source")</f>
        <v>Source</v>
      </c>
      <c r="J141" s="20"/>
      <c r="K141" s="20"/>
      <c r="L141" s="57">
        <v>12.0</v>
      </c>
      <c r="M141" s="57">
        <v>0.0</v>
      </c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30.0" customHeight="1">
      <c r="A142" s="30" t="s">
        <v>266</v>
      </c>
      <c r="B142" s="57">
        <v>12.0</v>
      </c>
      <c r="C142" s="36">
        <f t="shared" si="1"/>
        <v>1</v>
      </c>
      <c r="D142" s="57">
        <v>0.0</v>
      </c>
      <c r="E142" s="39">
        <f t="shared" si="2"/>
        <v>0</v>
      </c>
      <c r="F142" s="41">
        <f t="shared" si="3"/>
        <v>0</v>
      </c>
      <c r="G142" s="51" t="s">
        <v>21</v>
      </c>
      <c r="H142" s="51" t="s">
        <v>21</v>
      </c>
      <c r="I142" s="45" t="str">
        <f>HYPERLINK("https://twitter.com/lia_tadesse/status/1241610916736663558","Source")</f>
        <v>Source</v>
      </c>
      <c r="J142" s="20"/>
      <c r="K142" s="20"/>
      <c r="L142" s="57">
        <v>11.0</v>
      </c>
      <c r="M142" s="57">
        <v>0.0</v>
      </c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30.0" customHeight="1">
      <c r="A143" s="30" t="s">
        <v>267</v>
      </c>
      <c r="B143" s="57">
        <v>12.0</v>
      </c>
      <c r="C143" s="36">
        <f t="shared" si="1"/>
        <v>9</v>
      </c>
      <c r="D143" s="57">
        <v>0.0</v>
      </c>
      <c r="E143" s="39">
        <f t="shared" si="2"/>
        <v>0</v>
      </c>
      <c r="F143" s="41">
        <f t="shared" si="3"/>
        <v>0</v>
      </c>
      <c r="G143" s="51" t="s">
        <v>21</v>
      </c>
      <c r="H143" s="51">
        <v>0.0</v>
      </c>
      <c r="I143" s="45" t="str">
        <f>HYPERLINK("https://www.facebook.com/EdgarChagwaLungu/photos/a.831065900282970/2953689041353968/?type=3&amp;theater","Source")</f>
        <v>Source</v>
      </c>
      <c r="J143" s="20"/>
      <c r="K143" s="20"/>
      <c r="L143" s="57">
        <v>3.0</v>
      </c>
      <c r="M143" s="57">
        <v>0.0</v>
      </c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30.0" customHeight="1">
      <c r="A144" s="30" t="s">
        <v>268</v>
      </c>
      <c r="B144" s="57">
        <v>11.0</v>
      </c>
      <c r="C144" s="36">
        <f t="shared" si="1"/>
        <v>9</v>
      </c>
      <c r="D144" s="57">
        <v>0.0</v>
      </c>
      <c r="E144" s="39">
        <f t="shared" si="2"/>
        <v>0</v>
      </c>
      <c r="F144" s="41">
        <f t="shared" si="3"/>
        <v>0</v>
      </c>
      <c r="G144" s="51" t="s">
        <v>21</v>
      </c>
      <c r="H144" s="51" t="s">
        <v>21</v>
      </c>
      <c r="I144" s="45" t="str">
        <f>HYPERLINK("https://www.facebook.com/minister.sante.dj/photos/a.1390385961000334/2960716433967271/?type=3&amp;theater","Source")</f>
        <v>Source</v>
      </c>
      <c r="J144" s="20"/>
      <c r="K144" s="20"/>
      <c r="L144" s="57">
        <v>2.0</v>
      </c>
      <c r="M144" s="57">
        <v>0.0</v>
      </c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30.0" customHeight="1">
      <c r="A145" s="30" t="s">
        <v>269</v>
      </c>
      <c r="B145" s="57">
        <v>10.0</v>
      </c>
      <c r="C145" s="36">
        <f t="shared" si="1"/>
        <v>0</v>
      </c>
      <c r="D145" s="57">
        <v>0.0</v>
      </c>
      <c r="E145" s="39">
        <f t="shared" si="2"/>
        <v>0</v>
      </c>
      <c r="F145" s="41">
        <f t="shared" si="3"/>
        <v>0</v>
      </c>
      <c r="G145" s="51">
        <v>2.0</v>
      </c>
      <c r="H145" s="51" t="s">
        <v>21</v>
      </c>
      <c r="I145" s="45" t="str">
        <f>HYPERLINK("https://montsame.mn/en/read/219945","Source")</f>
        <v>Source</v>
      </c>
      <c r="J145" s="20"/>
      <c r="K145" s="20"/>
      <c r="L145" s="57">
        <v>10.0</v>
      </c>
      <c r="M145" s="57">
        <v>0.0</v>
      </c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30.0" customHeight="1">
      <c r="A146" s="30" t="s">
        <v>270</v>
      </c>
      <c r="B146" s="57">
        <v>9.0</v>
      </c>
      <c r="C146" s="36">
        <f t="shared" si="1"/>
        <v>0</v>
      </c>
      <c r="D146" s="57">
        <v>0.0</v>
      </c>
      <c r="E146" s="39">
        <f t="shared" si="2"/>
        <v>0</v>
      </c>
      <c r="F146" s="41">
        <f t="shared" si="3"/>
        <v>0</v>
      </c>
      <c r="G146" s="51" t="s">
        <v>21</v>
      </c>
      <c r="H146" s="51" t="s">
        <v>21</v>
      </c>
      <c r="I146" s="45" t="str">
        <f>HYPERLINK("https://www.guineaecuatorialpress.com/noticia.php?id=15150","Source")</f>
        <v>Source</v>
      </c>
      <c r="J146" s="20"/>
      <c r="K146" s="20"/>
      <c r="L146" s="57">
        <v>9.0</v>
      </c>
      <c r="M146" s="57">
        <v>0.0</v>
      </c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30.0" customHeight="1">
      <c r="A147" s="30" t="s">
        <v>271</v>
      </c>
      <c r="B147" s="57">
        <v>9.0</v>
      </c>
      <c r="C147" s="36">
        <f t="shared" si="1"/>
        <v>8</v>
      </c>
      <c r="D147" s="57">
        <v>0.0</v>
      </c>
      <c r="E147" s="39">
        <f t="shared" si="2"/>
        <v>0</v>
      </c>
      <c r="F147" s="41">
        <f t="shared" si="3"/>
        <v>0</v>
      </c>
      <c r="G147" s="51" t="s">
        <v>21</v>
      </c>
      <c r="H147" s="51">
        <v>0.0</v>
      </c>
      <c r="I147" s="45" t="str">
        <f>HYPERLINK("https://twitter.com/MinofHealthUG/status/1242193038975414276","Source")</f>
        <v>Source</v>
      </c>
      <c r="J147" s="20"/>
      <c r="K147" s="20"/>
      <c r="L147" s="57">
        <v>1.0</v>
      </c>
      <c r="M147" s="57">
        <v>0.0</v>
      </c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30.0" customHeight="1">
      <c r="A148" s="30" t="s">
        <v>173</v>
      </c>
      <c r="B148" s="57">
        <v>9.0</v>
      </c>
      <c r="C148" s="36">
        <f t="shared" si="1"/>
        <v>4</v>
      </c>
      <c r="D148" s="57">
        <v>0.0</v>
      </c>
      <c r="E148" s="39">
        <f t="shared" si="2"/>
        <v>0</v>
      </c>
      <c r="F148" s="41">
        <f t="shared" si="3"/>
        <v>0</v>
      </c>
      <c r="G148" s="51" t="s">
        <v>21</v>
      </c>
      <c r="H148" s="51" t="s">
        <v>21</v>
      </c>
      <c r="I148" s="45" t="str">
        <f>HYPERLINK("https://twitter.com/SecPrensaSV/status/1242682013846581250","Source")</f>
        <v>Source</v>
      </c>
      <c r="J148" s="20"/>
      <c r="K148" s="20"/>
      <c r="L148" s="57">
        <v>5.0</v>
      </c>
      <c r="M148" s="57">
        <v>0.0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30.0" customHeight="1">
      <c r="A149" s="30" t="s">
        <v>272</v>
      </c>
      <c r="B149" s="57">
        <v>8.0</v>
      </c>
      <c r="C149" s="36">
        <f t="shared" si="1"/>
        <v>2</v>
      </c>
      <c r="D149" s="57">
        <v>0.0</v>
      </c>
      <c r="E149" s="39">
        <f t="shared" si="2"/>
        <v>0</v>
      </c>
      <c r="F149" s="41">
        <f t="shared" si="3"/>
        <v>0</v>
      </c>
      <c r="G149" s="51" t="s">
        <v>21</v>
      </c>
      <c r="H149" s="51" t="s">
        <v>21</v>
      </c>
      <c r="I149" s="45" t="str">
        <f>HYPERLINK("https://covid-19.sr/","Source")</f>
        <v>Source</v>
      </c>
      <c r="J149" s="20"/>
      <c r="K149" s="20"/>
      <c r="L149" s="57">
        <v>6.0</v>
      </c>
      <c r="M149" s="57">
        <v>0.0</v>
      </c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30.0" customHeight="1">
      <c r="A150" s="30" t="s">
        <v>273</v>
      </c>
      <c r="B150" s="57">
        <v>7.0</v>
      </c>
      <c r="C150" s="36">
        <f t="shared" si="1"/>
        <v>0</v>
      </c>
      <c r="D150" s="57">
        <v>0.0</v>
      </c>
      <c r="E150" s="39">
        <f t="shared" si="2"/>
        <v>0</v>
      </c>
      <c r="F150" s="41">
        <f t="shared" si="3"/>
        <v>0</v>
      </c>
      <c r="G150" s="51">
        <v>1.0</v>
      </c>
      <c r="H150" s="51">
        <v>0.0</v>
      </c>
      <c r="I150" s="45" t="str">
        <f>HYPERLINK("http://www.health.gov.sc/index.php/2020/03/25/press-update-25th-march-2020/","Source")</f>
        <v>Source</v>
      </c>
      <c r="J150" s="20"/>
      <c r="K150" s="20"/>
      <c r="L150" s="57">
        <v>7.0</v>
      </c>
      <c r="M150" s="57">
        <v>0.0</v>
      </c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30.0" customHeight="1">
      <c r="A151" s="30" t="s">
        <v>274</v>
      </c>
      <c r="B151" s="57">
        <v>7.0</v>
      </c>
      <c r="C151" s="36">
        <f t="shared" si="1"/>
        <v>2</v>
      </c>
      <c r="D151" s="57">
        <v>0.0</v>
      </c>
      <c r="E151" s="39">
        <f t="shared" si="2"/>
        <v>0</v>
      </c>
      <c r="F151" s="41">
        <f t="shared" si="3"/>
        <v>0</v>
      </c>
      <c r="G151" s="51" t="s">
        <v>21</v>
      </c>
      <c r="H151" s="51" t="s">
        <v>21</v>
      </c>
      <c r="I151" s="45" t="str">
        <f>HYPERLINK("https://twitter.com/MsppOfficiel/status/1242476606083321863","Source")</f>
        <v>Source</v>
      </c>
      <c r="J151" s="20"/>
      <c r="K151" s="20"/>
      <c r="L151" s="57">
        <v>5.0</v>
      </c>
      <c r="M151" s="57">
        <v>0.0</v>
      </c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30.0" customHeight="1">
      <c r="A152" s="30" t="s">
        <v>275</v>
      </c>
      <c r="B152" s="57">
        <v>6.0</v>
      </c>
      <c r="C152" s="36">
        <f t="shared" si="1"/>
        <v>0</v>
      </c>
      <c r="D152" s="57">
        <v>1.0</v>
      </c>
      <c r="E152" s="39">
        <f t="shared" si="2"/>
        <v>0</v>
      </c>
      <c r="F152" s="41">
        <f t="shared" si="3"/>
        <v>0.1666666667</v>
      </c>
      <c r="G152" s="51" t="s">
        <v>21</v>
      </c>
      <c r="H152" s="51" t="s">
        <v>21</v>
      </c>
      <c r="I152" s="45" t="str">
        <f>HYPERLINK("https://www.gabonmediatime.com/gabon-un-6eme-cas-teste-positif-au-coronavirus/","Source")</f>
        <v>Source</v>
      </c>
      <c r="J152" s="20"/>
      <c r="K152" s="20"/>
      <c r="L152" s="57">
        <v>6.0</v>
      </c>
      <c r="M152" s="57">
        <v>1.0</v>
      </c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30.0" customHeight="1">
      <c r="A153" s="30" t="s">
        <v>276</v>
      </c>
      <c r="B153" s="57">
        <v>6.0</v>
      </c>
      <c r="C153" s="36">
        <f t="shared" si="1"/>
        <v>2</v>
      </c>
      <c r="D153" s="57">
        <v>1.0</v>
      </c>
      <c r="E153" s="39">
        <f t="shared" si="2"/>
        <v>0</v>
      </c>
      <c r="F153" s="41">
        <f t="shared" si="3"/>
        <v>0.1666666667</v>
      </c>
      <c r="G153" s="51" t="s">
        <v>21</v>
      </c>
      <c r="H153" s="51" t="s">
        <v>21</v>
      </c>
      <c r="I153" s="45" t="str">
        <f>HYPERLINK("https://www.curacaochronicle.com/post/main/two-more-imported-covid-19-cases-announced-today/","Source")</f>
        <v>Source</v>
      </c>
      <c r="J153" s="20"/>
      <c r="K153" s="20"/>
      <c r="L153" s="57">
        <v>4.0</v>
      </c>
      <c r="M153" s="57">
        <v>1.0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30.0" customHeight="1">
      <c r="A154" s="30" t="s">
        <v>277</v>
      </c>
      <c r="B154" s="57">
        <v>6.0</v>
      </c>
      <c r="C154" s="36">
        <f t="shared" si="1"/>
        <v>1</v>
      </c>
      <c r="D154" s="57">
        <v>1.0</v>
      </c>
      <c r="E154" s="39">
        <f t="shared" si="2"/>
        <v>0</v>
      </c>
      <c r="F154" s="41">
        <f t="shared" si="3"/>
        <v>0.1666666667</v>
      </c>
      <c r="G154" s="51" t="s">
        <v>21</v>
      </c>
      <c r="H154" s="51" t="s">
        <v>21</v>
      </c>
      <c r="I154" s="45" t="str">
        <f>HYPERLINK("http://www.gov.ky/portal/page/portal/cighome/pressroom/archive/March%202020/Coronavirus%20Update%2024%20March%202020","Source")</f>
        <v>Source</v>
      </c>
      <c r="J154" s="20"/>
      <c r="K154" s="20"/>
      <c r="L154" s="57">
        <v>5.0</v>
      </c>
      <c r="M154" s="57">
        <v>1.0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30.0" customHeight="1">
      <c r="A155" s="30" t="s">
        <v>278</v>
      </c>
      <c r="B155" s="57">
        <v>6.0</v>
      </c>
      <c r="C155" s="36">
        <f t="shared" si="1"/>
        <v>0</v>
      </c>
      <c r="D155" s="57">
        <v>0.0</v>
      </c>
      <c r="E155" s="39">
        <f t="shared" si="2"/>
        <v>0</v>
      </c>
      <c r="F155" s="41">
        <f t="shared" si="3"/>
        <v>0</v>
      </c>
      <c r="G155" s="51" t="s">
        <v>21</v>
      </c>
      <c r="H155" s="51" t="s">
        <v>21</v>
      </c>
      <c r="I155" s="45" t="str">
        <f>HYPERLINK("https://pbs.twimg.com/media/ETyT5dFXsAUzuj3?format=jpg&amp;name=large","Source")</f>
        <v>Source</v>
      </c>
      <c r="J155" s="20"/>
      <c r="K155" s="20"/>
      <c r="L155" s="57">
        <v>6.0</v>
      </c>
      <c r="M155" s="57">
        <v>0.0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30.0" customHeight="1">
      <c r="A156" s="30" t="s">
        <v>279</v>
      </c>
      <c r="B156" s="57">
        <v>6.0</v>
      </c>
      <c r="C156" s="36">
        <f t="shared" si="1"/>
        <v>0</v>
      </c>
      <c r="D156" s="57">
        <v>0.0</v>
      </c>
      <c r="E156" s="39">
        <f t="shared" si="2"/>
        <v>0</v>
      </c>
      <c r="F156" s="41">
        <f t="shared" si="3"/>
        <v>0</v>
      </c>
      <c r="G156" s="51" t="s">
        <v>21</v>
      </c>
      <c r="H156" s="51" t="s">
        <v>21</v>
      </c>
      <c r="I156" s="45" t="str">
        <f>HYPERLINK("https://www.banouto.info/article/bien-etre/20200323-coronavirus-au-bnin-04-nouveaux-cas-imports/","Source")</f>
        <v>Source</v>
      </c>
      <c r="J156" s="20"/>
      <c r="K156" s="20"/>
      <c r="L156" s="57">
        <v>6.0</v>
      </c>
      <c r="M156" s="57">
        <v>0.0</v>
      </c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30.0" customHeight="1">
      <c r="A157" s="30" t="s">
        <v>280</v>
      </c>
      <c r="B157" s="57">
        <v>6.0</v>
      </c>
      <c r="C157" s="36">
        <f t="shared" si="1"/>
        <v>2</v>
      </c>
      <c r="D157" s="57">
        <v>0.0</v>
      </c>
      <c r="E157" s="39">
        <f t="shared" si="2"/>
        <v>0</v>
      </c>
      <c r="F157" s="41">
        <f t="shared" si="3"/>
        <v>0</v>
      </c>
      <c r="G157" s="51">
        <v>0.0</v>
      </c>
      <c r="H157" s="51">
        <v>0.0</v>
      </c>
      <c r="I157" s="45" t="str">
        <f>HYPERLINK("https://www.facebook.com/339157366757273/photos/a.500031154003226/501701767169498/?type=3&amp;theater","Source")</f>
        <v>Source</v>
      </c>
      <c r="J157" s="20"/>
      <c r="K157" s="20"/>
      <c r="L157" s="57">
        <v>4.0</v>
      </c>
      <c r="M157" s="57">
        <v>0.0</v>
      </c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30.0" customHeight="1">
      <c r="A158" s="30" t="s">
        <v>281</v>
      </c>
      <c r="B158" s="57">
        <v>5.0</v>
      </c>
      <c r="C158" s="36">
        <v>0.0</v>
      </c>
      <c r="D158" s="57">
        <v>1.0</v>
      </c>
      <c r="E158" s="39">
        <f t="shared" si="2"/>
        <v>1</v>
      </c>
      <c r="F158" s="41">
        <f t="shared" si="3"/>
        <v>0.2</v>
      </c>
      <c r="G158" s="51" t="s">
        <v>21</v>
      </c>
      <c r="H158" s="51" t="s">
        <v>21</v>
      </c>
      <c r="I158" s="45" t="str">
        <f>HYPERLINK("http://demerarawaves.com/2020/03/24/4-confirmed-coronavirus-cases-in-guyana-13-in-mandatory-quarantine/","Source")</f>
        <v>Source</v>
      </c>
      <c r="J158" s="20"/>
      <c r="K158" s="20"/>
      <c r="L158" s="57">
        <v>5.0</v>
      </c>
      <c r="M158" s="57">
        <v>0.0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30.0" customHeight="1">
      <c r="A159" s="30" t="s">
        <v>282</v>
      </c>
      <c r="B159" s="57">
        <v>5.0</v>
      </c>
      <c r="C159" s="36">
        <f t="shared" ref="C159:C192" si="4">MINUS(B159,L159)</f>
        <v>0</v>
      </c>
      <c r="D159" s="57">
        <v>0.0</v>
      </c>
      <c r="E159" s="39">
        <f t="shared" si="2"/>
        <v>0</v>
      </c>
      <c r="F159" s="41">
        <f t="shared" si="3"/>
        <v>0</v>
      </c>
      <c r="G159" s="51">
        <v>0.0</v>
      </c>
      <c r="H159" s="51">
        <v>0.0</v>
      </c>
      <c r="I159" s="45" t="str">
        <f>HYPERLINK("https://twitter.com/EswatiniGovern1/status/1242185164622610436","Source")</f>
        <v>Source</v>
      </c>
      <c r="J159" s="20"/>
      <c r="K159" s="20"/>
      <c r="L159" s="57">
        <v>5.0</v>
      </c>
      <c r="M159" s="57">
        <v>0.0</v>
      </c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30.0" customHeight="1">
      <c r="A160" s="30" t="s">
        <v>283</v>
      </c>
      <c r="B160" s="57">
        <v>5.0</v>
      </c>
      <c r="C160" s="36">
        <f t="shared" si="4"/>
        <v>1</v>
      </c>
      <c r="D160" s="57">
        <v>0.0</v>
      </c>
      <c r="E160" s="39">
        <f t="shared" si="2"/>
        <v>0</v>
      </c>
      <c r="F160" s="41">
        <f t="shared" si="3"/>
        <v>0</v>
      </c>
      <c r="G160" s="51" t="s">
        <v>21</v>
      </c>
      <c r="H160" s="51">
        <v>0.0</v>
      </c>
      <c r="I160" s="45" t="str">
        <f>HYPERLINK("https://twitter.com/Nadokoulu/status/1242676427218026498","Source")</f>
        <v>Source</v>
      </c>
      <c r="J160" s="20"/>
      <c r="K160" s="20"/>
      <c r="L160" s="57">
        <v>4.0</v>
      </c>
      <c r="M160" s="57">
        <v>0.0</v>
      </c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30.0" customHeight="1">
      <c r="A161" s="30" t="s">
        <v>284</v>
      </c>
      <c r="B161" s="57">
        <v>5.0</v>
      </c>
      <c r="C161" s="36">
        <f t="shared" si="4"/>
        <v>1</v>
      </c>
      <c r="D161" s="57">
        <v>0.0</v>
      </c>
      <c r="E161" s="39">
        <f t="shared" si="2"/>
        <v>0</v>
      </c>
      <c r="F161" s="41">
        <f t="shared" si="3"/>
        <v>0</v>
      </c>
      <c r="G161" s="51" t="s">
        <v>21</v>
      </c>
      <c r="H161" s="51">
        <v>2.0</v>
      </c>
      <c r="I161" s="45" t="str">
        <f>HYPERLINK("https://sermitsiaq.ag/mere-smittet-corona","Source")</f>
        <v>Source</v>
      </c>
      <c r="J161" s="20"/>
      <c r="K161" s="20"/>
      <c r="L161" s="57">
        <v>4.0</v>
      </c>
      <c r="M161" s="57">
        <v>0.0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30.0" customHeight="1">
      <c r="A162" s="30" t="s">
        <v>285</v>
      </c>
      <c r="B162" s="57">
        <v>4.0</v>
      </c>
      <c r="C162" s="36">
        <f t="shared" si="4"/>
        <v>0</v>
      </c>
      <c r="D162" s="57">
        <v>0.0</v>
      </c>
      <c r="E162" s="39">
        <f t="shared" si="2"/>
        <v>0</v>
      </c>
      <c r="F162" s="41">
        <f t="shared" si="3"/>
        <v>0</v>
      </c>
      <c r="G162" s="51" t="s">
        <v>21</v>
      </c>
      <c r="H162" s="51" t="s">
        <v>21</v>
      </c>
      <c r="I162" s="45" t="str">
        <f>HYPERLINK("https://pbs.twimg.com/media/ETyT5dFXsAUzuj3?format=jpg&amp;name=large","Source")</f>
        <v>Source</v>
      </c>
      <c r="J162" s="20"/>
      <c r="K162" s="20"/>
      <c r="L162" s="57">
        <v>4.0</v>
      </c>
      <c r="M162" s="57">
        <v>0.0</v>
      </c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30.0" customHeight="1">
      <c r="A163" s="30" t="s">
        <v>286</v>
      </c>
      <c r="B163" s="57">
        <v>4.0</v>
      </c>
      <c r="C163" s="36">
        <f t="shared" si="4"/>
        <v>0</v>
      </c>
      <c r="D163" s="57">
        <v>0.0</v>
      </c>
      <c r="E163" s="39">
        <f t="shared" si="2"/>
        <v>0</v>
      </c>
      <c r="F163" s="41">
        <f t="shared" si="3"/>
        <v>0</v>
      </c>
      <c r="G163" s="51">
        <v>0.0</v>
      </c>
      <c r="H163" s="51">
        <v>0.0</v>
      </c>
      <c r="I163" s="45" t="str">
        <f>HYPERLINK("https://opmbahamas.com/press-statement-covid-19-press-conference/?fbclid=IwAR1asEbVO5vAVWNMBcN2CF8ikL31k3V4LjOfDB61NaWcO0ZavhNEMWYkdys","Source")</f>
        <v>Source</v>
      </c>
      <c r="J163" s="20"/>
      <c r="K163" s="20"/>
      <c r="L163" s="57">
        <v>4.0</v>
      </c>
      <c r="M163" s="57">
        <v>0.0</v>
      </c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30.0" customHeight="1">
      <c r="A164" s="30" t="s">
        <v>287</v>
      </c>
      <c r="B164" s="57">
        <v>4.0</v>
      </c>
      <c r="C164" s="36">
        <f t="shared" si="4"/>
        <v>0</v>
      </c>
      <c r="D164" s="57">
        <v>0.0</v>
      </c>
      <c r="E164" s="39">
        <f t="shared" si="2"/>
        <v>0</v>
      </c>
      <c r="F164" s="41">
        <f t="shared" si="3"/>
        <v>0</v>
      </c>
      <c r="G164" s="51" t="s">
        <v>21</v>
      </c>
      <c r="H164" s="51" t="s">
        <v>21</v>
      </c>
      <c r="I164" s="45" t="str">
        <f>HYPERLINK("https://pbs.twimg.com/media/ETyT5dFXsAUzuj3?format=jpg&amp;name=large","Source")</f>
        <v>Source</v>
      </c>
      <c r="J164" s="20"/>
      <c r="K164" s="20"/>
      <c r="L164" s="57">
        <v>4.0</v>
      </c>
      <c r="M164" s="57">
        <v>0.0</v>
      </c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30.0" customHeight="1">
      <c r="A165" s="30" t="s">
        <v>288</v>
      </c>
      <c r="B165" s="57">
        <v>4.0</v>
      </c>
      <c r="C165" s="36">
        <f t="shared" si="4"/>
        <v>0</v>
      </c>
      <c r="D165" s="57">
        <v>0.0</v>
      </c>
      <c r="E165" s="39">
        <f t="shared" si="2"/>
        <v>0</v>
      </c>
      <c r="F165" s="41">
        <f t="shared" si="3"/>
        <v>0</v>
      </c>
      <c r="G165" s="51" t="s">
        <v>21</v>
      </c>
      <c r="H165" s="51">
        <v>1.0</v>
      </c>
      <c r="I165" s="45" t="str">
        <f>HYPERLINK("https://www.facebook.com/Sanitaire.net/photos/a.203541090096324/878986832551743/?type=3&amp;theater","Source")</f>
        <v>Source</v>
      </c>
      <c r="J165" s="20"/>
      <c r="K165" s="20"/>
      <c r="L165" s="57">
        <v>4.0</v>
      </c>
      <c r="M165" s="57">
        <v>0.0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30.0" customHeight="1">
      <c r="A166" s="30" t="s">
        <v>289</v>
      </c>
      <c r="B166" s="57">
        <v>4.0</v>
      </c>
      <c r="C166" s="36">
        <f t="shared" si="4"/>
        <v>0</v>
      </c>
      <c r="D166" s="57">
        <v>0.0</v>
      </c>
      <c r="E166" s="39">
        <f t="shared" si="2"/>
        <v>0</v>
      </c>
      <c r="F166" s="41">
        <f t="shared" si="3"/>
        <v>0</v>
      </c>
      <c r="G166" s="51" t="s">
        <v>21</v>
      </c>
      <c r="H166" s="51" t="s">
        <v>21</v>
      </c>
      <c r="I166" s="45" t="str">
        <f>HYPERLINK("https://www.facebook.com/ministeresantetchad/photos/a.597628504017561/869032150210527/?type=3&amp;theater","Source")</f>
        <v>Source</v>
      </c>
      <c r="J166" s="20"/>
      <c r="K166" s="20"/>
      <c r="L166" s="57">
        <v>4.0</v>
      </c>
      <c r="M166" s="57">
        <v>0.0</v>
      </c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30.0" customHeight="1">
      <c r="A167" s="30" t="s">
        <v>290</v>
      </c>
      <c r="B167" s="57">
        <v>4.0</v>
      </c>
      <c r="C167" s="36">
        <f t="shared" si="4"/>
        <v>0</v>
      </c>
      <c r="D167" s="57">
        <v>0.0</v>
      </c>
      <c r="E167" s="39">
        <f t="shared" si="2"/>
        <v>0</v>
      </c>
      <c r="F167" s="41">
        <f t="shared" si="3"/>
        <v>0</v>
      </c>
      <c r="G167" s="51" t="s">
        <v>21</v>
      </c>
      <c r="H167" s="51" t="s">
        <v>21</v>
      </c>
      <c r="I167" s="45" t="str">
        <f>HYPERLINK("https://pbs.twimg.com/media/ETyT5dFXsAUzuj3?format=jpg&amp;name=large","Source")</f>
        <v>Source</v>
      </c>
      <c r="J167" s="20"/>
      <c r="K167" s="20"/>
      <c r="L167" s="57">
        <v>4.0</v>
      </c>
      <c r="M167" s="57">
        <v>0.0</v>
      </c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27.75" customHeight="1">
      <c r="A168" s="30" t="s">
        <v>291</v>
      </c>
      <c r="B168" s="85">
        <v>4.0</v>
      </c>
      <c r="C168" s="86">
        <f t="shared" si="4"/>
        <v>3</v>
      </c>
      <c r="D168" s="87">
        <v>0.0</v>
      </c>
      <c r="E168" s="88">
        <f t="shared" si="2"/>
        <v>0</v>
      </c>
      <c r="F168" s="41">
        <f t="shared" si="3"/>
        <v>0</v>
      </c>
      <c r="G168" s="51" t="s">
        <v>21</v>
      </c>
      <c r="H168" s="51" t="s">
        <v>21</v>
      </c>
      <c r="I168" s="45" t="str">
        <f>HYPERLINK("https://www.ilmessaggero.it/vaticano/coronavirus_vaticano_papa_francesco_casi_contagi_curia_comunicato_uffici_amuchina-5130705.html","Source")</f>
        <v>Source</v>
      </c>
      <c r="J168" s="20"/>
      <c r="K168" s="20"/>
      <c r="L168" s="85">
        <v>1.0</v>
      </c>
      <c r="M168" s="87">
        <v>0.0</v>
      </c>
      <c r="N168" s="22"/>
      <c r="O168" s="89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30.0" customHeight="1">
      <c r="A169" s="30" t="s">
        <v>292</v>
      </c>
      <c r="B169" s="57">
        <v>3.0</v>
      </c>
      <c r="C169" s="36">
        <f t="shared" si="4"/>
        <v>0</v>
      </c>
      <c r="D169" s="57">
        <v>0.0</v>
      </c>
      <c r="E169" s="39">
        <f t="shared" si="2"/>
        <v>0</v>
      </c>
      <c r="F169" s="41">
        <f t="shared" si="3"/>
        <v>0</v>
      </c>
      <c r="G169" s="51" t="s">
        <v>21</v>
      </c>
      <c r="H169" s="51" t="s">
        <v>21</v>
      </c>
      <c r="I169" s="45" t="str">
        <f>HYPERLINK("http://www.angop.ao/angola/en_us/noticias/saude/2020/2/13/COVID-Angola-without-new-positive-cases,0ba8f0e3-af0b-46ff-a2b7-8289ebb5a0d8.html","Source")</f>
        <v>Source</v>
      </c>
      <c r="J169" s="20"/>
      <c r="K169" s="20"/>
      <c r="L169" s="57">
        <v>3.0</v>
      </c>
      <c r="M169" s="57">
        <v>0.0</v>
      </c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30.0" customHeight="1">
      <c r="A170" s="30" t="s">
        <v>293</v>
      </c>
      <c r="B170" s="57">
        <v>3.0</v>
      </c>
      <c r="C170" s="36">
        <f t="shared" si="4"/>
        <v>0</v>
      </c>
      <c r="D170" s="57">
        <v>0.0</v>
      </c>
      <c r="E170" s="39">
        <f t="shared" si="2"/>
        <v>0</v>
      </c>
      <c r="F170" s="41">
        <f t="shared" si="3"/>
        <v>0</v>
      </c>
      <c r="G170" s="51">
        <v>0.0</v>
      </c>
      <c r="H170" s="51">
        <v>0.0</v>
      </c>
      <c r="I170" s="45" t="str">
        <f>HYPERLINK("http://www.looptt.com/content/antigua-and-barbuda-covid-19-cases-increase-3","Source")</f>
        <v>Source</v>
      </c>
      <c r="J170" s="20"/>
      <c r="K170" s="20"/>
      <c r="L170" s="57">
        <v>3.0</v>
      </c>
      <c r="M170" s="57">
        <v>0.0</v>
      </c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30.0" customHeight="1">
      <c r="A171" s="30" t="s">
        <v>294</v>
      </c>
      <c r="B171" s="57">
        <v>3.0</v>
      </c>
      <c r="C171" s="36">
        <f t="shared" si="4"/>
        <v>0</v>
      </c>
      <c r="D171" s="57">
        <v>0.0</v>
      </c>
      <c r="E171" s="39">
        <f t="shared" si="2"/>
        <v>0</v>
      </c>
      <c r="F171" s="41">
        <f t="shared" si="3"/>
        <v>0</v>
      </c>
      <c r="G171" s="51">
        <v>0.0</v>
      </c>
      <c r="H171" s="51">
        <v>0.0</v>
      </c>
      <c r="I171" s="45" t="str">
        <f>HYPERLINK("https://www.stlucia.org/en/covid-19/","Source")</f>
        <v>Source</v>
      </c>
      <c r="J171" s="20"/>
      <c r="K171" s="20"/>
      <c r="L171" s="57">
        <v>3.0</v>
      </c>
      <c r="M171" s="57">
        <v>0.0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30.0" customHeight="1">
      <c r="A172" s="30" t="s">
        <v>295</v>
      </c>
      <c r="B172" s="57">
        <v>3.0</v>
      </c>
      <c r="C172" s="36">
        <f t="shared" si="4"/>
        <v>0</v>
      </c>
      <c r="D172" s="57">
        <v>1.0</v>
      </c>
      <c r="E172" s="39">
        <f t="shared" si="2"/>
        <v>0</v>
      </c>
      <c r="F172" s="41">
        <f t="shared" si="3"/>
        <v>0.3333333333</v>
      </c>
      <c r="G172" s="51">
        <v>0.0</v>
      </c>
      <c r="H172" s="51">
        <v>0.0</v>
      </c>
      <c r="I172" s="45" t="str">
        <f>HYPERLINK("https://twitter.com/MoHCCZim/status/1242545534889590789","Source")</f>
        <v>Source</v>
      </c>
      <c r="J172" s="20"/>
      <c r="K172" s="20"/>
      <c r="L172" s="57">
        <v>3.0</v>
      </c>
      <c r="M172" s="57">
        <v>1.0</v>
      </c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30.0" customHeight="1">
      <c r="A173" s="30" t="s">
        <v>296</v>
      </c>
      <c r="B173" s="57">
        <v>3.0</v>
      </c>
      <c r="C173" s="36">
        <f t="shared" si="4"/>
        <v>1</v>
      </c>
      <c r="D173" s="57">
        <v>0.0</v>
      </c>
      <c r="E173" s="39">
        <f t="shared" si="2"/>
        <v>0</v>
      </c>
      <c r="F173" s="41">
        <f t="shared" si="3"/>
        <v>0</v>
      </c>
      <c r="G173" s="51" t="s">
        <v>21</v>
      </c>
      <c r="H173" s="51">
        <v>1.0</v>
      </c>
      <c r="I173" s="45" t="str">
        <f>HYPERLINK("https://www.bbc.com/nepali/news-52031191","Source")</f>
        <v>Source</v>
      </c>
      <c r="J173" s="20"/>
      <c r="K173" s="20"/>
      <c r="L173" s="57">
        <v>2.0</v>
      </c>
      <c r="M173" s="57">
        <v>0.0</v>
      </c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30.0" customHeight="1">
      <c r="A174" s="30" t="s">
        <v>297</v>
      </c>
      <c r="B174" s="57">
        <v>3.0</v>
      </c>
      <c r="C174" s="36">
        <f t="shared" si="4"/>
        <v>1</v>
      </c>
      <c r="D174" s="57">
        <v>1.0</v>
      </c>
      <c r="E174" s="39">
        <f t="shared" si="2"/>
        <v>0</v>
      </c>
      <c r="F174" s="41">
        <f t="shared" si="3"/>
        <v>0.3333333333</v>
      </c>
      <c r="G174" s="51" t="s">
        <v>21</v>
      </c>
      <c r="H174" s="51" t="s">
        <v>21</v>
      </c>
      <c r="I174" s="45" t="str">
        <f>HYPERLINK("https://twitter.com/MohGambia/status/1242530589959507970","Source")</f>
        <v>Source</v>
      </c>
      <c r="J174" s="20"/>
      <c r="K174" s="20"/>
      <c r="L174" s="57">
        <v>2.0</v>
      </c>
      <c r="M174" s="57">
        <v>1.0</v>
      </c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30.0" customHeight="1">
      <c r="A175" s="30" t="s">
        <v>298</v>
      </c>
      <c r="B175" s="57">
        <v>3.0</v>
      </c>
      <c r="C175" s="36">
        <f t="shared" si="4"/>
        <v>1</v>
      </c>
      <c r="D175" s="57">
        <v>0.0</v>
      </c>
      <c r="E175" s="39">
        <f t="shared" si="2"/>
        <v>0</v>
      </c>
      <c r="F175" s="41">
        <f t="shared" si="3"/>
        <v>0</v>
      </c>
      <c r="G175" s="51" t="s">
        <v>21</v>
      </c>
      <c r="H175" s="51">
        <v>0.0</v>
      </c>
      <c r="I175" s="45" t="str">
        <f>HYPERLINK("https://www.mmtimes.com/news/myanmar-confirms-third-case-covid-19.html","Source")</f>
        <v>Source</v>
      </c>
      <c r="J175" s="20"/>
      <c r="K175" s="20"/>
      <c r="L175" s="57">
        <v>2.0</v>
      </c>
      <c r="M175" s="57">
        <v>0.0</v>
      </c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27.75" customHeight="1">
      <c r="A176" s="30" t="s">
        <v>299</v>
      </c>
      <c r="B176" s="57">
        <v>2.0</v>
      </c>
      <c r="C176" s="86">
        <f t="shared" si="4"/>
        <v>0</v>
      </c>
      <c r="D176" s="57">
        <v>0.0</v>
      </c>
      <c r="E176" s="39">
        <f t="shared" si="2"/>
        <v>0</v>
      </c>
      <c r="F176" s="41">
        <f t="shared" si="3"/>
        <v>0</v>
      </c>
      <c r="G176" s="51" t="s">
        <v>21</v>
      </c>
      <c r="H176" s="51" t="s">
        <v>21</v>
      </c>
      <c r="I176" s="45" t="str">
        <f>HYPERLINK("https://www.facebook.com/PMOBhutan/photos/a.630832867029420/2782662315179787/?type=3&amp;post","Source")</f>
        <v>Source</v>
      </c>
      <c r="J176" s="20"/>
      <c r="K176" s="20"/>
      <c r="L176" s="57">
        <v>2.0</v>
      </c>
      <c r="M176" s="57">
        <v>0.0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30.0" customHeight="1">
      <c r="A177" s="30" t="s">
        <v>300</v>
      </c>
      <c r="B177" s="57">
        <v>2.0</v>
      </c>
      <c r="C177" s="36">
        <f t="shared" si="4"/>
        <v>0</v>
      </c>
      <c r="D177" s="57">
        <v>1.0</v>
      </c>
      <c r="E177" s="39">
        <f t="shared" si="2"/>
        <v>0</v>
      </c>
      <c r="F177" s="41">
        <f t="shared" si="3"/>
        <v>0.5</v>
      </c>
      <c r="G177" s="51" t="s">
        <v>21</v>
      </c>
      <c r="H177" s="51" t="s">
        <v>21</v>
      </c>
      <c r="I177" s="45" t="str">
        <f>HYPERLINK("https://www.suna-sd.net/ar/single?id=604526","Source")</f>
        <v>Source</v>
      </c>
      <c r="J177" s="20"/>
      <c r="K177" s="20"/>
      <c r="L177" s="57">
        <v>2.0</v>
      </c>
      <c r="M177" s="57">
        <v>1.0</v>
      </c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30.0" customHeight="1">
      <c r="A178" s="30" t="s">
        <v>175</v>
      </c>
      <c r="B178" s="57">
        <v>2.0</v>
      </c>
      <c r="C178" s="36">
        <f t="shared" si="4"/>
        <v>0</v>
      </c>
      <c r="D178" s="57">
        <v>0.0</v>
      </c>
      <c r="E178" s="39">
        <f t="shared" si="2"/>
        <v>0</v>
      </c>
      <c r="F178" s="41">
        <f t="shared" si="3"/>
        <v>0</v>
      </c>
      <c r="G178" s="51">
        <v>0.0</v>
      </c>
      <c r="H178" s="51">
        <v>0.0</v>
      </c>
      <c r="I178" s="45" t="str">
        <f>HYPERLINK("https://www.laprensa.com.ni/2020/03/24/nacionales/2655023-rosario-murillo-todas-las-pruebas-del-covid-19-han-resultado-negativas","Source")</f>
        <v>Source</v>
      </c>
      <c r="J178" s="20"/>
      <c r="K178" s="20"/>
      <c r="L178" s="57">
        <v>2.0</v>
      </c>
      <c r="M178" s="57">
        <v>0.0</v>
      </c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30.0" customHeight="1">
      <c r="A179" s="30" t="s">
        <v>301</v>
      </c>
      <c r="B179" s="57">
        <v>2.0</v>
      </c>
      <c r="C179" s="36">
        <f t="shared" si="4"/>
        <v>0</v>
      </c>
      <c r="D179" s="57">
        <v>0.0</v>
      </c>
      <c r="E179" s="39">
        <f t="shared" si="2"/>
        <v>0</v>
      </c>
      <c r="F179" s="41">
        <f t="shared" si="3"/>
        <v>0</v>
      </c>
      <c r="G179" s="51">
        <v>0.0</v>
      </c>
      <c r="H179" s="51">
        <v>0.0</v>
      </c>
      <c r="I179" s="45" t="str">
        <f>HYPERLINK("http://www.sante.gov.mr/?p=3743","Source")</f>
        <v>Source</v>
      </c>
      <c r="J179" s="20"/>
      <c r="K179" s="20"/>
      <c r="L179" s="57">
        <v>2.0</v>
      </c>
      <c r="M179" s="57">
        <v>0.0</v>
      </c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30.0" customHeight="1">
      <c r="A180" s="30" t="s">
        <v>302</v>
      </c>
      <c r="B180" s="57">
        <v>2.0</v>
      </c>
      <c r="C180" s="36">
        <f t="shared" si="4"/>
        <v>0</v>
      </c>
      <c r="D180" s="57">
        <v>0.0</v>
      </c>
      <c r="E180" s="39">
        <f t="shared" si="2"/>
        <v>0</v>
      </c>
      <c r="F180" s="41">
        <f t="shared" si="3"/>
        <v>0</v>
      </c>
      <c r="G180" s="51" t="s">
        <v>21</v>
      </c>
      <c r="H180" s="51">
        <v>0.0</v>
      </c>
      <c r="I180" s="45" t="str">
        <f>HYPERLINK("http://www.sintmaartengov.org/PressReleases/Pages/Prime-Minister-Jacobs-provides-overview-of-weekend-arrivals-of-Sint-Maarten-residents-who-returned-home.aspx","Source")</f>
        <v>Source</v>
      </c>
      <c r="J180" s="20"/>
      <c r="K180" s="20"/>
      <c r="L180" s="57">
        <v>2.0</v>
      </c>
      <c r="M180" s="57">
        <v>0.0</v>
      </c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30.0" customHeight="1">
      <c r="A181" s="30" t="s">
        <v>303</v>
      </c>
      <c r="B181" s="57">
        <v>2.0</v>
      </c>
      <c r="C181" s="36">
        <f t="shared" si="4"/>
        <v>0</v>
      </c>
      <c r="D181" s="57">
        <v>0.0</v>
      </c>
      <c r="E181" s="39">
        <f t="shared" si="2"/>
        <v>0</v>
      </c>
      <c r="F181" s="41">
        <f t="shared" si="3"/>
        <v>0</v>
      </c>
      <c r="G181" s="51" t="s">
        <v>21</v>
      </c>
      <c r="H181" s="51" t="s">
        <v>21</v>
      </c>
      <c r="I181" s="45" t="str">
        <f>HYPERLINK("http://www.lesahel.org/index.php/2020/03/24/point-de-la-situation-du-covid-19-au-niger-2-cas-confirmes-positifs-provisoirement-90-personnes-en-quarantaine-selon-le-ministre-de-la-sante-publique/","Source")</f>
        <v>Source</v>
      </c>
      <c r="J181" s="20"/>
      <c r="K181" s="20"/>
      <c r="L181" s="57">
        <v>2.0</v>
      </c>
      <c r="M181" s="57">
        <v>0.0</v>
      </c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30.0" customHeight="1">
      <c r="A182" s="30" t="s">
        <v>304</v>
      </c>
      <c r="B182" s="57">
        <v>2.0</v>
      </c>
      <c r="C182" s="36">
        <f t="shared" si="4"/>
        <v>1</v>
      </c>
      <c r="D182" s="57">
        <v>0.0</v>
      </c>
      <c r="E182" s="39">
        <f t="shared" si="2"/>
        <v>0</v>
      </c>
      <c r="F182" s="41">
        <f t="shared" si="3"/>
        <v>0</v>
      </c>
      <c r="G182" s="51" t="s">
        <v>21</v>
      </c>
      <c r="H182" s="51" t="s">
        <v>21</v>
      </c>
      <c r="I182" s="45" t="str">
        <f>HYPERLINK("http://www.gov.ms/second-case-of-covid-19-confirmed-on-montserrat/","Source")</f>
        <v>Source</v>
      </c>
      <c r="J182" s="20"/>
      <c r="K182" s="20"/>
      <c r="L182" s="57">
        <v>1.0</v>
      </c>
      <c r="M182" s="57">
        <v>0.0</v>
      </c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30.0" customHeight="1">
      <c r="A183" s="30" t="s">
        <v>305</v>
      </c>
      <c r="B183" s="57">
        <v>1.0</v>
      </c>
      <c r="C183" s="36">
        <f t="shared" si="4"/>
        <v>0</v>
      </c>
      <c r="D183" s="57">
        <v>0.0</v>
      </c>
      <c r="E183" s="39">
        <f t="shared" si="2"/>
        <v>0</v>
      </c>
      <c r="F183" s="41">
        <f t="shared" si="3"/>
        <v>0</v>
      </c>
      <c r="G183" s="51" t="s">
        <v>21</v>
      </c>
      <c r="H183" s="51">
        <v>0.0</v>
      </c>
      <c r="I183" s="45" t="str">
        <f>HYPERLINK("https://www.sanpedrosun.com/health/2020/03/23/belize-registers-first-coronavirus-case-san-pedro-town-resident-tests-positive-for-covid-19/","Source")</f>
        <v>Source</v>
      </c>
      <c r="J183" s="20"/>
      <c r="K183" s="20"/>
      <c r="L183" s="57">
        <v>1.0</v>
      </c>
      <c r="M183" s="57">
        <v>0.0</v>
      </c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30.0" customHeight="1">
      <c r="A184" s="30" t="s">
        <v>306</v>
      </c>
      <c r="B184" s="57">
        <v>1.0</v>
      </c>
      <c r="C184" s="36">
        <f t="shared" si="4"/>
        <v>0</v>
      </c>
      <c r="D184" s="57">
        <v>0.0</v>
      </c>
      <c r="E184" s="39">
        <f t="shared" si="2"/>
        <v>0</v>
      </c>
      <c r="F184" s="41">
        <f t="shared" si="3"/>
        <v>0</v>
      </c>
      <c r="G184" s="51" t="s">
        <v>21</v>
      </c>
      <c r="H184" s="51">
        <v>0.0</v>
      </c>
      <c r="I184" s="45" t="str">
        <f>HYPERLINK("https://pbs.twimg.com/media/ETyT5dFXsAUzuj3?format=jpg&amp;name=large","Source")</f>
        <v>Source</v>
      </c>
      <c r="J184" s="20"/>
      <c r="K184" s="20"/>
      <c r="L184" s="57">
        <v>1.0</v>
      </c>
      <c r="M184" s="57">
        <v>0.0</v>
      </c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30.0" customHeight="1">
      <c r="A185" s="30" t="s">
        <v>307</v>
      </c>
      <c r="B185" s="57">
        <v>1.0</v>
      </c>
      <c r="C185" s="36">
        <f t="shared" si="4"/>
        <v>0</v>
      </c>
      <c r="D185" s="57">
        <v>0.0</v>
      </c>
      <c r="E185" s="39">
        <f t="shared" si="2"/>
        <v>0</v>
      </c>
      <c r="F185" s="41">
        <f t="shared" si="3"/>
        <v>0</v>
      </c>
      <c r="G185" s="51">
        <v>1.0</v>
      </c>
      <c r="H185" s="51">
        <v>0.0</v>
      </c>
      <c r="I185" s="45" t="str">
        <f>HYPERLINK("https://www.nowgrenada.com/2020/03/breaking-news-first-covid-19-patient-hospitalised/","Source")</f>
        <v>Source</v>
      </c>
      <c r="J185" s="20"/>
      <c r="K185" s="20"/>
      <c r="L185" s="57">
        <v>1.0</v>
      </c>
      <c r="M185" s="57">
        <v>0.0</v>
      </c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30.0" customHeight="1">
      <c r="A186" s="30" t="s">
        <v>308</v>
      </c>
      <c r="B186" s="57">
        <v>1.0</v>
      </c>
      <c r="C186" s="36">
        <f t="shared" si="4"/>
        <v>0</v>
      </c>
      <c r="D186" s="57">
        <v>0.0</v>
      </c>
      <c r="E186" s="39">
        <f t="shared" si="2"/>
        <v>0</v>
      </c>
      <c r="F186" s="41">
        <f t="shared" si="3"/>
        <v>0</v>
      </c>
      <c r="G186" s="51" t="s">
        <v>21</v>
      </c>
      <c r="H186" s="51">
        <v>0.0</v>
      </c>
      <c r="I186" s="45" t="str">
        <f>HYPERLINK("https://sana.sy/en/?p=188673","Source")</f>
        <v>Source</v>
      </c>
      <c r="J186" s="20"/>
      <c r="K186" s="20"/>
      <c r="L186" s="57">
        <v>1.0</v>
      </c>
      <c r="M186" s="57">
        <v>0.0</v>
      </c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30.0" customHeight="1">
      <c r="A187" s="30" t="s">
        <v>309</v>
      </c>
      <c r="B187" s="57">
        <v>1.0</v>
      </c>
      <c r="C187" s="36">
        <f t="shared" si="4"/>
        <v>0</v>
      </c>
      <c r="D187" s="57">
        <v>0.0</v>
      </c>
      <c r="E187" s="39">
        <f t="shared" si="2"/>
        <v>0</v>
      </c>
      <c r="F187" s="41">
        <f t="shared" si="3"/>
        <v>0</v>
      </c>
      <c r="G187" s="51" t="s">
        <v>21</v>
      </c>
      <c r="H187" s="51">
        <v>0.0</v>
      </c>
      <c r="I187" s="45" t="str">
        <f>HYPERLINK("https://postcourier.com.pg/passenger-who-came-in-contact-with-covid-19-patient-is-doing-well/","Source")</f>
        <v>Source</v>
      </c>
      <c r="J187" s="20"/>
      <c r="K187" s="20"/>
      <c r="L187" s="57">
        <v>1.0</v>
      </c>
      <c r="M187" s="57">
        <v>0.0</v>
      </c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30.0" customHeight="1">
      <c r="A188" s="30" t="s">
        <v>310</v>
      </c>
      <c r="B188" s="57">
        <v>1.0</v>
      </c>
      <c r="C188" s="36">
        <f t="shared" si="4"/>
        <v>0</v>
      </c>
      <c r="D188" s="57">
        <v>0.0</v>
      </c>
      <c r="E188" s="39">
        <f t="shared" si="2"/>
        <v>0</v>
      </c>
      <c r="F188" s="41">
        <f t="shared" si="3"/>
        <v>0</v>
      </c>
      <c r="G188" s="51" t="s">
        <v>21</v>
      </c>
      <c r="H188" s="51">
        <v>0.0</v>
      </c>
      <c r="I188" s="45" t="str">
        <f>HYPERLINK("https://pbs.twimg.com/media/ETyT5dFXsAUzuj3?format=jpg&amp;name=large","Source")</f>
        <v>Source</v>
      </c>
      <c r="J188" s="20"/>
      <c r="K188" s="20"/>
      <c r="L188" s="57">
        <v>1.0</v>
      </c>
      <c r="M188" s="57">
        <v>0.0</v>
      </c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30.0" customHeight="1">
      <c r="A189" s="30" t="s">
        <v>311</v>
      </c>
      <c r="B189" s="57">
        <v>1.0</v>
      </c>
      <c r="C189" s="36">
        <f t="shared" si="4"/>
        <v>0</v>
      </c>
      <c r="D189" s="57">
        <v>0.0</v>
      </c>
      <c r="E189" s="39">
        <f t="shared" si="2"/>
        <v>0</v>
      </c>
      <c r="F189" s="41">
        <f t="shared" si="3"/>
        <v>0</v>
      </c>
      <c r="G189" s="51" t="s">
        <v>21</v>
      </c>
      <c r="H189" s="51">
        <v>0.0</v>
      </c>
      <c r="I189" s="45" t="str">
        <f>HYPERLINK("https://www.gov.tc/moh/coronavirus/news/33-ministry-of-health-s-covid-19-update-12","Source")</f>
        <v>Source</v>
      </c>
      <c r="J189" s="20"/>
      <c r="K189" s="20"/>
      <c r="L189" s="57">
        <v>1.0</v>
      </c>
      <c r="M189" s="57">
        <v>0.0</v>
      </c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30.0" customHeight="1">
      <c r="A190" s="30" t="s">
        <v>312</v>
      </c>
      <c r="B190" s="57">
        <v>1.0</v>
      </c>
      <c r="C190" s="36">
        <f t="shared" si="4"/>
        <v>0</v>
      </c>
      <c r="D190" s="57">
        <v>0.0</v>
      </c>
      <c r="E190" s="39">
        <f t="shared" si="2"/>
        <v>0</v>
      </c>
      <c r="F190" s="41">
        <f t="shared" si="3"/>
        <v>0</v>
      </c>
      <c r="G190" s="51" t="s">
        <v>21</v>
      </c>
      <c r="H190" s="51" t="s">
        <v>21</v>
      </c>
      <c r="I190" s="45" t="str">
        <f>HYPERLINK("http://health.gov.vc/health/index.php/c/821-covid-19-confirm-case-for-saint-vincent-the-grenadines-still-stands-at-one","Source")</f>
        <v>Source</v>
      </c>
      <c r="J190" s="20"/>
      <c r="K190" s="20"/>
      <c r="L190" s="57">
        <v>1.0</v>
      </c>
      <c r="M190" s="57">
        <v>0.0</v>
      </c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30.0" customHeight="1">
      <c r="A191" s="30" t="s">
        <v>313</v>
      </c>
      <c r="B191" s="57">
        <v>1.0</v>
      </c>
      <c r="C191" s="36">
        <f t="shared" si="4"/>
        <v>0</v>
      </c>
      <c r="D191" s="57">
        <v>0.0</v>
      </c>
      <c r="E191" s="39">
        <f t="shared" si="2"/>
        <v>0</v>
      </c>
      <c r="F191" s="41">
        <f t="shared" si="3"/>
        <v>0</v>
      </c>
      <c r="G191" s="51" t="s">
        <v>21</v>
      </c>
      <c r="H191" s="51" t="s">
        <v>21</v>
      </c>
      <c r="I191" s="45" t="str">
        <f>HYPERLINK("https://news.trust.org/item/20200316134048-5il6b","Source")</f>
        <v>Source</v>
      </c>
      <c r="J191" s="20"/>
      <c r="K191" s="20"/>
      <c r="L191" s="57">
        <v>1.0</v>
      </c>
      <c r="M191" s="57">
        <v>0.0</v>
      </c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90" t="s">
        <v>136</v>
      </c>
      <c r="B192" s="91"/>
      <c r="C192" s="92">
        <f t="shared" si="4"/>
        <v>0</v>
      </c>
      <c r="D192" s="91"/>
      <c r="E192" s="93">
        <f t="shared" si="2"/>
        <v>0</v>
      </c>
      <c r="F192" s="94"/>
      <c r="G192" s="94"/>
      <c r="H192" s="94"/>
      <c r="I192" s="95"/>
      <c r="J192" s="82"/>
      <c r="K192" s="82"/>
      <c r="L192" s="91"/>
      <c r="M192" s="91"/>
      <c r="N192" s="82"/>
      <c r="O192" s="91">
        <v>6679.0</v>
      </c>
      <c r="P192" s="91">
        <v>216.0</v>
      </c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ht="30.0" customHeight="1">
      <c r="A193" s="96" t="s">
        <v>43</v>
      </c>
      <c r="B193" s="97">
        <f>sum(B7:B192, O192)</f>
        <v>475271</v>
      </c>
      <c r="C193" s="98">
        <f>SUM(C7:C192)</f>
        <v>49055</v>
      </c>
      <c r="D193" s="99">
        <f>sum(D7:D192, P192)</f>
        <v>21430</v>
      </c>
      <c r="E193" s="100">
        <f>SUM(E7:E192)</f>
        <v>2369</v>
      </c>
      <c r="F193" s="101">
        <f>DIVIDE(D193, B193)</f>
        <v>0.04509006441</v>
      </c>
      <c r="G193" s="102">
        <f t="shared" ref="G193:H193" si="5">sum(G7:G191)</f>
        <v>11881</v>
      </c>
      <c r="H193" s="103">
        <f t="shared" si="5"/>
        <v>110498</v>
      </c>
      <c r="I193" s="104"/>
      <c r="J193" s="20"/>
      <c r="K193" s="20"/>
      <c r="L193" s="97">
        <f>sum(L7:L192, Y192)</f>
        <v>419537</v>
      </c>
      <c r="M193" s="99">
        <f>sum(M7:M192, Y192)</f>
        <v>18845</v>
      </c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30.0" customHeight="1">
      <c r="A194" s="105"/>
      <c r="B194" s="106" t="s">
        <v>7</v>
      </c>
      <c r="C194" s="107" t="s">
        <v>16</v>
      </c>
      <c r="D194" s="108" t="s">
        <v>8</v>
      </c>
      <c r="E194" s="109" t="s">
        <v>17</v>
      </c>
      <c r="F194" s="109" t="s">
        <v>18</v>
      </c>
      <c r="G194" s="110" t="s">
        <v>19</v>
      </c>
      <c r="H194" s="111" t="s">
        <v>12</v>
      </c>
      <c r="I194" s="106"/>
      <c r="J194" s="70"/>
      <c r="K194" s="70"/>
      <c r="L194" s="106" t="s">
        <v>7</v>
      </c>
      <c r="M194" s="108" t="s">
        <v>8</v>
      </c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4" t="s">
        <v>0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 t="s">
        <v>1</v>
      </c>
      <c r="B2" s="2" t="s">
        <v>2</v>
      </c>
      <c r="D2" s="3" t="s">
        <v>3</v>
      </c>
      <c r="F2" s="6"/>
      <c r="G2" s="7"/>
      <c r="H2" s="8"/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1">
        <f t="shared" ref="A3:B3" si="1">SUM(B66, B67)</f>
        <v>68347</v>
      </c>
      <c r="B3" s="11">
        <f t="shared" si="1"/>
        <v>1037</v>
      </c>
      <c r="D3" s="12">
        <f>SUM(F66, F67)</f>
        <v>46</v>
      </c>
      <c r="F3" s="6"/>
      <c r="G3" s="7"/>
      <c r="H3" s="8"/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4"/>
      <c r="B4" s="7"/>
      <c r="C4" s="7"/>
      <c r="D4" s="6"/>
      <c r="E4" s="6"/>
      <c r="F4" s="6"/>
      <c r="G4" s="7"/>
      <c r="H4" s="8"/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16" t="s">
        <v>6</v>
      </c>
      <c r="B5" s="17" t="s">
        <v>7</v>
      </c>
      <c r="C5" s="17" t="s">
        <v>8</v>
      </c>
      <c r="D5" s="19" t="s">
        <v>9</v>
      </c>
      <c r="E5" s="19" t="s">
        <v>11</v>
      </c>
      <c r="F5" s="19" t="s">
        <v>12</v>
      </c>
      <c r="G5" s="17" t="s">
        <v>13</v>
      </c>
      <c r="H5" s="20"/>
      <c r="I5" s="20"/>
      <c r="J5" s="3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30.0" customHeight="1">
      <c r="A6" s="34" t="s">
        <v>22</v>
      </c>
      <c r="B6" s="38">
        <v>32966.0</v>
      </c>
      <c r="C6" s="40">
        <v>366.0</v>
      </c>
      <c r="D6" s="42">
        <v>840.0</v>
      </c>
      <c r="E6" s="42"/>
      <c r="F6" s="42"/>
      <c r="G6" s="46" t="str">
        <f>HYPERLINK("https://www.nbcnewyork.com/news/local/how-many-in-tri-state-have-tested-positive-for-coronavirus-here-are-latest-cases-by-the-numbers/2317721/","Source")</f>
        <v>Source</v>
      </c>
      <c r="H6" s="37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27.75" customHeight="1">
      <c r="A7" s="47" t="s">
        <v>25</v>
      </c>
      <c r="B7" s="49">
        <v>4402.0</v>
      </c>
      <c r="C7" s="50">
        <v>62.0</v>
      </c>
      <c r="D7" s="52"/>
      <c r="E7" s="53"/>
      <c r="F7" s="53"/>
      <c r="G7" s="58" t="str">
        <f>HYPERLINK("https://www.nj.gov/health/cd/topics/covid2019_dashboard.shtml","Source")</f>
        <v>Source</v>
      </c>
      <c r="H7" s="37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30.0" customHeight="1">
      <c r="A8" s="24" t="s">
        <v>30</v>
      </c>
      <c r="B8" s="26">
        <v>3154.0</v>
      </c>
      <c r="C8" s="48">
        <v>67.0</v>
      </c>
      <c r="D8" s="32"/>
      <c r="E8" s="32">
        <v>1.0</v>
      </c>
      <c r="F8" s="32">
        <v>1.0</v>
      </c>
      <c r="G8" s="35" t="str">
        <f>HYPERLINK("https://www.latimes.com/projects/california-coronavirus-cases-tracking-outbreak/","Source")</f>
        <v>Source</v>
      </c>
      <c r="H8" s="37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30.0" customHeight="1">
      <c r="A9" s="47" t="s">
        <v>32</v>
      </c>
      <c r="B9" s="49">
        <v>2580.0</v>
      </c>
      <c r="C9" s="50">
        <v>132.0</v>
      </c>
      <c r="D9" s="53"/>
      <c r="E9" s="53"/>
      <c r="F9" s="52">
        <v>19.0</v>
      </c>
      <c r="G9" s="58" t="str">
        <f>HYPERLINK("https://www.doh.wa.gov/Emergencies/Coronavirus","Source")</f>
        <v>Source</v>
      </c>
      <c r="H9" s="37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27.75" customHeight="1">
      <c r="A10" s="47" t="s">
        <v>35</v>
      </c>
      <c r="B10" s="49">
        <v>2294.0</v>
      </c>
      <c r="C10" s="50">
        <v>43.0</v>
      </c>
      <c r="D10" s="52"/>
      <c r="E10" s="53"/>
      <c r="F10" s="53"/>
      <c r="G10" s="58" t="str">
        <f>HYPERLINK("https://www.michigan.gov/coronavirus/0,9753,7-406-98163-520743--,00.html","Source")</f>
        <v>Source</v>
      </c>
      <c r="H10" s="37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30.0" customHeight="1">
      <c r="A11" s="24" t="s">
        <v>38</v>
      </c>
      <c r="B11" s="26">
        <v>1977.0</v>
      </c>
      <c r="C11" s="48">
        <v>23.0</v>
      </c>
      <c r="D11" s="32"/>
      <c r="E11" s="59"/>
      <c r="F11" s="59"/>
      <c r="G11" s="35" t="str">
        <f>HYPERLINK("https://floridahealthcovid19.gov/","Source")</f>
        <v>Source</v>
      </c>
      <c r="H11" s="37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27.75" customHeight="1">
      <c r="A12" s="47" t="s">
        <v>42</v>
      </c>
      <c r="B12" s="49">
        <v>1865.0</v>
      </c>
      <c r="C12" s="50">
        <v>21.0</v>
      </c>
      <c r="D12" s="52"/>
      <c r="E12" s="52"/>
      <c r="F12" s="52">
        <v>2.0</v>
      </c>
      <c r="G12" s="58" t="str">
        <f>HYPERLINK("http://www.dph.illinois.gov/topics-services/diseases-and-conditions/diseases-a-z-list/coronavirus","Source")</f>
        <v>Source</v>
      </c>
      <c r="H12" s="37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27.75" customHeight="1">
      <c r="A13" s="47" t="s">
        <v>44</v>
      </c>
      <c r="B13" s="49">
        <v>1838.0</v>
      </c>
      <c r="C13" s="50">
        <v>15.0</v>
      </c>
      <c r="D13" s="52"/>
      <c r="E13" s="53"/>
      <c r="F13" s="53"/>
      <c r="G13" s="58" t="str">
        <f>HYPERLINK("https://www.mass.gov/doc/covid-19-cases-in-massachusetts-as-of-march-25-2020/download","Source")</f>
        <v>Source</v>
      </c>
      <c r="H13" s="37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27.75" customHeight="1">
      <c r="A14" s="47" t="s">
        <v>46</v>
      </c>
      <c r="B14" s="49">
        <v>1795.0</v>
      </c>
      <c r="C14" s="50">
        <v>65.0</v>
      </c>
      <c r="D14" s="52"/>
      <c r="E14" s="53"/>
      <c r="F14" s="53"/>
      <c r="G14" s="58" t="str">
        <f>HYPERLINK("http://ldh.la.gov/coronavirus/","Source")</f>
        <v>Source</v>
      </c>
      <c r="H14" s="37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30.0" customHeight="1">
      <c r="A15" s="47" t="s">
        <v>48</v>
      </c>
      <c r="B15" s="49">
        <v>1387.0</v>
      </c>
      <c r="C15" s="50">
        <v>47.0</v>
      </c>
      <c r="D15" s="52"/>
      <c r="E15" s="52"/>
      <c r="F15" s="53"/>
      <c r="G15" s="58" t="str">
        <f>HYPERLINK("https://dph.georgia.gov/covid-19-daily-status-report","Source")</f>
        <v>Source</v>
      </c>
      <c r="H15" s="37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30.0" customHeight="1">
      <c r="A16" s="24" t="s">
        <v>49</v>
      </c>
      <c r="B16" s="26">
        <v>1303.0</v>
      </c>
      <c r="C16" s="48">
        <v>16.0</v>
      </c>
      <c r="D16" s="32"/>
      <c r="E16" s="32">
        <v>1.0</v>
      </c>
      <c r="F16" s="59"/>
      <c r="G16" s="35" t="str">
        <f>HYPERLINK("https://www.houstonchronicle.com/coronavirus/article/texas-coronavirus-map-cases-houston-covid-19-15137466.php","Source")</f>
        <v>Source</v>
      </c>
      <c r="H16" s="37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27.75" customHeight="1">
      <c r="A17" s="47" t="s">
        <v>51</v>
      </c>
      <c r="B17" s="49">
        <v>1127.0</v>
      </c>
      <c r="C17" s="50">
        <v>11.0</v>
      </c>
      <c r="D17" s="52"/>
      <c r="E17" s="52">
        <v>1.0</v>
      </c>
      <c r="F17" s="53"/>
      <c r="G17" s="58" t="str">
        <f>HYPERLINK("https://www.health.pa.gov/topics/disease/coronavirus/Pages/Cases.aspx","Source")</f>
        <v>Source</v>
      </c>
      <c r="H17" s="37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27.75" customHeight="1">
      <c r="A18" s="47" t="s">
        <v>53</v>
      </c>
      <c r="B18" s="49">
        <v>1086.0</v>
      </c>
      <c r="C18" s="50">
        <v>20.0</v>
      </c>
      <c r="D18" s="52"/>
      <c r="E18" s="53"/>
      <c r="F18" s="53"/>
      <c r="G18" s="58" t="str">
        <f>HYPERLINK("https://covid19.colorado.gov/case-data","Source")</f>
        <v>Source</v>
      </c>
      <c r="H18" s="37"/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27.75" customHeight="1">
      <c r="A19" s="47" t="s">
        <v>55</v>
      </c>
      <c r="B19" s="49">
        <v>875.0</v>
      </c>
      <c r="C19" s="50">
        <v>19.0</v>
      </c>
      <c r="D19" s="52"/>
      <c r="E19" s="53"/>
      <c r="F19" s="53"/>
      <c r="G19" s="58" t="str">
        <f>HYPERLINK("https://portal.ct.gov/-/media/Coronavirus/CTDPHCOVID19summary3252020.pdf?la=en","Source")</f>
        <v>Source</v>
      </c>
      <c r="H19" s="37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27.75" customHeight="1">
      <c r="A20" s="47" t="s">
        <v>56</v>
      </c>
      <c r="B20" s="49">
        <v>784.0</v>
      </c>
      <c r="C20" s="50">
        <v>3.0</v>
      </c>
      <c r="D20" s="52"/>
      <c r="E20" s="53"/>
      <c r="F20" s="53"/>
      <c r="G20" s="58" t="str">
        <f>HYPERLINK("https://www.tn.gov/health/cedep/ncov.html","Source")</f>
        <v>Source</v>
      </c>
      <c r="H20" s="37"/>
      <c r="I20" s="20"/>
      <c r="J20" s="20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27.75" customHeight="1">
      <c r="A21" s="47" t="s">
        <v>58</v>
      </c>
      <c r="B21" s="49">
        <v>704.0</v>
      </c>
      <c r="C21" s="50">
        <v>10.0</v>
      </c>
      <c r="D21" s="52">
        <v>75.0</v>
      </c>
      <c r="E21" s="53"/>
      <c r="F21" s="53"/>
      <c r="G21" s="58" t="str">
        <f>HYPERLINK("https://coronavirus.ohio.gov/wps/portal/gov/covid-19/","Source")</f>
        <v>Source</v>
      </c>
      <c r="H21" s="37"/>
      <c r="I21" s="20"/>
      <c r="J21" s="2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27.75" customHeight="1">
      <c r="A22" s="47" t="s">
        <v>59</v>
      </c>
      <c r="B22" s="49">
        <v>585.0</v>
      </c>
      <c r="C22" s="50">
        <v>7.0</v>
      </c>
      <c r="D22" s="52"/>
      <c r="E22" s="53"/>
      <c r="F22" s="52">
        <v>1.0</v>
      </c>
      <c r="G22" s="58" t="str">
        <f>HYPERLINK("https://www.dhs.wisconsin.gov/outbreaks/index.htm","Source")</f>
        <v>Source</v>
      </c>
      <c r="H22" s="37"/>
      <c r="I22" s="20"/>
      <c r="J22" s="20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30.0" customHeight="1">
      <c r="A23" s="24" t="s">
        <v>62</v>
      </c>
      <c r="B23" s="26">
        <v>504.0</v>
      </c>
      <c r="C23" s="26">
        <v>1.0</v>
      </c>
      <c r="D23" s="29"/>
      <c r="E23" s="59"/>
      <c r="F23" s="59"/>
      <c r="G23" s="35" t="str">
        <f>HYPERLINK("https://www.ncdhhs.gov/covid-19-case-count-nc","Source")</f>
        <v>Source</v>
      </c>
      <c r="H23" s="37"/>
      <c r="I23" s="20"/>
      <c r="J23" s="20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30.0" customHeight="1">
      <c r="A24" s="24" t="s">
        <v>64</v>
      </c>
      <c r="B24" s="26">
        <v>477.0</v>
      </c>
      <c r="C24" s="26">
        <v>14.0</v>
      </c>
      <c r="D24" s="29"/>
      <c r="E24" s="59"/>
      <c r="F24" s="59"/>
      <c r="G24" s="35" t="str">
        <f>HYPERLINK("https://coronavirus.in.gov/","Source")</f>
        <v>Source</v>
      </c>
      <c r="H24" s="37"/>
      <c r="I24" s="20"/>
      <c r="J24" s="2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27.75" customHeight="1">
      <c r="A25" s="47" t="s">
        <v>65</v>
      </c>
      <c r="B25" s="49">
        <v>423.0</v>
      </c>
      <c r="C25" s="50">
        <v>4.0</v>
      </c>
      <c r="D25" s="52"/>
      <c r="E25" s="52"/>
      <c r="F25" s="52"/>
      <c r="G25" s="58" t="str">
        <f>HYPERLINK("https://coronavirus.maryland.gov/","Source")</f>
        <v>Source</v>
      </c>
      <c r="H25" s="37"/>
      <c r="I25" s="20"/>
      <c r="J25" s="2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30.0" customHeight="1">
      <c r="A26" s="24" t="s">
        <v>67</v>
      </c>
      <c r="B26" s="26">
        <v>424.0</v>
      </c>
      <c r="C26" s="26">
        <v>7.0</v>
      </c>
      <c r="D26" s="29"/>
      <c r="E26" s="59"/>
      <c r="F26" s="59"/>
      <c r="G26" s="35" t="str">
        <f>HYPERLINK("https://www.scdhec.gov/news-releases/south-carolina-announces-additional-82-cases-covid-19","Source")</f>
        <v>Source</v>
      </c>
      <c r="H26" s="37"/>
      <c r="I26" s="20"/>
      <c r="J26" s="20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27.75" customHeight="1">
      <c r="A27" s="47" t="s">
        <v>68</v>
      </c>
      <c r="B27" s="49">
        <v>401.0</v>
      </c>
      <c r="C27" s="50">
        <v>6.0</v>
      </c>
      <c r="D27" s="52"/>
      <c r="E27" s="53"/>
      <c r="F27" s="52">
        <v>1.0</v>
      </c>
      <c r="G27" s="58" t="str">
        <f>HYPERLINK("https://www.azdhs.gov/preparedness/epidemiology-disease-control/infectious-disease-epidemiology/index.php#novel-coronavirus-home","Source")</f>
        <v>Source</v>
      </c>
      <c r="H27" s="37"/>
      <c r="I27" s="20"/>
      <c r="J27" s="20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30.0" customHeight="1">
      <c r="A28" s="24" t="s">
        <v>69</v>
      </c>
      <c r="B28" s="26">
        <v>391.0</v>
      </c>
      <c r="C28" s="26">
        <v>9.0</v>
      </c>
      <c r="D28" s="29"/>
      <c r="E28" s="59"/>
      <c r="F28" s="59"/>
      <c r="G28" s="35" t="str">
        <f>HYPERLINK("http://www.vdh.virginia.gov/coronavirus/","Source")</f>
        <v>Source</v>
      </c>
      <c r="H28" s="37"/>
      <c r="I28" s="20"/>
      <c r="J28" s="20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27.75" customHeight="1">
      <c r="A29" s="47" t="s">
        <v>71</v>
      </c>
      <c r="B29" s="49">
        <v>386.0</v>
      </c>
      <c r="C29" s="50">
        <v>1.0</v>
      </c>
      <c r="D29" s="52"/>
      <c r="E29" s="53"/>
      <c r="F29" s="53"/>
      <c r="G29" s="58" t="str">
        <f>HYPERLINK("http://alabamapublichealth.gov/infectiousdiseases/2019-coronavirus.html","Source")</f>
        <v>Source</v>
      </c>
      <c r="H29" s="37"/>
      <c r="I29" s="20"/>
      <c r="J29" s="20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27.75" customHeight="1">
      <c r="A30" s="47" t="s">
        <v>72</v>
      </c>
      <c r="B30" s="49">
        <v>377.0</v>
      </c>
      <c r="C30" s="50">
        <v>5.0</v>
      </c>
      <c r="D30" s="52"/>
      <c r="E30" s="53"/>
      <c r="F30" s="53"/>
      <c r="G30" s="58" t="str">
        <f>HYPERLINK("https://msdh.ms.gov/msdhsite/_static/14,0,420.html","Source")</f>
        <v>Source</v>
      </c>
      <c r="H30" s="37"/>
      <c r="I30" s="20"/>
      <c r="J30" s="20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30.0" customHeight="1">
      <c r="A31" s="24" t="s">
        <v>75</v>
      </c>
      <c r="B31" s="26">
        <v>369.0</v>
      </c>
      <c r="C31" s="26">
        <v>8.0</v>
      </c>
      <c r="D31" s="29"/>
      <c r="E31" s="59"/>
      <c r="F31" s="59"/>
      <c r="G31" s="35" t="str">
        <f>HYPERLINK("https://www.kshb.com/news/coronavirus/covid-19-case-tracker-where-we-stand-in-mo-ks-nationwide","Source")</f>
        <v>Source</v>
      </c>
      <c r="H31" s="37"/>
      <c r="I31" s="20"/>
      <c r="J31" s="20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30.0" customHeight="1">
      <c r="A32" s="24" t="s">
        <v>77</v>
      </c>
      <c r="B32" s="26">
        <v>346.0</v>
      </c>
      <c r="C32" s="26">
        <v>4.0</v>
      </c>
      <c r="D32" s="29"/>
      <c r="E32" s="59"/>
      <c r="F32" s="59"/>
      <c r="G32" s="35" t="str">
        <f>HYPERLINK("https://coronavirus.utah.gov/case-counts/","Source")</f>
        <v>Source</v>
      </c>
      <c r="H32" s="37"/>
      <c r="I32" s="20"/>
      <c r="J32" s="2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27.75" customHeight="1">
      <c r="A33" s="47" t="s">
        <v>78</v>
      </c>
      <c r="B33" s="49">
        <v>321.0</v>
      </c>
      <c r="C33" s="50">
        <v>6.0</v>
      </c>
      <c r="D33" s="52"/>
      <c r="E33" s="53"/>
      <c r="F33" s="53"/>
      <c r="G33" s="58" t="str">
        <f>HYPERLINK("https://app.powerbigov.us/view?r=eyJrIjoiMjA2ZThiOWUtM2FlNS00MGY5LWFmYjUtNmQwNTQ3Nzg5N2I2IiwidCI6ImU0YTM0MGU2LWI4OWUtNGU2OC04ZWFhLTE1NDRkMjcwMzk4MCJ9","Source")</f>
        <v>Source</v>
      </c>
      <c r="H33" s="37"/>
      <c r="I33" s="20"/>
      <c r="J33" s="20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30.0" customHeight="1">
      <c r="A34" s="24" t="s">
        <v>81</v>
      </c>
      <c r="B34" s="26">
        <v>287.0</v>
      </c>
      <c r="C34" s="26">
        <v>1.0</v>
      </c>
      <c r="D34" s="29"/>
      <c r="E34" s="32">
        <v>1.0</v>
      </c>
      <c r="F34" s="32"/>
      <c r="G34" s="35" t="str">
        <f>HYPERLINK("https://www.health.state.mn.us/diseases/coronavirus/situation.html","Source")</f>
        <v>Source</v>
      </c>
      <c r="H34" s="37"/>
      <c r="I34" s="20"/>
      <c r="J34" s="20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27.75" customHeight="1">
      <c r="A35" s="47" t="s">
        <v>82</v>
      </c>
      <c r="B35" s="49">
        <v>280.0</v>
      </c>
      <c r="C35" s="50">
        <v>2.0</v>
      </c>
      <c r="D35" s="52"/>
      <c r="E35" s="53"/>
      <c r="F35" s="53"/>
      <c r="G35" s="58" t="str">
        <f>HYPERLINK("https://www.healthy.arkansas.gov/programs-services/topics/novel-coronavirus","Source")</f>
        <v>Source</v>
      </c>
      <c r="H35" s="37"/>
      <c r="I35" s="20"/>
      <c r="J35" s="20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27.75" customHeight="1">
      <c r="A36" s="47" t="s">
        <v>84</v>
      </c>
      <c r="B36" s="49">
        <v>266.0</v>
      </c>
      <c r="C36" s="50">
        <v>10.0</v>
      </c>
      <c r="D36" s="52"/>
      <c r="E36" s="53"/>
      <c r="F36" s="53"/>
      <c r="G36" s="58" t="str">
        <f>HYPERLINK("https://twitter.com/BonnieSilkman/status/1242930560743247872","Source")</f>
        <v>Source</v>
      </c>
      <c r="H36" s="37"/>
      <c r="I36" s="20"/>
      <c r="J36" s="20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27.75" customHeight="1">
      <c r="A37" s="47" t="s">
        <v>85</v>
      </c>
      <c r="B37" s="49">
        <v>231.0</v>
      </c>
      <c r="C37" s="50">
        <v>3.0</v>
      </c>
      <c r="D37" s="52"/>
      <c r="E37" s="53"/>
      <c r="F37" s="53"/>
      <c r="G37" s="58" t="str">
        <f>HYPERLINK("https://twitter.com/MayorBowser/status/1242969615283740673","Source")</f>
        <v>Source</v>
      </c>
      <c r="H37" s="37"/>
      <c r="I37" s="20"/>
      <c r="J37" s="20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27.75" customHeight="1">
      <c r="A38" s="47" t="s">
        <v>88</v>
      </c>
      <c r="B38" s="49">
        <v>198.0</v>
      </c>
      <c r="C38" s="50">
        <v>5.0</v>
      </c>
      <c r="D38" s="52"/>
      <c r="E38" s="53"/>
      <c r="F38" s="53"/>
      <c r="G38" s="58" t="str">
        <f>HYPERLINK("https://govstatus.egov.com/kycovid19","Source")</f>
        <v>Source</v>
      </c>
      <c r="H38" s="37"/>
      <c r="I38" s="20"/>
      <c r="J38" s="20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30.0" customHeight="1">
      <c r="A39" s="24" t="s">
        <v>89</v>
      </c>
      <c r="B39" s="26">
        <v>164.0</v>
      </c>
      <c r="C39" s="26">
        <v>5.0</v>
      </c>
      <c r="D39" s="29"/>
      <c r="E39" s="59"/>
      <c r="F39" s="59"/>
      <c r="G39" s="35" t="str">
        <f>HYPERLINK("https://coronavirus.health.ok.gov/","Source")</f>
        <v>Source</v>
      </c>
      <c r="H39" s="37"/>
      <c r="I39" s="20"/>
      <c r="J39" s="20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27.75" customHeight="1">
      <c r="A40" s="47" t="s">
        <v>92</v>
      </c>
      <c r="B40" s="49">
        <v>145.0</v>
      </c>
      <c r="C40" s="50">
        <v>1.0</v>
      </c>
      <c r="D40" s="52"/>
      <c r="E40" s="53"/>
      <c r="F40" s="53"/>
      <c r="G40" s="58" t="str">
        <f>HYPERLINK("https://bnonews.com/wp-content/uploads/2020/03/3242020Cases.png","Source")</f>
        <v>Source</v>
      </c>
      <c r="H40" s="37"/>
      <c r="I40" s="20"/>
      <c r="J40" s="20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27.75" customHeight="1">
      <c r="A41" s="47" t="s">
        <v>94</v>
      </c>
      <c r="B41" s="49">
        <v>142.0</v>
      </c>
      <c r="C41" s="50">
        <v>0.0</v>
      </c>
      <c r="D41" s="52"/>
      <c r="E41" s="53"/>
      <c r="F41" s="52">
        <v>7.0</v>
      </c>
      <c r="G41" s="58" t="str">
        <f>HYPERLINK("https://www.maine.gov/dhhs/mecdc/infectious-disease/epi/airborne/coronavirus.shtml","Source")</f>
        <v>Source</v>
      </c>
      <c r="H41" s="37"/>
      <c r="I41" s="20"/>
      <c r="J41" s="20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30.0" customHeight="1">
      <c r="A42" s="24" t="s">
        <v>96</v>
      </c>
      <c r="B42" s="26">
        <v>137.0</v>
      </c>
      <c r="C42" s="48">
        <v>1.0</v>
      </c>
      <c r="D42" s="32"/>
      <c r="E42" s="59"/>
      <c r="F42" s="59"/>
      <c r="G42" s="35" t="str">
        <f>HYPERLINK("https://www.nh.gov/covid19/","Source")</f>
        <v>Source</v>
      </c>
      <c r="H42" s="37"/>
      <c r="I42" s="20"/>
      <c r="J42" s="20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27.75" customHeight="1">
      <c r="A43" s="47" t="s">
        <v>98</v>
      </c>
      <c r="B43" s="49">
        <v>132.0</v>
      </c>
      <c r="C43" s="50">
        <v>0.0</v>
      </c>
      <c r="D43" s="52"/>
      <c r="E43" s="53"/>
      <c r="F43" s="53"/>
      <c r="G43" s="58" t="str">
        <f>HYPERLINK("https://health.ri.gov/data/covid-19/","Source")</f>
        <v>Source</v>
      </c>
      <c r="H43" s="37"/>
      <c r="I43" s="20"/>
      <c r="J43" s="20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30.0" customHeight="1">
      <c r="A44" s="24" t="s">
        <v>99</v>
      </c>
      <c r="B44" s="26">
        <v>129.0</v>
      </c>
      <c r="C44" s="26">
        <v>3.0</v>
      </c>
      <c r="D44" s="29"/>
      <c r="E44" s="59"/>
      <c r="F44" s="59"/>
      <c r="G44" s="35" t="str">
        <f>HYPERLINK("https://www.kshb.com/news/coronavirus/covid-19-case-tracker-where-we-stand-in-mo-ks-nationwide","Source")</f>
        <v>Source</v>
      </c>
      <c r="H44" s="37"/>
      <c r="I44" s="20"/>
      <c r="J44" s="20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30.0" customHeight="1">
      <c r="A45" s="24" t="s">
        <v>101</v>
      </c>
      <c r="B45" s="26">
        <v>123.0</v>
      </c>
      <c r="C45" s="26">
        <v>8.0</v>
      </c>
      <c r="D45" s="29"/>
      <c r="E45" s="59"/>
      <c r="F45" s="59"/>
      <c r="G45" s="35" t="str">
        <f>HYPERLINK("https://www.healthvermont.gov/response/infectious-disease/2019-novel-coronavirus","Source")</f>
        <v>Source</v>
      </c>
      <c r="H45" s="37"/>
      <c r="I45" s="20"/>
      <c r="J45" s="20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27.75" customHeight="1">
      <c r="A46" s="47" t="s">
        <v>102</v>
      </c>
      <c r="B46" s="49">
        <v>123.0</v>
      </c>
      <c r="C46" s="50">
        <v>0.0</v>
      </c>
      <c r="D46" s="52"/>
      <c r="E46" s="53"/>
      <c r="F46" s="53"/>
      <c r="G46" s="58" t="str">
        <f>HYPERLINK("https://coronavirus.idaho.gov/","Source")</f>
        <v>Source</v>
      </c>
      <c r="H46" s="37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27.75" customHeight="1">
      <c r="A47" s="47" t="s">
        <v>103</v>
      </c>
      <c r="B47" s="49">
        <v>119.0</v>
      </c>
      <c r="C47" s="50">
        <v>0.0</v>
      </c>
      <c r="D47" s="52"/>
      <c r="E47" s="53"/>
      <c r="F47" s="53"/>
      <c r="G47" s="58" t="str">
        <f>HYPERLINK("https://coronavirus.delaware.gov/","Source")</f>
        <v>Source</v>
      </c>
      <c r="H47" s="37"/>
      <c r="I47" s="20"/>
      <c r="J47" s="20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27.75" customHeight="1">
      <c r="A48" s="47" t="s">
        <v>105</v>
      </c>
      <c r="B48" s="49">
        <v>112.0</v>
      </c>
      <c r="C48" s="50">
        <v>1.0</v>
      </c>
      <c r="D48" s="52"/>
      <c r="E48" s="53"/>
      <c r="F48" s="53"/>
      <c r="G48" s="58" t="str">
        <f>HYPERLINK("https://cv.nmhealth.org/","Source")</f>
        <v>Source</v>
      </c>
      <c r="H48" s="37"/>
      <c r="I48" s="20"/>
      <c r="J48" s="20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27.75" customHeight="1">
      <c r="A49" s="47" t="s">
        <v>107</v>
      </c>
      <c r="B49" s="49">
        <v>95.0</v>
      </c>
      <c r="C49" s="50">
        <v>0.0</v>
      </c>
      <c r="D49" s="52"/>
      <c r="E49" s="53"/>
      <c r="F49" s="53"/>
      <c r="G49" s="58" t="str">
        <f>HYPERLINK("https://health.hawaii.gov/docd/advisories/novel-coronavirus-2019/","Source")</f>
        <v>Source</v>
      </c>
      <c r="H49" s="37"/>
      <c r="I49" s="20"/>
      <c r="J49" s="20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27.75" customHeight="1">
      <c r="A50" s="47" t="s">
        <v>109</v>
      </c>
      <c r="B50" s="49">
        <v>64.0</v>
      </c>
      <c r="C50" s="50">
        <v>0.0</v>
      </c>
      <c r="D50" s="52"/>
      <c r="E50" s="53"/>
      <c r="F50" s="53"/>
      <c r="G50" s="58" t="str">
        <f>HYPERLINK("http://dhhs.ne.gov/Pages/Coronavirus.aspx","Source")</f>
        <v>Source</v>
      </c>
      <c r="H50" s="37"/>
      <c r="I50" s="20"/>
      <c r="J50" s="20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27.75" customHeight="1">
      <c r="A51" s="47" t="s">
        <v>111</v>
      </c>
      <c r="B51" s="49">
        <v>53.0</v>
      </c>
      <c r="C51" s="50">
        <v>0.0</v>
      </c>
      <c r="D51" s="52"/>
      <c r="E51" s="53"/>
      <c r="F51" s="53"/>
      <c r="G51" s="58" t="str">
        <f>HYPERLINK("https://montana.maps.arcgis.com/apps/MapSeries/index.html?appid=7c34f3412536439491adcc2103421d4b","Source")</f>
        <v>Source</v>
      </c>
      <c r="H51" s="37"/>
      <c r="I51" s="20"/>
      <c r="J51" s="20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27.75" customHeight="1">
      <c r="A52" s="47" t="s">
        <v>112</v>
      </c>
      <c r="B52" s="49">
        <v>52.0</v>
      </c>
      <c r="C52" s="50">
        <v>0.0</v>
      </c>
      <c r="D52" s="52"/>
      <c r="E52" s="53"/>
      <c r="F52" s="53"/>
      <c r="G52" s="58" t="str">
        <f>HYPERLINK("https://dhhr.wv.gov/COVID-19/Pages/default.aspx","Source")</f>
        <v>Source</v>
      </c>
      <c r="H52" s="37"/>
      <c r="I52" s="20"/>
      <c r="J52" s="20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27.75" customHeight="1">
      <c r="A53" s="47" t="s">
        <v>115</v>
      </c>
      <c r="B53" s="49">
        <v>51.0</v>
      </c>
      <c r="C53" s="50">
        <v>2.0</v>
      </c>
      <c r="D53" s="52"/>
      <c r="E53" s="53"/>
      <c r="F53" s="53"/>
      <c r="G53" s="58" t="str">
        <f>HYPERLINK("http://www.salud.gov.pr/Pages/coronavirus.aspx","Source")</f>
        <v>Source</v>
      </c>
      <c r="H53" s="37"/>
      <c r="I53" s="20"/>
      <c r="J53" s="20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27.75" customHeight="1">
      <c r="A54" s="47" t="s">
        <v>117</v>
      </c>
      <c r="B54" s="49">
        <v>47.0</v>
      </c>
      <c r="C54" s="50">
        <v>0.0</v>
      </c>
      <c r="D54" s="52"/>
      <c r="E54" s="53"/>
      <c r="F54" s="53"/>
      <c r="G54" s="58" t="str">
        <f>HYPERLINK("https://health.wyo.gov/publichealth/infectious-disease-epidemiology-unit/disease/novel-coronavirus/","Source")</f>
        <v>Source</v>
      </c>
      <c r="H54" s="37"/>
      <c r="I54" s="20"/>
      <c r="J54" s="20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33.0" customHeight="1">
      <c r="A55" s="47" t="s">
        <v>119</v>
      </c>
      <c r="B55" s="49">
        <v>46.0</v>
      </c>
      <c r="C55" s="50">
        <v>0.0</v>
      </c>
      <c r="D55" s="52"/>
      <c r="E55" s="53"/>
      <c r="F55" s="52">
        <v>2.0</v>
      </c>
      <c r="G55" s="58" t="str">
        <f>HYPERLINK("https://www.cdc.gov/coronavirus/2019-ncov/cases-in-us.html","Source")</f>
        <v>Source</v>
      </c>
      <c r="H55" s="37"/>
      <c r="I55" s="20"/>
      <c r="J55" s="20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27.75" customHeight="1">
      <c r="A56" s="47" t="s">
        <v>121</v>
      </c>
      <c r="B56" s="49">
        <v>46.0</v>
      </c>
      <c r="C56" s="50">
        <v>1.0</v>
      </c>
      <c r="D56" s="52"/>
      <c r="E56" s="53"/>
      <c r="F56" s="53"/>
      <c r="G56" s="58" t="str">
        <f>HYPERLINK("http://dhss.alaska.gov/dph/Epi/id/Pages/COVID-19/monitoring.aspx","Source")</f>
        <v>Source</v>
      </c>
      <c r="H56" s="37"/>
      <c r="I56" s="20"/>
      <c r="J56" s="20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27.75" customHeight="1">
      <c r="A57" s="47" t="s">
        <v>123</v>
      </c>
      <c r="B57" s="49">
        <v>45.0</v>
      </c>
      <c r="C57" s="50">
        <v>0.0</v>
      </c>
      <c r="D57" s="52"/>
      <c r="E57" s="53"/>
      <c r="F57" s="53"/>
      <c r="G57" s="58" t="str">
        <f>HYPERLINK("https://www.health.nd.gov/diseases-conditions/coronavirus/north-dakota-coronavirus-cases","Source")</f>
        <v>Source</v>
      </c>
      <c r="H57" s="37"/>
      <c r="I57" s="20"/>
      <c r="J57" s="20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27.75" customHeight="1">
      <c r="A58" s="47" t="s">
        <v>125</v>
      </c>
      <c r="B58" s="49">
        <v>41.0</v>
      </c>
      <c r="C58" s="50">
        <v>1.0</v>
      </c>
      <c r="D58" s="52"/>
      <c r="E58" s="53"/>
      <c r="F58" s="52">
        <v>13.0</v>
      </c>
      <c r="G58" s="58" t="str">
        <f>HYPERLINK("https://doh.sd.gov/news/coronavirus.aspx","Source")</f>
        <v>Source</v>
      </c>
      <c r="H58" s="37"/>
      <c r="I58" s="20"/>
      <c r="J58" s="20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27.75" customHeight="1">
      <c r="A59" s="47" t="s">
        <v>127</v>
      </c>
      <c r="B59" s="49">
        <v>37.0</v>
      </c>
      <c r="C59" s="50">
        <v>1.0</v>
      </c>
      <c r="D59" s="52"/>
      <c r="E59" s="53"/>
      <c r="F59" s="53"/>
      <c r="G59" s="58" t="str">
        <f>HYPERLINK("https://ghs.guam.gov/jic-release-no-31-five-test-positive-covid-19","Source")</f>
        <v>Source</v>
      </c>
      <c r="H59" s="37"/>
      <c r="I59" s="20"/>
      <c r="J59" s="20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27.75" customHeight="1">
      <c r="A60" s="47" t="s">
        <v>129</v>
      </c>
      <c r="B60" s="49">
        <v>21.0</v>
      </c>
      <c r="C60" s="50">
        <v>0.0</v>
      </c>
      <c r="D60" s="52"/>
      <c r="E60" s="53"/>
      <c r="F60" s="53"/>
      <c r="G60" s="58" t="str">
        <f>HYPERLINK("https://www.youtube.com/watch?v=pAsq7-_3XTI","Source")</f>
        <v>Source</v>
      </c>
      <c r="H60" s="37"/>
      <c r="I60" s="20"/>
      <c r="J60" s="20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27.75" customHeight="1">
      <c r="A61" s="47" t="s">
        <v>130</v>
      </c>
      <c r="B61" s="49">
        <v>17.0</v>
      </c>
      <c r="C61" s="50">
        <v>0.0</v>
      </c>
      <c r="D61" s="52"/>
      <c r="E61" s="53"/>
      <c r="F61" s="53"/>
      <c r="G61" s="58" t="str">
        <f>HYPERLINK("https://doh.vi.gov/news/health-department-announces-eleven-additional-confirmed-covid-19-cases","Source")</f>
        <v>Source</v>
      </c>
      <c r="H61" s="37"/>
      <c r="I61" s="20"/>
      <c r="J61" s="20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27.75" customHeight="1">
      <c r="A62" s="47" t="s">
        <v>132</v>
      </c>
      <c r="B62" s="49">
        <v>3.0</v>
      </c>
      <c r="C62" s="50">
        <v>0.0</v>
      </c>
      <c r="D62" s="52"/>
      <c r="E62" s="53"/>
      <c r="F62" s="53"/>
      <c r="G62" s="74"/>
      <c r="H62" s="37"/>
      <c r="I62" s="20"/>
      <c r="J62" s="20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27.75" customHeight="1">
      <c r="A63" s="47" t="s">
        <v>133</v>
      </c>
      <c r="B63" s="49">
        <v>0.0</v>
      </c>
      <c r="C63" s="50">
        <v>0.0</v>
      </c>
      <c r="D63" s="52"/>
      <c r="E63" s="53"/>
      <c r="F63" s="53"/>
      <c r="G63" s="75"/>
      <c r="H63" s="37"/>
      <c r="I63" s="20"/>
      <c r="J63" s="20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27.75" customHeight="1">
      <c r="A64" s="47" t="s">
        <v>135</v>
      </c>
      <c r="B64" s="49">
        <v>0.0</v>
      </c>
      <c r="C64" s="50">
        <v>0.0</v>
      </c>
      <c r="D64" s="52"/>
      <c r="E64" s="53"/>
      <c r="F64" s="53"/>
      <c r="G64" s="75"/>
      <c r="H64" s="37"/>
      <c r="I64" s="20"/>
      <c r="J64" s="20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76" t="s">
        <v>136</v>
      </c>
      <c r="B65" s="77"/>
      <c r="C65" s="78"/>
      <c r="D65" s="79"/>
      <c r="E65" s="80"/>
      <c r="F65" s="80"/>
      <c r="G65" s="81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</row>
    <row r="66" ht="30.0" customHeight="1">
      <c r="A66" s="60" t="s">
        <v>139</v>
      </c>
      <c r="B66" s="61">
        <f t="shared" ref="B66:C66" si="2">SUM(B6:B65)</f>
        <v>68347</v>
      </c>
      <c r="C66" s="61">
        <f t="shared" si="2"/>
        <v>1037</v>
      </c>
      <c r="D66" s="61">
        <f t="shared" ref="D66:F66" si="3">SUM(D6:D64)</f>
        <v>915</v>
      </c>
      <c r="E66" s="61">
        <f t="shared" si="3"/>
        <v>4</v>
      </c>
      <c r="F66" s="61">
        <f t="shared" si="3"/>
        <v>46</v>
      </c>
      <c r="G66" s="62"/>
      <c r="H66" s="20"/>
      <c r="I66" s="20"/>
      <c r="J66" s="20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>
      <c r="A67" s="60"/>
      <c r="B67" s="63"/>
      <c r="C67" s="63"/>
      <c r="D67" s="63"/>
      <c r="E67" s="63"/>
      <c r="F67" s="63"/>
      <c r="G67" s="62"/>
      <c r="H67" s="8"/>
      <c r="I67" s="8"/>
      <c r="J67" s="8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66"/>
      <c r="B68" s="67"/>
      <c r="C68" s="68"/>
      <c r="D68" s="68"/>
      <c r="E68" s="68"/>
      <c r="F68" s="68"/>
      <c r="G68" s="5"/>
      <c r="H68" s="8"/>
      <c r="I68" s="8"/>
      <c r="J68" s="8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69"/>
      <c r="B69" s="68"/>
      <c r="C69" s="68"/>
      <c r="D69" s="68"/>
      <c r="E69" s="68"/>
      <c r="F69" s="68"/>
      <c r="G69" s="5"/>
      <c r="H69" s="8"/>
      <c r="I69" s="8"/>
      <c r="J69" s="8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69"/>
      <c r="B70" s="68"/>
      <c r="C70" s="68"/>
      <c r="D70" s="68"/>
      <c r="E70" s="68"/>
      <c r="F70" s="68"/>
      <c r="G70" s="5"/>
      <c r="H70" s="8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2" t="s">
        <v>1</v>
      </c>
      <c r="B2" s="2" t="s">
        <v>2</v>
      </c>
      <c r="D2" s="3" t="s">
        <v>3</v>
      </c>
      <c r="F2" s="10" t="s">
        <v>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11">
        <f t="shared" ref="A3:B3" si="1">SUM(B14, B15)</f>
        <v>81285</v>
      </c>
      <c r="B3" s="11">
        <f t="shared" si="1"/>
        <v>3287</v>
      </c>
      <c r="D3" s="12">
        <f>SUM(F14, F15)</f>
        <v>74041</v>
      </c>
      <c r="F3" s="15">
        <f>MINUS(A3,B3 + D3)</f>
        <v>3957</v>
      </c>
      <c r="G3" s="15"/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4"/>
      <c r="B4" s="7"/>
      <c r="C4" s="7"/>
      <c r="D4" s="6"/>
      <c r="E4" s="6"/>
      <c r="F4" s="6"/>
      <c r="G4" s="7"/>
      <c r="H4" s="8"/>
      <c r="I4" s="8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30.0" customHeight="1">
      <c r="A5" s="16" t="s">
        <v>10</v>
      </c>
      <c r="B5" s="17" t="s">
        <v>7</v>
      </c>
      <c r="C5" s="17" t="s">
        <v>8</v>
      </c>
      <c r="D5" s="19" t="s">
        <v>9</v>
      </c>
      <c r="E5" s="19" t="s">
        <v>11</v>
      </c>
      <c r="F5" s="19" t="s">
        <v>12</v>
      </c>
      <c r="G5" s="17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30.0" customHeight="1">
      <c r="A6" s="24" t="s">
        <v>15</v>
      </c>
      <c r="B6" s="26">
        <v>67801.0</v>
      </c>
      <c r="C6" s="26">
        <v>3169.0</v>
      </c>
      <c r="D6" s="29">
        <v>1201.0</v>
      </c>
      <c r="E6" s="32" t="s">
        <v>21</v>
      </c>
      <c r="F6" s="29">
        <v>61201.0</v>
      </c>
      <c r="G6" s="35" t="str">
        <f>HYPERLINK("http://www.nhc.gov.cn/yjb/s7860/202003/f01fc26a8a7b48debe194bd1277fdba3.shtml","Source")</f>
        <v>Source</v>
      </c>
      <c r="H6" s="37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30.0" customHeight="1">
      <c r="A7" s="34" t="s">
        <v>23</v>
      </c>
      <c r="B7" s="38">
        <v>1443.0</v>
      </c>
      <c r="C7" s="40">
        <v>8.0</v>
      </c>
      <c r="D7" s="42">
        <v>2.0</v>
      </c>
      <c r="E7" s="42">
        <v>7.0</v>
      </c>
      <c r="F7" s="44">
        <v>1332.0</v>
      </c>
      <c r="G7" s="46" t="str">
        <f>HYPERLINK("http://wsjkw.gd.gov.cn/zwyw_yqxx/content/post_2937828.html","Source")</f>
        <v>Source</v>
      </c>
      <c r="H7" s="20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30.0" customHeight="1">
      <c r="A8" s="24" t="s">
        <v>26</v>
      </c>
      <c r="B8" s="26">
        <v>1272.0</v>
      </c>
      <c r="C8" s="48">
        <v>22.0</v>
      </c>
      <c r="D8" s="32">
        <v>0.0</v>
      </c>
      <c r="E8" s="32">
        <v>0.0</v>
      </c>
      <c r="F8" s="29">
        <v>1250.0</v>
      </c>
      <c r="G8" s="35" t="str">
        <f>HYPERLINK("https://m.weibo.cn/detail/4485555125386726","Source")</f>
        <v>Source</v>
      </c>
      <c r="H8" s="54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30.0" customHeight="1">
      <c r="A9" s="24" t="s">
        <v>28</v>
      </c>
      <c r="B9" s="26">
        <v>1243.0</v>
      </c>
      <c r="C9" s="48">
        <v>1.0</v>
      </c>
      <c r="D9" s="32" t="s">
        <v>21</v>
      </c>
      <c r="E9" s="32" t="s">
        <v>21</v>
      </c>
      <c r="F9" s="29">
        <v>1221.0</v>
      </c>
      <c r="G9" s="58" t="str">
        <f>HYPERLINK("https://www.zjwjw.gov.cn/art/2020/3/23/art_1202101_42346758.html","Source")</f>
        <v>Source</v>
      </c>
      <c r="H9" s="20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30.0" customHeight="1">
      <c r="A10" s="24" t="s">
        <v>31</v>
      </c>
      <c r="B10" s="26">
        <v>1018.0</v>
      </c>
      <c r="C10" s="48">
        <v>4.0</v>
      </c>
      <c r="D10" s="32">
        <v>0.0</v>
      </c>
      <c r="E10" s="32">
        <v>0.0</v>
      </c>
      <c r="F10" s="29">
        <v>1014.0</v>
      </c>
      <c r="G10" s="35" t="str">
        <f>HYPERLINK("http://wjw.hunan.gov.cn/wjw/xxgk/gzdt/zyxw_1/202003/t20200323_11817898.html","Source")</f>
        <v>Source</v>
      </c>
      <c r="H10" s="20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30.0" customHeight="1">
      <c r="A11" s="24" t="s">
        <v>34</v>
      </c>
      <c r="B11" s="26">
        <v>579.0</v>
      </c>
      <c r="C11" s="48">
        <v>8.0</v>
      </c>
      <c r="D11" s="32" t="s">
        <v>21</v>
      </c>
      <c r="E11" s="32" t="s">
        <v>21</v>
      </c>
      <c r="F11" s="32">
        <v>401.0</v>
      </c>
      <c r="G11" s="58" t="str">
        <f>HYPERLINK("https://m.weibo.cn/detail/4485624021601404","Source")</f>
        <v>Source</v>
      </c>
      <c r="H11" s="20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30.0" customHeight="1">
      <c r="A12" s="24" t="s">
        <v>37</v>
      </c>
      <c r="B12" s="26">
        <v>451.0</v>
      </c>
      <c r="C12" s="48">
        <v>4.0</v>
      </c>
      <c r="D12" s="32">
        <v>2.0</v>
      </c>
      <c r="E12" s="32">
        <v>7.0</v>
      </c>
      <c r="F12" s="32">
        <v>329.0</v>
      </c>
      <c r="G12" s="35" t="str">
        <f>HYPERLINK("https://m.weibo.cn/detail/4485911503132765","Source")</f>
        <v>Source</v>
      </c>
      <c r="H12" s="20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30.0" customHeight="1">
      <c r="A13" s="24" t="s">
        <v>39</v>
      </c>
      <c r="B13" s="26">
        <v>7478.0</v>
      </c>
      <c r="C13" s="48">
        <v>71.0</v>
      </c>
      <c r="D13" s="32" t="s">
        <v>40</v>
      </c>
      <c r="E13" s="32" t="s">
        <v>21</v>
      </c>
      <c r="F13" s="29">
        <v>7293.0</v>
      </c>
      <c r="G13" s="35" t="str">
        <f>HYPERLINK("http://www.nhc.gov.cn/yjb/s7860/202003/f01fc26a8a7b48debe194bd1277fdba3.shtml","Source")</f>
        <v>Source</v>
      </c>
      <c r="H13" s="54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30.0" customHeight="1">
      <c r="A14" s="60" t="s">
        <v>43</v>
      </c>
      <c r="B14" s="61">
        <f t="shared" ref="B14:C14" si="2">SUM(B6:B13)</f>
        <v>81285</v>
      </c>
      <c r="C14" s="61">
        <f t="shared" si="2"/>
        <v>3287</v>
      </c>
      <c r="D14" s="61">
        <v>1235.0</v>
      </c>
      <c r="E14" s="61"/>
      <c r="F14" s="61">
        <f>SUM(F6:F13)</f>
        <v>74041</v>
      </c>
      <c r="G14" s="62"/>
      <c r="H14" s="20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>
      <c r="A15" s="60"/>
      <c r="B15" s="63"/>
      <c r="C15" s="63"/>
      <c r="D15" s="64"/>
      <c r="E15" s="65"/>
      <c r="F15" s="63"/>
      <c r="G15" s="62"/>
      <c r="H15" s="8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66"/>
      <c r="B16" s="67"/>
      <c r="C16" s="68"/>
      <c r="D16" s="68"/>
      <c r="E16" s="68"/>
      <c r="F16" s="6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69"/>
      <c r="B17" s="68"/>
      <c r="C17" s="68"/>
      <c r="D17" s="68"/>
      <c r="E17" s="68"/>
      <c r="F17" s="6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69"/>
      <c r="B18" s="68"/>
      <c r="C18" s="68"/>
      <c r="D18" s="68"/>
      <c r="E18" s="68"/>
      <c r="F18" s="6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 t="s">
        <v>1</v>
      </c>
      <c r="B2" s="2" t="s">
        <v>2</v>
      </c>
      <c r="D2" s="3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1">
        <f t="shared" ref="A3:B3" si="1">SUM(B20, B21)</f>
        <v>3409</v>
      </c>
      <c r="B3" s="11">
        <f t="shared" si="1"/>
        <v>35</v>
      </c>
      <c r="D3" s="12">
        <f>SUM(F20, F21)</f>
        <v>197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4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16" t="s">
        <v>73</v>
      </c>
      <c r="B5" s="17" t="s">
        <v>7</v>
      </c>
      <c r="C5" s="17" t="s">
        <v>8</v>
      </c>
      <c r="D5" s="19" t="s">
        <v>9</v>
      </c>
      <c r="E5" s="19" t="s">
        <v>11</v>
      </c>
      <c r="F5" s="19" t="s">
        <v>12</v>
      </c>
      <c r="G5" s="17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30.0" customHeight="1">
      <c r="A6" s="24" t="s">
        <v>76</v>
      </c>
      <c r="B6" s="26">
        <v>1339.0</v>
      </c>
      <c r="C6" s="48">
        <v>6.0</v>
      </c>
      <c r="D6" s="32"/>
      <c r="E6" s="32"/>
      <c r="F6" s="32">
        <v>1.0</v>
      </c>
      <c r="G6" s="35" t="str">
        <f>HYPERLINK("https://twitter.com/sante_qc/status/1242505931323252736","Source")</f>
        <v>Source</v>
      </c>
      <c r="H6" s="37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30.0" customHeight="1">
      <c r="A7" s="34" t="s">
        <v>79</v>
      </c>
      <c r="B7" s="38">
        <v>688.0</v>
      </c>
      <c r="C7" s="40">
        <v>13.0</v>
      </c>
      <c r="D7" s="42"/>
      <c r="E7" s="42"/>
      <c r="F7" s="42">
        <v>8.0</v>
      </c>
      <c r="G7" s="46" t="str">
        <f>HYPERLINK("https://www.ontario.ca/page/2019-novel-coronavirus","Source")</f>
        <v>Source</v>
      </c>
      <c r="H7" s="37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30.0" customHeight="1">
      <c r="A8" s="24" t="s">
        <v>83</v>
      </c>
      <c r="B8" s="26">
        <v>659.0</v>
      </c>
      <c r="C8" s="26">
        <v>14.0</v>
      </c>
      <c r="D8" s="29">
        <v>23.0</v>
      </c>
      <c r="E8" s="32"/>
      <c r="F8" s="32">
        <v>183.0</v>
      </c>
      <c r="G8" s="35" t="str">
        <f>HYPERLINK("https://www.ctvnews.ca/health/coronavirus/tracking-every-case-of-covid-19-in-canada-1.4852102","Source")</f>
        <v>Source</v>
      </c>
      <c r="H8" s="37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30.0" customHeight="1">
      <c r="A9" s="24" t="s">
        <v>87</v>
      </c>
      <c r="B9" s="26">
        <v>419.0</v>
      </c>
      <c r="C9" s="48">
        <v>2.0</v>
      </c>
      <c r="D9" s="32"/>
      <c r="E9" s="32"/>
      <c r="F9" s="32">
        <v>3.0</v>
      </c>
      <c r="G9" s="35" t="str">
        <f>HYPERLINK("https://edmonton.ctvnews.ca/61-more-cases-of-covid-19-in-alberta-total-surpasses-400-1.4867795","Source")</f>
        <v>Source</v>
      </c>
      <c r="H9" s="37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30.0" customHeight="1">
      <c r="A10" s="24" t="s">
        <v>90</v>
      </c>
      <c r="B10" s="26">
        <v>86.0</v>
      </c>
      <c r="C10" s="48">
        <v>0.0</v>
      </c>
      <c r="D10" s="32"/>
      <c r="E10" s="32"/>
      <c r="F10" s="59"/>
      <c r="G10" s="35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H10" s="37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30.0" customHeight="1">
      <c r="A11" s="24" t="s">
        <v>93</v>
      </c>
      <c r="B11" s="26">
        <v>68.0</v>
      </c>
      <c r="C11" s="48">
        <v>0.0</v>
      </c>
      <c r="D11" s="32"/>
      <c r="E11" s="32"/>
      <c r="F11" s="32">
        <v>2.0</v>
      </c>
      <c r="G11" s="35" t="str">
        <f>HYPERLINK("https://novascotia.ca/coronavirus/","Source")</f>
        <v>Source</v>
      </c>
      <c r="H11" s="37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30.0" customHeight="1">
      <c r="A12" s="24" t="s">
        <v>97</v>
      </c>
      <c r="B12" s="26">
        <v>67.0</v>
      </c>
      <c r="C12" s="48">
        <v>0.0</v>
      </c>
      <c r="D12" s="32"/>
      <c r="E12" s="32"/>
      <c r="F12" s="59"/>
      <c r="G12" s="35" t="str">
        <f>HYPERLINK("https://www.gov.nl.ca/covid-19/","Source")</f>
        <v>Source</v>
      </c>
      <c r="H12" s="37"/>
      <c r="I12" s="7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30.0" customHeight="1">
      <c r="A13" s="24" t="s">
        <v>106</v>
      </c>
      <c r="B13" s="26">
        <v>35.0</v>
      </c>
      <c r="C13" s="48">
        <v>0.0</v>
      </c>
      <c r="D13" s="32"/>
      <c r="E13" s="32"/>
      <c r="F13" s="59"/>
      <c r="G13" s="35" t="str">
        <f>HYPERLINK("https://www.gov.mb.ca/covid19/","Source")</f>
        <v>Source</v>
      </c>
      <c r="H13" s="37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30.0" customHeight="1">
      <c r="A14" s="24" t="s">
        <v>110</v>
      </c>
      <c r="B14" s="26">
        <v>26.0</v>
      </c>
      <c r="C14" s="48">
        <v>0.0</v>
      </c>
      <c r="D14" s="32"/>
      <c r="E14" s="32"/>
      <c r="F14" s="59"/>
      <c r="G14" s="35" t="str">
        <f>HYPERLINK("https://www2.gnb.ca/content/gnb/en/departments/ocmoh/cdc/content/respiratory_diseases/coronavirus.html","Source")</f>
        <v>Source</v>
      </c>
      <c r="H14" s="37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30.0" customHeight="1">
      <c r="A15" s="24" t="s">
        <v>113</v>
      </c>
      <c r="B15" s="26">
        <v>13.0</v>
      </c>
      <c r="C15" s="48">
        <v>0.0</v>
      </c>
      <c r="D15" s="32"/>
      <c r="E15" s="32"/>
      <c r="F15" s="59"/>
      <c r="G15" s="35" t="str">
        <f>HYPERLINK("https://www.canada.ca/en/public-health/services/diseases/2019-novel-coronavirus-infection.html#a1","Source")</f>
        <v>Source</v>
      </c>
      <c r="H15" s="37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30.0" customHeight="1">
      <c r="A16" s="24" t="s">
        <v>116</v>
      </c>
      <c r="B16" s="26">
        <v>5.0</v>
      </c>
      <c r="C16" s="48">
        <v>0.0</v>
      </c>
      <c r="D16" s="32"/>
      <c r="E16" s="32"/>
      <c r="F16" s="59"/>
      <c r="G16" s="35" t="str">
        <f>HYPERLINK("https://www.princeedwardisland.ca/en/topic/covid-19","Source")</f>
        <v>Source</v>
      </c>
      <c r="H16" s="37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30.0" customHeight="1">
      <c r="A17" s="24" t="s">
        <v>118</v>
      </c>
      <c r="B17" s="26">
        <v>3.0</v>
      </c>
      <c r="C17" s="48">
        <v>0.0</v>
      </c>
      <c r="D17" s="32"/>
      <c r="E17" s="32"/>
      <c r="F17" s="59"/>
      <c r="G17" s="35" t="str">
        <f>HYPERLINK("https://www.cbc.ca/news/canada/north/yukon-covid-19-1.5506363","Source")</f>
        <v>Source</v>
      </c>
      <c r="H17" s="37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30.0" customHeight="1">
      <c r="A18" s="24" t="s">
        <v>122</v>
      </c>
      <c r="B18" s="26">
        <v>1.0</v>
      </c>
      <c r="C18" s="48">
        <v>0.0</v>
      </c>
      <c r="D18" s="32"/>
      <c r="E18" s="32"/>
      <c r="F18" s="59"/>
      <c r="G18" s="35" t="str">
        <f>HYPERLINK("https://www.cbc.ca/news/canada/north/nwt-first-case-covid19-1.5505701","Source")</f>
        <v>Source</v>
      </c>
      <c r="H18" s="37"/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30.0" customHeight="1">
      <c r="A19" s="24" t="s">
        <v>126</v>
      </c>
      <c r="B19" s="26">
        <v>0.0</v>
      </c>
      <c r="C19" s="48">
        <v>0.0</v>
      </c>
      <c r="D19" s="32"/>
      <c r="E19" s="32"/>
      <c r="F19" s="59"/>
      <c r="G19" s="73"/>
      <c r="H19" s="37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30.0" customHeight="1">
      <c r="A20" s="60" t="s">
        <v>43</v>
      </c>
      <c r="B20" s="61">
        <f t="shared" ref="B20:F20" si="2">SUM(B6:B19)</f>
        <v>3409</v>
      </c>
      <c r="C20" s="61">
        <f t="shared" si="2"/>
        <v>35</v>
      </c>
      <c r="D20" s="61">
        <f t="shared" si="2"/>
        <v>23</v>
      </c>
      <c r="E20" s="61">
        <f t="shared" si="2"/>
        <v>0</v>
      </c>
      <c r="F20" s="61">
        <f t="shared" si="2"/>
        <v>197</v>
      </c>
      <c r="G20" s="62"/>
      <c r="H20" s="20"/>
      <c r="I20" s="20"/>
      <c r="J20" s="20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>
      <c r="A21" s="69"/>
      <c r="B21" s="68"/>
      <c r="C21" s="68"/>
      <c r="D21" s="68"/>
      <c r="E21" s="68"/>
      <c r="F21" s="68"/>
      <c r="G21" s="5"/>
      <c r="H21" s="8"/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66"/>
      <c r="B22" s="67"/>
      <c r="C22" s="68"/>
      <c r="D22" s="68"/>
      <c r="E22" s="68"/>
      <c r="F22" s="68"/>
      <c r="G22" s="5"/>
      <c r="H22" s="8"/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69"/>
      <c r="B23" s="68"/>
      <c r="C23" s="68"/>
      <c r="D23" s="68"/>
      <c r="E23" s="68"/>
      <c r="F23" s="68"/>
      <c r="G23" s="5"/>
      <c r="H23" s="8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69"/>
      <c r="B24" s="68"/>
      <c r="C24" s="68"/>
      <c r="D24" s="68"/>
      <c r="E24" s="68"/>
      <c r="F24" s="6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2" t="s">
        <v>1</v>
      </c>
      <c r="B2" s="2" t="s">
        <v>2</v>
      </c>
      <c r="D2" s="3" t="s">
        <v>3</v>
      </c>
      <c r="F2" s="6"/>
      <c r="G2" s="7"/>
      <c r="H2" s="8"/>
      <c r="I2" s="8"/>
      <c r="J2" s="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11">
        <f t="shared" ref="A3:B3" si="1">SUM(B16, B17)</f>
        <v>2364</v>
      </c>
      <c r="B3" s="11">
        <f t="shared" si="1"/>
        <v>8</v>
      </c>
      <c r="D3" s="12">
        <f>SUM(F16, F17)</f>
        <v>119</v>
      </c>
      <c r="F3" s="6"/>
      <c r="G3" s="7"/>
      <c r="H3" s="8"/>
      <c r="I3" s="8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4"/>
      <c r="B4" s="7"/>
      <c r="C4" s="7"/>
      <c r="D4" s="6"/>
      <c r="E4" s="6"/>
      <c r="F4" s="6"/>
      <c r="G4" s="7"/>
      <c r="H4" s="8"/>
      <c r="I4" s="8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30.0" customHeight="1">
      <c r="A5" s="16" t="s">
        <v>150</v>
      </c>
      <c r="B5" s="17" t="s">
        <v>7</v>
      </c>
      <c r="C5" s="17" t="s">
        <v>8</v>
      </c>
      <c r="D5" s="19" t="s">
        <v>9</v>
      </c>
      <c r="E5" s="19" t="s">
        <v>11</v>
      </c>
      <c r="F5" s="19" t="s">
        <v>12</v>
      </c>
      <c r="G5" s="17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30.0" customHeight="1">
      <c r="A6" s="24" t="s">
        <v>155</v>
      </c>
      <c r="B6" s="26">
        <v>1029.0</v>
      </c>
      <c r="C6" s="26">
        <v>7.0</v>
      </c>
      <c r="D6" s="29">
        <v>5.0</v>
      </c>
      <c r="E6" s="59"/>
      <c r="F6" s="32">
        <v>4.0</v>
      </c>
      <c r="G6" s="35" t="str">
        <f>HYPERLINK("https://twitter.com/7NewsSydney/status/1242558365521207296","Source")</f>
        <v>Source</v>
      </c>
      <c r="H6" s="82"/>
      <c r="I6" s="82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30.0" customHeight="1">
      <c r="A7" s="24" t="s">
        <v>161</v>
      </c>
      <c r="B7" s="26">
        <v>466.0</v>
      </c>
      <c r="C7" s="48"/>
      <c r="D7" s="32"/>
      <c r="E7" s="32"/>
      <c r="F7" s="32">
        <v>97.0</v>
      </c>
      <c r="G7" s="35" t="str">
        <f>HYPERLINK("https://www.dhhs.vic.gov.au/coronavirus-update-victoria-24-march-2020","Source")</f>
        <v>Source</v>
      </c>
      <c r="H7" s="82"/>
      <c r="I7" s="82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30.0" customHeight="1">
      <c r="A8" s="34" t="s">
        <v>167</v>
      </c>
      <c r="B8" s="38">
        <v>443.0</v>
      </c>
      <c r="C8" s="40"/>
      <c r="D8" s="42"/>
      <c r="E8" s="42"/>
      <c r="F8" s="42">
        <v>8.0</v>
      </c>
      <c r="G8" s="46" t="str">
        <f>HYPERLINK("https://twitter.com/10NewsFirstQLD/status/1242304851104559104","Source")</f>
        <v>Source</v>
      </c>
      <c r="H8" s="82"/>
      <c r="I8" s="82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30.0" customHeight="1">
      <c r="A9" s="24" t="s">
        <v>174</v>
      </c>
      <c r="B9" s="26">
        <v>175.0</v>
      </c>
      <c r="C9" s="48">
        <v>1.0</v>
      </c>
      <c r="D9" s="32"/>
      <c r="E9" s="32"/>
      <c r="F9" s="32">
        <v>1.0</v>
      </c>
      <c r="G9" s="35" t="str">
        <f>HYPERLINK("https://thewest.com.au/news/coronavirus/coronavirus-crisis-health-minister-roger-cook-reveals-two-young-children-among-35-new-covid-19-cases-bringing-wa-total-to-175-ng-b881498470z","Source")</f>
        <v>Source</v>
      </c>
      <c r="H9" s="82"/>
      <c r="I9" s="82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30.0" customHeight="1">
      <c r="A10" s="24" t="s">
        <v>177</v>
      </c>
      <c r="B10" s="26">
        <v>170.0</v>
      </c>
      <c r="C10" s="48"/>
      <c r="D10" s="32"/>
      <c r="E10" s="32"/>
      <c r="F10" s="32">
        <v>6.0</v>
      </c>
      <c r="G10" s="35" t="str">
        <f>HYPERLINK("https://twitter.com/9NewsAdel/status/1242330158431780864","Source")</f>
        <v>Source</v>
      </c>
      <c r="H10" s="82"/>
      <c r="I10" s="82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30.0" customHeight="1">
      <c r="A11" s="24" t="s">
        <v>179</v>
      </c>
      <c r="B11" s="26">
        <v>39.0</v>
      </c>
      <c r="C11" s="48"/>
      <c r="D11" s="32"/>
      <c r="E11" s="32"/>
      <c r="F11" s="32"/>
      <c r="G11" s="35" t="str">
        <f>HYPERLINK("https://www.health.act.gov.au/about-our-health-system/novel-coronavirus-covid-19","Source")</f>
        <v>Source</v>
      </c>
      <c r="H11" s="82"/>
      <c r="I11" s="82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30.0" customHeight="1">
      <c r="A12" s="24" t="s">
        <v>180</v>
      </c>
      <c r="B12" s="26">
        <v>36.0</v>
      </c>
      <c r="C12" s="48"/>
      <c r="D12" s="32"/>
      <c r="E12" s="32"/>
      <c r="F12" s="32">
        <v>3.0</v>
      </c>
      <c r="G12" s="35" t="str">
        <f>HYPERLINK("https://twitter.com/MonteBovill/status/1242025278299205638","Source")</f>
        <v>Source</v>
      </c>
      <c r="H12" s="82"/>
      <c r="I12" s="82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30.0" customHeight="1">
      <c r="A13" s="24" t="s">
        <v>182</v>
      </c>
      <c r="B13" s="26">
        <v>6.0</v>
      </c>
      <c r="C13" s="48"/>
      <c r="D13" s="32"/>
      <c r="E13" s="32"/>
      <c r="F13" s="32"/>
      <c r="G13" s="35" t="str">
        <f>HYPERLINK("http://mediareleases.nt.gov.au/mediaRelease/32120","Source")</f>
        <v>Source</v>
      </c>
      <c r="H13" s="82"/>
      <c r="I13" s="82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30.0" customHeight="1">
      <c r="A14" s="24" t="s">
        <v>183</v>
      </c>
      <c r="B14" s="26">
        <v>0.0</v>
      </c>
      <c r="C14" s="48"/>
      <c r="D14" s="32"/>
      <c r="E14" s="32"/>
      <c r="F14" s="32"/>
      <c r="G14" s="73"/>
      <c r="H14" s="20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30.0" customHeight="1">
      <c r="A15" s="24" t="s">
        <v>185</v>
      </c>
      <c r="B15" s="26">
        <v>0.0</v>
      </c>
      <c r="C15" s="48"/>
      <c r="D15" s="32"/>
      <c r="E15" s="32"/>
      <c r="F15" s="32"/>
      <c r="G15" s="73"/>
      <c r="H15" s="20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30.0" customHeight="1">
      <c r="A16" s="60" t="s">
        <v>43</v>
      </c>
      <c r="B16" s="61">
        <f t="shared" ref="B16:F16" si="2">SUM(B6:B15)</f>
        <v>2364</v>
      </c>
      <c r="C16" s="61">
        <f t="shared" si="2"/>
        <v>8</v>
      </c>
      <c r="D16" s="61">
        <f t="shared" si="2"/>
        <v>5</v>
      </c>
      <c r="E16" s="61">
        <f t="shared" si="2"/>
        <v>0</v>
      </c>
      <c r="F16" s="61">
        <f t="shared" si="2"/>
        <v>119</v>
      </c>
      <c r="G16" s="62"/>
      <c r="H16" s="20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>
      <c r="A17" s="60"/>
      <c r="B17" s="63"/>
      <c r="C17" s="63"/>
      <c r="D17" s="64"/>
      <c r="E17" s="65"/>
      <c r="F17" s="63"/>
      <c r="G17" s="62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66"/>
      <c r="B18" s="67"/>
      <c r="C18" s="68"/>
      <c r="D18" s="68"/>
      <c r="E18" s="68"/>
      <c r="F18" s="68"/>
      <c r="G18" s="5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69"/>
      <c r="B19" s="68"/>
      <c r="C19" s="68"/>
      <c r="D19" s="68"/>
      <c r="E19" s="68"/>
      <c r="F19" s="6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69"/>
      <c r="B20" s="68"/>
      <c r="C20" s="68"/>
      <c r="D20" s="68"/>
      <c r="E20" s="68"/>
      <c r="F20" s="6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4" t="s">
        <v>143</v>
      </c>
      <c r="F1" s="5"/>
      <c r="G1" s="5"/>
      <c r="H1" s="5"/>
    </row>
    <row r="2">
      <c r="A2" s="2" t="s">
        <v>144</v>
      </c>
      <c r="B2" s="2" t="s">
        <v>145</v>
      </c>
      <c r="D2" s="3" t="s">
        <v>146</v>
      </c>
      <c r="E2" s="6"/>
      <c r="F2" s="5"/>
      <c r="G2" s="5"/>
      <c r="H2" s="5"/>
    </row>
    <row r="3">
      <c r="A3" s="11">
        <f t="shared" ref="A3:B3" si="1">SUM(B24, B25)</f>
        <v>3196</v>
      </c>
      <c r="B3" s="11">
        <f t="shared" si="1"/>
        <v>33</v>
      </c>
      <c r="D3" s="12">
        <f>SUM(E24, E25)</f>
        <v>9</v>
      </c>
      <c r="E3" s="6"/>
      <c r="F3" s="5"/>
      <c r="G3" s="5"/>
      <c r="H3" s="5"/>
    </row>
    <row r="4">
      <c r="A4" s="14"/>
      <c r="B4" s="7"/>
      <c r="C4" s="7"/>
      <c r="D4" s="6"/>
      <c r="E4" s="6"/>
      <c r="F4" s="5"/>
      <c r="G4" s="5"/>
      <c r="H4" s="5"/>
    </row>
    <row r="5" ht="30.0" customHeight="1">
      <c r="A5" s="16" t="s">
        <v>148</v>
      </c>
      <c r="B5" s="17" t="s">
        <v>149</v>
      </c>
      <c r="C5" s="17" t="s">
        <v>151</v>
      </c>
      <c r="D5" s="19" t="s">
        <v>152</v>
      </c>
      <c r="E5" s="19" t="s">
        <v>153</v>
      </c>
      <c r="F5" s="22"/>
      <c r="G5" s="22"/>
      <c r="H5" s="22"/>
    </row>
    <row r="6" ht="30.0" customHeight="1">
      <c r="A6" s="24" t="s">
        <v>154</v>
      </c>
      <c r="B6" s="26">
        <v>977.0</v>
      </c>
      <c r="C6" s="48">
        <v>11.0</v>
      </c>
      <c r="D6" s="32"/>
      <c r="E6" s="32">
        <v>1.0</v>
      </c>
      <c r="F6" s="22"/>
      <c r="G6" s="22"/>
      <c r="H6" s="22"/>
    </row>
    <row r="7" ht="30.0" customHeight="1">
      <c r="A7" s="24" t="s">
        <v>124</v>
      </c>
      <c r="B7" s="26">
        <v>434.0</v>
      </c>
      <c r="C7" s="48">
        <v>0.0</v>
      </c>
      <c r="D7" s="32"/>
      <c r="E7" s="59"/>
      <c r="F7" s="22"/>
      <c r="G7" s="22"/>
      <c r="H7" s="22"/>
    </row>
    <row r="8" ht="30.0" customHeight="1">
      <c r="A8" s="24" t="s">
        <v>120</v>
      </c>
      <c r="B8" s="26">
        <v>426.0</v>
      </c>
      <c r="C8" s="26">
        <v>7.0</v>
      </c>
      <c r="D8" s="29">
        <v>6.0</v>
      </c>
      <c r="E8" s="32">
        <v>3.0</v>
      </c>
      <c r="F8" s="22"/>
      <c r="G8" s="22"/>
      <c r="H8" s="22"/>
    </row>
    <row r="9" ht="30.0" customHeight="1">
      <c r="A9" s="24" t="s">
        <v>156</v>
      </c>
      <c r="B9" s="26">
        <v>263.0</v>
      </c>
      <c r="C9" s="48">
        <v>3.0</v>
      </c>
      <c r="D9" s="32">
        <v>16.0</v>
      </c>
      <c r="E9" s="32">
        <v>2.0</v>
      </c>
      <c r="F9" s="22"/>
      <c r="G9" s="22"/>
      <c r="H9" s="22"/>
    </row>
    <row r="10" ht="30.0" customHeight="1">
      <c r="A10" s="24" t="s">
        <v>157</v>
      </c>
      <c r="B10" s="26">
        <v>203.0</v>
      </c>
      <c r="C10" s="48">
        <v>2.0</v>
      </c>
      <c r="D10" s="32">
        <v>3.0</v>
      </c>
      <c r="E10" s="32">
        <v>3.0</v>
      </c>
      <c r="F10" s="22"/>
      <c r="G10" s="22"/>
      <c r="H10" s="22"/>
    </row>
    <row r="11" ht="30.0" customHeight="1">
      <c r="A11" s="24" t="s">
        <v>158</v>
      </c>
      <c r="B11" s="26">
        <v>200.0</v>
      </c>
      <c r="C11" s="48">
        <v>1.0</v>
      </c>
      <c r="D11" s="32">
        <v>8.0</v>
      </c>
      <c r="E11" s="59"/>
      <c r="F11" s="22"/>
      <c r="G11" s="22"/>
      <c r="H11" s="22"/>
    </row>
    <row r="12" ht="30.0" customHeight="1">
      <c r="A12" s="24" t="s">
        <v>160</v>
      </c>
      <c r="B12" s="26">
        <v>158.0</v>
      </c>
      <c r="C12" s="48">
        <v>3.0</v>
      </c>
      <c r="D12" s="32"/>
      <c r="E12" s="59"/>
      <c r="F12" s="22"/>
      <c r="G12" s="22"/>
      <c r="H12" s="22"/>
    </row>
    <row r="13" ht="30.0" customHeight="1">
      <c r="A13" s="24" t="s">
        <v>162</v>
      </c>
      <c r="B13" s="26">
        <v>158.0</v>
      </c>
      <c r="C13" s="48">
        <v>0.0</v>
      </c>
      <c r="D13" s="32"/>
      <c r="E13" s="59"/>
      <c r="F13" s="22"/>
      <c r="G13" s="22"/>
      <c r="H13" s="22"/>
    </row>
    <row r="14" ht="30.0" customHeight="1">
      <c r="A14" s="24" t="s">
        <v>163</v>
      </c>
      <c r="B14" s="26">
        <v>113.0</v>
      </c>
      <c r="C14" s="48">
        <v>2.0</v>
      </c>
      <c r="D14" s="32"/>
      <c r="E14" s="59"/>
      <c r="F14" s="22"/>
      <c r="G14" s="22"/>
      <c r="H14" s="22"/>
    </row>
    <row r="15" ht="30.0" customHeight="1">
      <c r="A15" s="24" t="s">
        <v>164</v>
      </c>
      <c r="B15" s="26">
        <v>110.0</v>
      </c>
      <c r="C15" s="48"/>
      <c r="D15" s="32"/>
      <c r="E15" s="59"/>
      <c r="F15" s="22"/>
      <c r="G15" s="22"/>
      <c r="H15" s="22"/>
    </row>
    <row r="16" ht="30.0" customHeight="1">
      <c r="A16" s="24" t="s">
        <v>165</v>
      </c>
      <c r="B16" s="26">
        <v>72.0</v>
      </c>
      <c r="C16" s="48">
        <v>2.0</v>
      </c>
      <c r="D16" s="32"/>
      <c r="E16" s="59"/>
      <c r="F16" s="22"/>
      <c r="G16" s="22"/>
      <c r="H16" s="22"/>
    </row>
    <row r="17" ht="30.0" customHeight="1">
      <c r="A17" s="24" t="s">
        <v>166</v>
      </c>
      <c r="B17" s="26">
        <v>24.0</v>
      </c>
      <c r="C17" s="48">
        <v>0.0</v>
      </c>
      <c r="D17" s="32"/>
      <c r="E17" s="59"/>
      <c r="F17" s="22"/>
      <c r="G17" s="22"/>
      <c r="H17" s="22"/>
    </row>
    <row r="18" ht="30.0" customHeight="1">
      <c r="A18" s="24" t="s">
        <v>168</v>
      </c>
      <c r="B18" s="26">
        <v>21.0</v>
      </c>
      <c r="C18" s="48">
        <v>1.0</v>
      </c>
      <c r="D18" s="32"/>
      <c r="E18" s="59"/>
      <c r="F18" s="22"/>
      <c r="G18" s="22"/>
      <c r="H18" s="22"/>
    </row>
    <row r="19" ht="30.0" customHeight="1">
      <c r="A19" s="24" t="s">
        <v>170</v>
      </c>
      <c r="B19" s="26">
        <v>19.0</v>
      </c>
      <c r="C19" s="48">
        <v>0.0</v>
      </c>
      <c r="D19" s="32"/>
      <c r="E19" s="59"/>
      <c r="F19" s="22"/>
      <c r="G19" s="22"/>
      <c r="H19" s="22"/>
    </row>
    <row r="20" ht="30.0" customHeight="1">
      <c r="A20" s="24" t="s">
        <v>171</v>
      </c>
      <c r="B20" s="26">
        <v>18.0</v>
      </c>
      <c r="C20" s="48">
        <v>1.0</v>
      </c>
      <c r="D20" s="32"/>
      <c r="E20" s="59"/>
      <c r="F20" s="22"/>
      <c r="G20" s="22"/>
      <c r="H20" s="22"/>
    </row>
    <row r="21" ht="30.0" customHeight="1">
      <c r="A21" s="24" t="s">
        <v>172</v>
      </c>
      <c r="B21" s="26">
        <v>13.0</v>
      </c>
      <c r="C21" s="48">
        <v>1.0</v>
      </c>
      <c r="D21" s="32"/>
      <c r="E21" s="59"/>
      <c r="F21" s="22"/>
      <c r="G21" s="22"/>
      <c r="H21" s="22"/>
    </row>
    <row r="22" ht="30.0" customHeight="1">
      <c r="A22" s="24" t="s">
        <v>173</v>
      </c>
      <c r="B22" s="26">
        <v>3.0</v>
      </c>
      <c r="C22" s="48"/>
      <c r="D22" s="32"/>
      <c r="E22" s="59"/>
      <c r="F22" s="22"/>
      <c r="G22" s="22"/>
      <c r="H22" s="22"/>
    </row>
    <row r="23" ht="30.0" customHeight="1">
      <c r="A23" s="24" t="s">
        <v>175</v>
      </c>
      <c r="B23" s="26">
        <v>2.0</v>
      </c>
      <c r="C23" s="48"/>
      <c r="D23" s="32"/>
      <c r="E23" s="59"/>
      <c r="F23" s="22"/>
      <c r="G23" s="22"/>
      <c r="H23" s="22"/>
    </row>
    <row r="24" ht="30.0" customHeight="1">
      <c r="A24" s="60" t="s">
        <v>43</v>
      </c>
      <c r="B24" s="61">
        <f t="shared" ref="B24:C24" si="2">SUM(B6:B20)</f>
        <v>3196</v>
      </c>
      <c r="C24" s="61">
        <f t="shared" si="2"/>
        <v>33</v>
      </c>
      <c r="D24" s="61">
        <f t="shared" ref="D24:E24" si="3">SUM(D6:D16)</f>
        <v>33</v>
      </c>
      <c r="E24" s="61">
        <f t="shared" si="3"/>
        <v>9</v>
      </c>
      <c r="F24" s="22"/>
      <c r="G24" s="22"/>
      <c r="H24" s="22"/>
    </row>
    <row r="25">
      <c r="A25" s="69"/>
      <c r="B25" s="68"/>
      <c r="C25" s="68"/>
      <c r="D25" s="68"/>
      <c r="E25" s="68"/>
      <c r="F25" s="5"/>
      <c r="G25" s="5"/>
      <c r="H25" s="5"/>
    </row>
    <row r="26">
      <c r="A26" s="66"/>
      <c r="B26" s="67"/>
      <c r="C26" s="68"/>
      <c r="D26" s="68"/>
      <c r="E26" s="68"/>
      <c r="F26" s="5"/>
      <c r="G26" s="5"/>
      <c r="H26" s="5"/>
    </row>
    <row r="27">
      <c r="A27" s="69"/>
      <c r="B27" s="68"/>
      <c r="C27" s="68"/>
      <c r="D27" s="68"/>
      <c r="E27" s="68"/>
      <c r="F27" s="5"/>
      <c r="G27" s="5"/>
      <c r="H27" s="5"/>
    </row>
    <row r="28">
      <c r="A28" s="69"/>
      <c r="B28" s="68"/>
      <c r="C28" s="68"/>
      <c r="D28" s="68"/>
      <c r="E28" s="68"/>
      <c r="F28" s="5"/>
      <c r="G28" s="5"/>
      <c r="H28" s="5"/>
    </row>
  </sheetData>
  <mergeCells count="3">
    <mergeCell ref="A1:E1"/>
    <mergeCell ref="B2:C2"/>
    <mergeCell ref="B3:C3"/>
  </mergeCells>
  <drawing r:id="rId1"/>
  <tableParts count="1">
    <tablePart r:id="rId3"/>
  </tableParts>
</worksheet>
</file>