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OLD STATE TOTAL:
4,896 cases / 195 deaths
--
NEW: 
SNOHOMISH COUNTY - 1,229 cases / 33 dead (+ 161 cases / +12 dead)
Tacoma-Pierce - 377 cases, 6 deaths (+89 cases)
Whatcom - 139 cases / 7 dead (+28 cases / +3 dead)
Yakima County - 202 cases / 3 dead (+107 cases - +1 dead)
Grant - 69 cases, 1 dead (+19 cases)
King - 2,496, 164 deaths (+335 cases, +20 deaths)</t>
      </text>
    </comment>
    <comment authorId="0" ref="L15">
      <text>
        <t xml:space="preserve">OLD STATE TOTAL:
4,896 cases / 195 deaths
--
NEW: 
SNOHOMISH COUNTY - 1,229 cases / 33 dead (+ 161 cases / +12 dead)
Tacoma-Pierce - 377 cases, 6 deaths (+89 cases)
Whatcom - 139 cases / 7 dead (+28 cases / +3 dead)
Yakima County - 202 cases / 3 dead (+107 cases - +1 dead)
Grant - 69 cases, 1 dead (+19 cases)</t>
      </text>
    </comment>
  </commentList>
</comments>
</file>

<file path=xl/sharedStrings.xml><?xml version="1.0" encoding="utf-8"?>
<sst xmlns="http://schemas.openxmlformats.org/spreadsheetml/2006/main" count="735" uniqueCount="340">
  <si>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</si>
  <si>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</si>
  <si>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</si>
  <si>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</si>
  <si>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</si>
  <si>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</si>
  <si>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</si>
  <si>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</si>
  <si>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WORLD</t>
  </si>
  <si>
    <t>New cases</t>
  </si>
  <si>
    <t>Deaths</t>
  </si>
  <si>
    <t>New deaths</t>
  </si>
  <si>
    <t>Death rate</t>
  </si>
  <si>
    <t>Serious &amp; Critical</t>
  </si>
  <si>
    <t>Recovered</t>
  </si>
  <si>
    <t>Links</t>
  </si>
  <si>
    <t>New York</t>
  </si>
  <si>
    <t>New South Wales</t>
  </si>
  <si>
    <t>United States</t>
  </si>
  <si>
    <t>New Jersey</t>
  </si>
  <si>
    <t>N/A</t>
  </si>
  <si>
    <t>Victoria</t>
  </si>
  <si>
    <t>Queensland</t>
  </si>
  <si>
    <t>Italy</t>
  </si>
  <si>
    <t>Michigan</t>
  </si>
  <si>
    <t>California</t>
  </si>
  <si>
    <t>Spain</t>
  </si>
  <si>
    <t>Western Australia</t>
  </si>
  <si>
    <t>Frequent</t>
  </si>
  <si>
    <t>Florida</t>
  </si>
  <si>
    <t>South Australia</t>
  </si>
  <si>
    <t>China</t>
  </si>
  <si>
    <t>Massachusetts</t>
  </si>
  <si>
    <t>Canberra (ACT)</t>
  </si>
  <si>
    <t>Daily</t>
  </si>
  <si>
    <t>Germany</t>
  </si>
  <si>
    <t>Tasmania</t>
  </si>
  <si>
    <t>Illinois</t>
  </si>
  <si>
    <t>Northern Territory</t>
  </si>
  <si>
    <t>France</t>
  </si>
  <si>
    <t>Louisiana</t>
  </si>
  <si>
    <t>External territories</t>
  </si>
  <si>
    <t>Pennsylvania</t>
  </si>
  <si>
    <t>Iran</t>
  </si>
  <si>
    <t>-</t>
  </si>
  <si>
    <t>Jervis Bay</t>
  </si>
  <si>
    <t>Washington</t>
  </si>
  <si>
    <t>United Kingdom</t>
  </si>
  <si>
    <t>Georgia</t>
  </si>
  <si>
    <t>Switzerland</t>
  </si>
  <si>
    <t>Texas</t>
  </si>
  <si>
    <t>TOTAL</t>
  </si>
  <si>
    <t>Connecticut</t>
  </si>
  <si>
    <t>Turkey</t>
  </si>
  <si>
    <t>Colorado</t>
  </si>
  <si>
    <t>Belgium</t>
  </si>
  <si>
    <t>Tennessee</t>
  </si>
  <si>
    <t>Netherlands</t>
  </si>
  <si>
    <t>Indiana</t>
  </si>
  <si>
    <t>Austria</t>
  </si>
  <si>
    <t>Ohio</t>
  </si>
  <si>
    <t>Throughout</t>
  </si>
  <si>
    <t>South Korea</t>
  </si>
  <si>
    <t>Maryland</t>
  </si>
  <si>
    <t>Canada</t>
  </si>
  <si>
    <t>North Carolina</t>
  </si>
  <si>
    <t>Missouri</t>
  </si>
  <si>
    <t>Portugal</t>
  </si>
  <si>
    <t>Wisconsin</t>
  </si>
  <si>
    <t>Arizona</t>
  </si>
  <si>
    <t>CANADA</t>
  </si>
  <si>
    <t>Brazil</t>
  </si>
  <si>
    <t>Virginia</t>
  </si>
  <si>
    <t>Quebec</t>
  </si>
  <si>
    <t>South Carolina</t>
  </si>
  <si>
    <t>Israel</t>
  </si>
  <si>
    <t>Nevada</t>
  </si>
  <si>
    <t>Ontario</t>
  </si>
  <si>
    <t>Sweden</t>
  </si>
  <si>
    <t>Alabama</t>
  </si>
  <si>
    <t>British Columbia</t>
  </si>
  <si>
    <t>Mississippi</t>
  </si>
  <si>
    <t>Norway</t>
  </si>
  <si>
    <t>Utah</t>
  </si>
  <si>
    <t>Alberta</t>
  </si>
  <si>
    <t>Australia</t>
  </si>
  <si>
    <t>Oregon</t>
  </si>
  <si>
    <t>Saskatchewan</t>
  </si>
  <si>
    <t>Oklahoma</t>
  </si>
  <si>
    <t>Newfoundland &amp; Labrador</t>
  </si>
  <si>
    <t>Czech Republic</t>
  </si>
  <si>
    <t>Minnesota</t>
  </si>
  <si>
    <t>Nova Scotia</t>
  </si>
  <si>
    <t>Numerous</t>
  </si>
  <si>
    <t>Kentucky</t>
  </si>
  <si>
    <t>Ireland</t>
  </si>
  <si>
    <t>Manitoba</t>
  </si>
  <si>
    <t>District of Columbia</t>
  </si>
  <si>
    <t>New Brunswick</t>
  </si>
  <si>
    <t>Chile</t>
  </si>
  <si>
    <t>Arkansas</t>
  </si>
  <si>
    <t>Prince Edward Island</t>
  </si>
  <si>
    <t>3 times/day</t>
  </si>
  <si>
    <t>Denmark</t>
  </si>
  <si>
    <t>Rhode Island</t>
  </si>
  <si>
    <t>Repatriated travellers</t>
  </si>
  <si>
    <t>Iowa</t>
  </si>
  <si>
    <t>Malaysia</t>
  </si>
  <si>
    <t>Yukon</t>
  </si>
  <si>
    <t>Idaho</t>
  </si>
  <si>
    <t>Russia</t>
  </si>
  <si>
    <t>Kansas</t>
  </si>
  <si>
    <t>Northwest Territories</t>
  </si>
  <si>
    <t>Ecuador</t>
  </si>
  <si>
    <t>New Hampshire</t>
  </si>
  <si>
    <t>Nunavut</t>
  </si>
  <si>
    <t>Poland</t>
  </si>
  <si>
    <t>New Mexico</t>
  </si>
  <si>
    <t>Several</t>
  </si>
  <si>
    <t>Japan</t>
  </si>
  <si>
    <t>Vermont</t>
  </si>
  <si>
    <t>Delaware</t>
  </si>
  <si>
    <t>Luxembourg</t>
  </si>
  <si>
    <t>Maine</t>
  </si>
  <si>
    <t>Philippines</t>
  </si>
  <si>
    <t>Puerto Rico</t>
  </si>
  <si>
    <t>Hawaii</t>
  </si>
  <si>
    <t>Romania</t>
  </si>
  <si>
    <t>Montana</t>
  </si>
  <si>
    <t>Daily + deaths</t>
  </si>
  <si>
    <t>ACTIVE CASES</t>
  </si>
  <si>
    <t>Pakistan</t>
  </si>
  <si>
    <t>Twice a day</t>
  </si>
  <si>
    <t>West Virginia</t>
  </si>
  <si>
    <t>Any time</t>
  </si>
  <si>
    <t>India</t>
  </si>
  <si>
    <t>MAINLAND CHINA</t>
  </si>
  <si>
    <t>Nebraska</t>
  </si>
  <si>
    <t>Serious</t>
  </si>
  <si>
    <t>Thailand</t>
  </si>
  <si>
    <t>Critical</t>
  </si>
  <si>
    <t>Hubei province (includes Wuhan)</t>
  </si>
  <si>
    <t>North Dakota</t>
  </si>
  <si>
    <t>Guangdong province</t>
  </si>
  <si>
    <t>Saudi Arabia</t>
  </si>
  <si>
    <t>Alaska</t>
  </si>
  <si>
    <t>Henan province</t>
  </si>
  <si>
    <t>Wyoming</t>
  </si>
  <si>
    <t>Indonesia</t>
  </si>
  <si>
    <t>Zhejiang province</t>
  </si>
  <si>
    <t>South Dakota</t>
  </si>
  <si>
    <t>Hunan province</t>
  </si>
  <si>
    <t>Finland</t>
  </si>
  <si>
    <t>Beijing</t>
  </si>
  <si>
    <t>Guam</t>
  </si>
  <si>
    <t>South Africa</t>
  </si>
  <si>
    <t>Shanghai</t>
  </si>
  <si>
    <t>Diamond Princess (repatriated)</t>
  </si>
  <si>
    <t>Peru</t>
  </si>
  <si>
    <t>Other regions/TBD</t>
  </si>
  <si>
    <t>&lt;20</t>
  </si>
  <si>
    <t>Asymptomatic</t>
  </si>
  <si>
    <t>Greece</t>
  </si>
  <si>
    <t>U.S. Virgin Islands</t>
  </si>
  <si>
    <t>Dominican Republic</t>
  </si>
  <si>
    <t>Grand Princess</t>
  </si>
  <si>
    <t>Northern Mariana Islands</t>
  </si>
  <si>
    <t>Iceland</t>
  </si>
  <si>
    <t>Wuhan (repatriated)</t>
  </si>
  <si>
    <t>Mexico</t>
  </si>
  <si>
    <t>A Marzo 21</t>
  </si>
  <si>
    <t>American Samoa</t>
  </si>
  <si>
    <t>CASOS</t>
  </si>
  <si>
    <t>MUERTES</t>
  </si>
  <si>
    <t>RECUPERADOS</t>
  </si>
  <si>
    <t>Panama</t>
  </si>
  <si>
    <t>Mundo Hispano</t>
  </si>
  <si>
    <t>Casos</t>
  </si>
  <si>
    <t>Muertes</t>
  </si>
  <si>
    <t>Serios</t>
  </si>
  <si>
    <t>Recuperados</t>
  </si>
  <si>
    <t>Brasil</t>
  </si>
  <si>
    <t>TBD</t>
  </si>
  <si>
    <t>México</t>
  </si>
  <si>
    <t>Colombia</t>
  </si>
  <si>
    <t>Panamá</t>
  </si>
  <si>
    <t>Argentina</t>
  </si>
  <si>
    <t>Costa Rica</t>
  </si>
  <si>
    <t>Uruguay</t>
  </si>
  <si>
    <t>Rep. Dominicana</t>
  </si>
  <si>
    <t>U.S. TOTAL</t>
  </si>
  <si>
    <t>Honduras</t>
  </si>
  <si>
    <t>Cuba</t>
  </si>
  <si>
    <t>Bolivia</t>
  </si>
  <si>
    <t>Paraguay</t>
  </si>
  <si>
    <t>Serbia</t>
  </si>
  <si>
    <t>Guatemala</t>
  </si>
  <si>
    <t>El Salvador</t>
  </si>
  <si>
    <t>Nicaragua</t>
  </si>
  <si>
    <t>Singapore</t>
  </si>
  <si>
    <t>Croatia</t>
  </si>
  <si>
    <t>Algeria</t>
  </si>
  <si>
    <t>% of deaths</t>
  </si>
  <si>
    <t>Slovenia</t>
  </si>
  <si>
    <t>Ukraine</t>
  </si>
  <si>
    <t>2 times/day</t>
  </si>
  <si>
    <t>Qatar</t>
  </si>
  <si>
    <t>Hong Kong</t>
  </si>
  <si>
    <t>Estonia</t>
  </si>
  <si>
    <t>Diamond Princess</t>
  </si>
  <si>
    <t>Egypt</t>
  </si>
  <si>
    <t>New Zealand</t>
  </si>
  <si>
    <t>Iraq</t>
  </si>
  <si>
    <t>United Arab Emirates</t>
  </si>
  <si>
    <t>Morocco</t>
  </si>
  <si>
    <t>At least 3</t>
  </si>
  <si>
    <t>Lithuania</t>
  </si>
  <si>
    <t>Armenia</t>
  </si>
  <si>
    <t>Bahrain</t>
  </si>
  <si>
    <t>Hungary</t>
  </si>
  <si>
    <t>Lebanon</t>
  </si>
  <si>
    <t>Bosnia</t>
  </si>
  <si>
    <t>Latvia</t>
  </si>
  <si>
    <t>Moldova</t>
  </si>
  <si>
    <t>Tunisia</t>
  </si>
  <si>
    <t>Bulgaria</t>
  </si>
  <si>
    <t>Slovakia</t>
  </si>
  <si>
    <t>Andorra</t>
  </si>
  <si>
    <t>Kazakhstan</t>
  </si>
  <si>
    <t>North Macedonia</t>
  </si>
  <si>
    <t>Taiwan</t>
  </si>
  <si>
    <t>Cyprus</t>
  </si>
  <si>
    <t>Kuwait</t>
  </si>
  <si>
    <t>Azerbaijan</t>
  </si>
  <si>
    <t>Jordan</t>
  </si>
  <si>
    <t>Burkina Faso</t>
  </si>
  <si>
    <t>Albania</t>
  </si>
  <si>
    <t>Afghanistan</t>
  </si>
  <si>
    <t>San Marino</t>
  </si>
  <si>
    <t>Cameroon</t>
  </si>
  <si>
    <t>Vietnam</t>
  </si>
  <si>
    <t>Belarus</t>
  </si>
  <si>
    <t>Oman</t>
  </si>
  <si>
    <t>Ghana</t>
  </si>
  <si>
    <t>Senegal</t>
  </si>
  <si>
    <t>Malta</t>
  </si>
  <si>
    <t>Uzbekistan</t>
  </si>
  <si>
    <t>Ivory Coast</t>
  </si>
  <si>
    <t>Nigeria</t>
  </si>
  <si>
    <t>Mauritius</t>
  </si>
  <si>
    <t>Sri Lanka</t>
  </si>
  <si>
    <t>Venezuela</t>
  </si>
  <si>
    <t>Palestine</t>
  </si>
  <si>
    <t>Brunei</t>
  </si>
  <si>
    <t>Kosovo</t>
  </si>
  <si>
    <t>Kyrgyzstan</t>
  </si>
  <si>
    <t>DR Congo</t>
  </si>
  <si>
    <t>Montenegro</t>
  </si>
  <si>
    <t>Cambodia</t>
  </si>
  <si>
    <t>Guernsey</t>
  </si>
  <si>
    <t>Trinidad and Tobago</t>
  </si>
  <si>
    <t>Rwanda</t>
  </si>
  <si>
    <t>Jersey</t>
  </si>
  <si>
    <t>Kenya</t>
  </si>
  <si>
    <t>Gibraltar</t>
  </si>
  <si>
    <t>Northern Cyprus</t>
  </si>
  <si>
    <t>Liechtenstein</t>
  </si>
  <si>
    <t>Isle of Man</t>
  </si>
  <si>
    <t>Aruba</t>
  </si>
  <si>
    <t>Bangladesh</t>
  </si>
  <si>
    <t>Monaco</t>
  </si>
  <si>
    <t>Madagascar</t>
  </si>
  <si>
    <t>Uganda</t>
  </si>
  <si>
    <t>Macau</t>
  </si>
  <si>
    <t>Jamaica</t>
  </si>
  <si>
    <t>French Polynesia</t>
  </si>
  <si>
    <t>Togo</t>
  </si>
  <si>
    <t>Zambia</t>
  </si>
  <si>
    <t>Barbados</t>
  </si>
  <si>
    <t>Bermuda</t>
  </si>
  <si>
    <t>Mali</t>
  </si>
  <si>
    <t>Djibouti</t>
  </si>
  <si>
    <t>Guinea</t>
  </si>
  <si>
    <t>Ethiopia</t>
  </si>
  <si>
    <t>Bahamas</t>
  </si>
  <si>
    <t>Niger</t>
  </si>
  <si>
    <t>Congo Republic</t>
  </si>
  <si>
    <t>Tanzania</t>
  </si>
  <si>
    <t>Maldives</t>
  </si>
  <si>
    <t>Gabon</t>
  </si>
  <si>
    <t>Sint Maarten</t>
  </si>
  <si>
    <t>Haiti</t>
  </si>
  <si>
    <t>New Caledonia</t>
  </si>
  <si>
    <t>Myanmar</t>
  </si>
  <si>
    <t>Eritrea</t>
  </si>
  <si>
    <t>Equatorial Guinea</t>
  </si>
  <si>
    <t>Cayman Islands</t>
  </si>
  <si>
    <t>Mongolia</t>
  </si>
  <si>
    <t>Benin</t>
  </si>
  <si>
    <t>Saint Lucia</t>
  </si>
  <si>
    <t>Guyana</t>
  </si>
  <si>
    <t>Curaçao</t>
  </si>
  <si>
    <t>Namibia</t>
  </si>
  <si>
    <t>Syria</t>
  </si>
  <si>
    <t>Greenland</t>
  </si>
  <si>
    <t>Seychelles</t>
  </si>
  <si>
    <t>Libya</t>
  </si>
  <si>
    <t>Suriname</t>
  </si>
  <si>
    <t>Eswatini</t>
  </si>
  <si>
    <t>Grenada</t>
  </si>
  <si>
    <t>Laos</t>
  </si>
  <si>
    <t>Zimbabwe</t>
  </si>
  <si>
    <t>Mozambique</t>
  </si>
  <si>
    <t>Guinea-Bissau</t>
  </si>
  <si>
    <t>St. Kitts and Nevis</t>
  </si>
  <si>
    <t>Angola</t>
  </si>
  <si>
    <t>Sudan</t>
  </si>
  <si>
    <t>Antigua and Barbuda</t>
  </si>
  <si>
    <t>Chad</t>
  </si>
  <si>
    <t>St. Barthélemy</t>
  </si>
  <si>
    <t>Cape Verde</t>
  </si>
  <si>
    <t>Mauritania</t>
  </si>
  <si>
    <t>Central African Republic</t>
  </si>
  <si>
    <t>Vatican City</t>
  </si>
  <si>
    <t>Fiji</t>
  </si>
  <si>
    <t>Montserrat</t>
  </si>
  <si>
    <t>Nepal</t>
  </si>
  <si>
    <t>Turks and Caicos Islands</t>
  </si>
  <si>
    <t>Somalia</t>
  </si>
  <si>
    <t>The Gambia</t>
  </si>
  <si>
    <t>Bhutan</t>
  </si>
  <si>
    <t>Liberia</t>
  </si>
  <si>
    <t>Belize</t>
  </si>
  <si>
    <t>British Virgin Islands</t>
  </si>
  <si>
    <t>Burundi</t>
  </si>
  <si>
    <t>Anguilla</t>
  </si>
  <si>
    <t>Sierra Leone</t>
  </si>
  <si>
    <t>Timor-Leste</t>
  </si>
  <si>
    <t>Papua New Guinea</t>
  </si>
  <si>
    <t>Saint Vincent and the Grenadines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</si>
</sst>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0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color theme="1"/>
      <name val="Arial"/>
    </font>
    <font>
      <sz val="11.0"/>
      <color rgb="FF999999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00000"/>
      <name val="Arial"/>
    </font>
    <font>
      <sz val="11.0"/>
      <color rgb="FFFFFFFF"/>
      <name val="Roboto"/>
    </font>
    <font>
      <b/>
      <sz val="11.0"/>
      <color rgb="FF38761D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Font="1"/>
    <xf borderId="0" fillId="0" fontId="4" numFmtId="0" xfId="0" applyAlignment="1" applyFont="1">
      <alignment horizontal="left" readingOrder="0" vertical="bottom"/>
    </xf>
    <xf borderId="0" fillId="2" fontId="3" numFmtId="0" xfId="0" applyFill="1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1" numFmtId="3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0" fillId="0" fontId="3" numFmtId="0" xfId="0" applyAlignment="1" applyFont="1">
      <alignment readingOrder="0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0" fillId="0" fontId="3" numFmtId="0" xfId="0" applyAlignment="1" applyFont="1">
      <alignment vertical="center"/>
    </xf>
    <xf borderId="0" fillId="2" fontId="3" numFmtId="0" xfId="0" applyAlignment="1" applyFont="1">
      <alignment horizontal="center" vertical="center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 vertical="center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2" fontId="3" numFmtId="10" xfId="0" applyAlignment="1" applyBorder="1" applyFont="1" applyNumberFormat="1">
      <alignment horizontal="center" readingOrder="0" vertical="center"/>
    </xf>
    <xf borderId="1" fillId="0" fontId="12" numFmtId="3" xfId="0" applyAlignment="1" applyBorder="1" applyFont="1" applyNumberFormat="1">
      <alignment horizontal="center" readingOrder="0" vertical="center"/>
    </xf>
    <xf borderId="1" fillId="4" fontId="3" numFmtId="3" xfId="0" applyAlignment="1" applyBorder="1" applyFont="1" applyNumberFormat="1">
      <alignment horizontal="center" readingOrder="0" shrinkToFit="0" vertical="center" wrapText="1"/>
    </xf>
    <xf borderId="1" fillId="7" fontId="12" numFmtId="3" xfId="0" applyAlignment="1" applyBorder="1" applyFill="1" applyFont="1" applyNumberFormat="1">
      <alignment horizontal="center" readingOrder="0" vertical="center"/>
    </xf>
    <xf borderId="1" fillId="4" fontId="13" numFmtId="0" xfId="0" applyAlignment="1" applyBorder="1" applyFont="1">
      <alignment horizontal="center" readingOrder="0" shrinkToFit="0" vertical="center" wrapText="1"/>
    </xf>
    <xf borderId="1" fillId="6" fontId="3" numFmtId="3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0" fillId="8" fontId="15" numFmtId="0" xfId="0" applyAlignment="1" applyFill="1" applyFont="1">
      <alignment vertical="center"/>
    </xf>
    <xf borderId="1" fillId="4" fontId="3" numFmtId="10" xfId="0" applyAlignment="1" applyBorder="1" applyFont="1" applyNumberForma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vertical="center"/>
    </xf>
    <xf borderId="1" fillId="3" fontId="3" numFmtId="10" xfId="0" applyAlignment="1" applyBorder="1" applyFont="1" applyNumberFormat="1">
      <alignment horizontal="center" readingOrder="0" vertical="center"/>
    </xf>
    <xf borderId="1" fillId="3" fontId="17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0" fillId="8" fontId="3" numFmtId="0" xfId="0" applyAlignment="1" applyFont="1">
      <alignment vertical="center"/>
    </xf>
    <xf borderId="1" fillId="4" fontId="12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0" fillId="9" fontId="3" numFmtId="0" xfId="0" applyAlignment="1" applyFont="1">
      <alignment horizontal="center" vertical="center"/>
    </xf>
    <xf borderId="1" fillId="0" fontId="12" numFmtId="3" xfId="0" applyAlignment="1" applyBorder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9" fontId="3" numFmtId="0" xfId="0" applyAlignment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0" fillId="10" fontId="3" numFmtId="0" xfId="0" applyAlignment="1" applyFill="1" applyFont="1">
      <alignment vertical="center"/>
    </xf>
    <xf borderId="1" fillId="3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2" fontId="22" numFmtId="0" xfId="0" applyFont="1"/>
    <xf borderId="0" fillId="10" fontId="2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0" fillId="8" fontId="23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3" numFmtId="3" xfId="0" applyAlignment="1" applyFont="1" applyNumberFormat="1">
      <alignment horizontal="center" readingOrder="0" shrinkToFit="0" vertical="center" wrapText="1"/>
    </xf>
    <xf borderId="0" fillId="4" fontId="25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vertical="center"/>
    </xf>
    <xf borderId="0" fillId="3" fontId="26" numFmtId="0" xfId="0" applyAlignment="1" applyFont="1">
      <alignment horizontal="center" readingOrder="0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8" fontId="3" numFmtId="0" xfId="0" applyAlignment="1" applyFont="1">
      <alignment vertical="center"/>
    </xf>
    <xf borderId="0" fillId="8" fontId="27" numFmtId="0" xfId="0" applyAlignment="1" applyFont="1">
      <alignment vertical="center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28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28" numFmtId="3" xfId="0" applyAlignment="1" applyFont="1" applyNumberFormat="1">
      <alignment horizontal="center" readingOrder="0" shrinkToFit="0" vertical="center" wrapText="1"/>
    </xf>
    <xf borderId="0" fillId="2" fontId="28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28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vertical="center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9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3" numFmtId="3" xfId="0" applyAlignment="1" applyBorder="1" applyFont="1" applyNumberFormat="1">
      <alignment horizontal="center" readingOrder="0" vertical="center"/>
    </xf>
    <xf borderId="0" fillId="2" fontId="28" numFmtId="0" xfId="0" applyAlignment="1" applyFont="1">
      <alignment horizontal="left" readingOrder="0" vertical="center"/>
    </xf>
    <xf borderId="0" fillId="2" fontId="28" numFmtId="0" xfId="0" applyAlignment="1" applyFont="1">
      <alignment horizontal="center" readingOrder="0" vertical="center"/>
    </xf>
    <xf borderId="0" fillId="2" fontId="28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8" numFmtId="0" xfId="0" applyAlignment="1" applyFont="1">
      <alignment horizontal="center" readingOrder="0" vertical="center"/>
    </xf>
    <xf borderId="0" fillId="0" fontId="15" numFmtId="0" xfId="0" applyAlignment="1" applyFont="1">
      <alignment vertical="center"/>
    </xf>
    <xf borderId="0" fillId="2" fontId="15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9" numFmtId="3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22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World!$A$7:$A$203</c:f>
            </c:strRef>
          </c:cat>
          <c:val>
            <c:numRef>
              <c:f>World!$B$7:$B$203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World!$A$7:$A$203</c:f>
            </c:strRef>
          </c:cat>
          <c:val>
            <c:numRef>
              <c:f>World!$D$7:$D$204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206" displayName="Table_10" id="10">
  <tableColumns count="1">
    <tableColumn name="Cases" id="1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L5:M20" displayName="Table_4" id="4">
  <tableColumns count="2">
    <tableColumn name="Cases" id="1"/>
    <tableColumn name="Deaths" id="2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6" id="6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A6:I206" displayName="Table_11" id="11">
  <tableColumns count="9">
    <tableColumn name="WORLD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206" displayName="Table_12" id="12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M5:M6" displayName="Table_7" id="7">
  <tableColumns count="1">
    <tableColumn name="Deaths" id="1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A5:I68" displayName="Table_8" id="8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9" id="9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A5:I20" displayName="Table_3" id="3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6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4"/>
      <c r="C1" s="4"/>
      <c r="D1" s="4"/>
      <c r="E1" s="6"/>
      <c r="F1" s="6"/>
      <c r="G1" s="6"/>
      <c r="H1" s="7"/>
      <c r="I1" s="9"/>
      <c r="J1" s="3"/>
      <c r="K1" s="10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4"/>
      <c r="E2" s="6"/>
      <c r="F2" s="6"/>
      <c r="G2" s="6"/>
      <c r="H2" s="7"/>
      <c r="I2" s="9"/>
      <c r="J2" s="5"/>
      <c r="K2" s="11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</v>
      </c>
      <c r="B3" s="12" t="s">
        <v>2</v>
      </c>
      <c r="C3" s="6" t="s">
        <v>3</v>
      </c>
      <c r="E3" s="8" t="s">
        <v>4</v>
      </c>
      <c r="H3" s="7"/>
      <c r="I3" s="9"/>
      <c r="J3" s="5"/>
      <c r="K3" s="11"/>
      <c r="L3" s="12" t="s">
        <v>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3">
        <f>SUM(B205, B206)</f>
        <v>939181</v>
      </c>
      <c r="B4" s="15">
        <f>SUM(D205, D206)</f>
        <v>47118</v>
      </c>
      <c r="C4" s="14">
        <f>SUM(H205, H206)</f>
        <v>190816</v>
      </c>
      <c r="E4" s="16">
        <f>MINUS(A4,B4 + C4)</f>
        <v>701247</v>
      </c>
      <c r="F4" s="16"/>
      <c r="G4" s="6"/>
      <c r="H4" s="7"/>
      <c r="I4" s="9"/>
      <c r="J4" s="3"/>
      <c r="K4" s="11"/>
      <c r="L4" s="18">
        <f>SUM(N205, N206)</f>
        <v>0</v>
      </c>
      <c r="N4" s="1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7"/>
      <c r="B5" s="9"/>
      <c r="C5" s="9"/>
      <c r="D5" s="9"/>
      <c r="E5" s="7"/>
      <c r="F5" s="7"/>
      <c r="G5" s="7"/>
      <c r="H5" s="7"/>
      <c r="I5" s="9"/>
      <c r="J5" s="3"/>
      <c r="K5" s="11"/>
      <c r="L5" s="9"/>
      <c r="M5" s="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0.0" customHeight="1">
      <c r="A6" s="22" t="s">
        <v>8</v>
      </c>
      <c r="B6" s="23" t="s">
        <v>7</v>
      </c>
      <c r="C6" s="24" t="s">
        <v>9</v>
      </c>
      <c r="D6" s="23" t="s">
        <v>10</v>
      </c>
      <c r="E6" s="25" t="s">
        <v>11</v>
      </c>
      <c r="F6" s="25" t="s">
        <v>12</v>
      </c>
      <c r="G6" s="25" t="s">
        <v>13</v>
      </c>
      <c r="H6" s="28" t="s">
        <v>14</v>
      </c>
      <c r="I6" s="23" t="s">
        <v>15</v>
      </c>
      <c r="J6" s="30"/>
      <c r="K6" s="31"/>
      <c r="L6" s="23" t="s">
        <v>7</v>
      </c>
      <c r="M6" s="23" t="s">
        <v>10</v>
      </c>
      <c r="N6" s="30"/>
      <c r="O6" s="34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30.0" customHeight="1">
      <c r="A7" s="36" t="s">
        <v>18</v>
      </c>
      <c r="B7" s="40">
        <f>USA!A3</f>
        <v>213713</v>
      </c>
      <c r="C7" s="42">
        <f t="shared" ref="C7:C181" si="1">MINUS(B7,L7)</f>
        <v>25169</v>
      </c>
      <c r="D7" s="40">
        <f>USA!B3</f>
        <v>5005</v>
      </c>
      <c r="E7" s="44">
        <f t="shared" ref="E7:E13" si="2">MINUS(D7, M7)</f>
        <v>966</v>
      </c>
      <c r="F7" s="39">
        <f t="shared" ref="F7:F203" si="3">DIVIDE(D7, B7)</f>
        <v>0.02341925854</v>
      </c>
      <c r="G7" s="49">
        <f>USA!G66</f>
        <v>4344</v>
      </c>
      <c r="H7" s="49">
        <f>USA!C3</f>
        <v>7637</v>
      </c>
      <c r="I7" s="55" t="str">
        <f>HYPERLINK("https://bnonews.com/index.php/2019/12/tracking-coronavirus-u-s-data/","Source")</f>
        <v>Source</v>
      </c>
      <c r="J7" s="57"/>
      <c r="K7" s="59"/>
      <c r="L7" s="40">
        <v>188544.0</v>
      </c>
      <c r="M7" s="62">
        <v>4039.0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30.0" customHeight="1">
      <c r="A8" s="36" t="s">
        <v>23</v>
      </c>
      <c r="B8" s="40">
        <v>110574.0</v>
      </c>
      <c r="C8" s="42">
        <f t="shared" si="1"/>
        <v>4782</v>
      </c>
      <c r="D8" s="40">
        <v>13155.0</v>
      </c>
      <c r="E8" s="44">
        <f t="shared" si="2"/>
        <v>727</v>
      </c>
      <c r="F8" s="54">
        <f t="shared" si="3"/>
        <v>0.1189701015</v>
      </c>
      <c r="G8" s="49">
        <v>4035.0</v>
      </c>
      <c r="H8" s="49">
        <v>16847.0</v>
      </c>
      <c r="I8" s="55" t="str">
        <f>HYPERLINK("https://pbs.twimg.com/media/EUh-Bn4WoAkhPTn?format=jpg&amp;name=large","Source")</f>
        <v>Source</v>
      </c>
      <c r="J8" s="30"/>
      <c r="K8" s="66"/>
      <c r="L8" s="40">
        <v>105792.0</v>
      </c>
      <c r="M8" s="40">
        <v>12428.0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30.0" customHeight="1">
      <c r="A9" s="36" t="s">
        <v>26</v>
      </c>
      <c r="B9" s="40">
        <v>104118.0</v>
      </c>
      <c r="C9" s="42">
        <f t="shared" si="1"/>
        <v>8195</v>
      </c>
      <c r="D9" s="67">
        <v>9387.0</v>
      </c>
      <c r="E9" s="44">
        <f t="shared" si="2"/>
        <v>923</v>
      </c>
      <c r="F9" s="54">
        <f t="shared" si="3"/>
        <v>0.0901573215</v>
      </c>
      <c r="G9" s="49">
        <v>5872.0</v>
      </c>
      <c r="H9" s="49">
        <v>22647.0</v>
      </c>
      <c r="I9" s="55" t="str">
        <f>HYPERLINK("https://www.rtve.es/noticias/20200401/mapa-del-coronavirus-espana/2004681.shtml","Source")</f>
        <v>Source</v>
      </c>
      <c r="J9" s="30"/>
      <c r="K9" s="66"/>
      <c r="L9" s="40">
        <v>95923.0</v>
      </c>
      <c r="M9" s="67">
        <v>8464.0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30.0" customHeight="1">
      <c r="A10" s="36" t="s">
        <v>31</v>
      </c>
      <c r="B10" s="40">
        <f>China!A3</f>
        <v>83095</v>
      </c>
      <c r="C10" s="42">
        <f t="shared" si="1"/>
        <v>1577</v>
      </c>
      <c r="D10" s="40">
        <f>China!B3</f>
        <v>3312</v>
      </c>
      <c r="E10" s="44">
        <f t="shared" si="2"/>
        <v>7</v>
      </c>
      <c r="F10" s="39">
        <f t="shared" si="3"/>
        <v>0.03985799386</v>
      </c>
      <c r="G10" s="49">
        <f>China!D15</f>
        <v>466</v>
      </c>
      <c r="H10" s="49">
        <f>China!D3</f>
        <v>76412</v>
      </c>
      <c r="I10" s="55" t="str">
        <f>HYPERLINK("https://bnonews.com/index.php/2020/03/tracking-coronavirus-china-data/","Source")</f>
        <v>Source</v>
      </c>
      <c r="J10" s="30"/>
      <c r="K10" s="69" t="s">
        <v>34</v>
      </c>
      <c r="L10" s="40">
        <v>81518.0</v>
      </c>
      <c r="M10" s="40">
        <v>3305.0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30.0" customHeight="1">
      <c r="A11" s="36" t="s">
        <v>35</v>
      </c>
      <c r="B11" s="67">
        <v>78258.0</v>
      </c>
      <c r="C11" s="42">
        <f t="shared" si="1"/>
        <v>6273</v>
      </c>
      <c r="D11" s="62">
        <v>928.0</v>
      </c>
      <c r="E11" s="44">
        <f t="shared" si="2"/>
        <v>150</v>
      </c>
      <c r="F11" s="39">
        <f t="shared" si="3"/>
        <v>0.01185821258</v>
      </c>
      <c r="G11" s="49">
        <v>1892.0</v>
      </c>
      <c r="H11" s="49">
        <v>21725.0</v>
      </c>
      <c r="I11" s="55" t="str">
        <f>HYPERLINK("https://dts-nachrichtenagentur.de/corona-fallzahlen","Source")</f>
        <v>Source</v>
      </c>
      <c r="J11" s="63"/>
      <c r="K11" s="66"/>
      <c r="L11" s="67">
        <v>71985.0</v>
      </c>
      <c r="M11" s="62">
        <v>778.0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30.0" customHeight="1">
      <c r="A12" s="36" t="s">
        <v>39</v>
      </c>
      <c r="B12" s="40">
        <v>56989.0</v>
      </c>
      <c r="C12" s="42">
        <f t="shared" si="1"/>
        <v>4861</v>
      </c>
      <c r="D12" s="40">
        <v>4032.0</v>
      </c>
      <c r="E12" s="44">
        <f t="shared" si="2"/>
        <v>509</v>
      </c>
      <c r="F12" s="54">
        <f t="shared" si="3"/>
        <v>0.07075049571</v>
      </c>
      <c r="G12" s="49">
        <v>5565.0</v>
      </c>
      <c r="H12" s="49">
        <v>9444.0</v>
      </c>
      <c r="I12" s="55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2" s="63"/>
      <c r="K12" s="69" t="s">
        <v>34</v>
      </c>
      <c r="L12" s="40">
        <v>52128.0</v>
      </c>
      <c r="M12" s="40">
        <v>3523.0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30.0" customHeight="1">
      <c r="A13" s="36" t="s">
        <v>43</v>
      </c>
      <c r="B13" s="40">
        <v>47593.0</v>
      </c>
      <c r="C13" s="42">
        <f t="shared" si="1"/>
        <v>2987</v>
      </c>
      <c r="D13" s="40">
        <v>3036.0</v>
      </c>
      <c r="E13" s="44">
        <f t="shared" si="2"/>
        <v>138</v>
      </c>
      <c r="F13" s="39">
        <f t="shared" si="3"/>
        <v>0.06379089362</v>
      </c>
      <c r="G13" s="49">
        <v>3871.0</v>
      </c>
      <c r="H13" s="49">
        <v>15473.0</v>
      </c>
      <c r="I13" s="55" t="str">
        <f>HYPERLINK("https://twitter.com/AbasAslani/status/1245284347474829314","Source")</f>
        <v>Source</v>
      </c>
      <c r="J13" s="72"/>
      <c r="K13" s="69" t="s">
        <v>34</v>
      </c>
      <c r="L13" s="40">
        <v>44606.0</v>
      </c>
      <c r="M13" s="40">
        <v>2898.0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30.0" customHeight="1">
      <c r="A14" s="36" t="s">
        <v>47</v>
      </c>
      <c r="B14" s="40">
        <v>29474.0</v>
      </c>
      <c r="C14" s="42">
        <f t="shared" si="1"/>
        <v>4324</v>
      </c>
      <c r="D14" s="40">
        <v>2352.0</v>
      </c>
      <c r="E14" s="44">
        <v>563.0</v>
      </c>
      <c r="F14" s="54">
        <f t="shared" si="3"/>
        <v>0.07979914501</v>
      </c>
      <c r="G14" s="74">
        <v>20.0</v>
      </c>
      <c r="H14" s="74">
        <v>135.0</v>
      </c>
      <c r="I14" s="55" t="str">
        <f>HYPERLINK("https://twitter.com/DHSCgovuk/status/1245337119721230340","Source")</f>
        <v>Source</v>
      </c>
      <c r="J14" s="63"/>
      <c r="K14" s="66"/>
      <c r="L14" s="40">
        <v>25150.0</v>
      </c>
      <c r="M14" s="40">
        <v>1808.0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30.0" customHeight="1">
      <c r="A15" s="36" t="s">
        <v>49</v>
      </c>
      <c r="B15" s="40">
        <v>17785.0</v>
      </c>
      <c r="C15" s="42">
        <f t="shared" si="1"/>
        <v>1609</v>
      </c>
      <c r="D15" s="62">
        <v>488.0</v>
      </c>
      <c r="E15" s="44">
        <f t="shared" ref="E15:E204" si="4">MINUS(D15, M15)</f>
        <v>100</v>
      </c>
      <c r="F15" s="39">
        <f t="shared" si="3"/>
        <v>0.02743885297</v>
      </c>
      <c r="G15" s="74" t="s">
        <v>20</v>
      </c>
      <c r="H15" s="49">
        <v>2105.0</v>
      </c>
      <c r="I15" s="55" t="str">
        <f>HYPERLINK("https://www.24heures.ch/monde/direct-nouveau-cas-coronavirus-suisse/story/24581768","Source")</f>
        <v>Source</v>
      </c>
      <c r="J15" s="63"/>
      <c r="K15" s="66"/>
      <c r="L15" s="40">
        <v>16176.0</v>
      </c>
      <c r="M15" s="62">
        <v>388.0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27.75" customHeight="1">
      <c r="A16" s="36" t="s">
        <v>53</v>
      </c>
      <c r="B16" s="40">
        <v>15679.0</v>
      </c>
      <c r="C16" s="42">
        <f t="shared" si="1"/>
        <v>2148</v>
      </c>
      <c r="D16" s="62">
        <v>277.0</v>
      </c>
      <c r="E16" s="44">
        <f t="shared" si="4"/>
        <v>63</v>
      </c>
      <c r="F16" s="54">
        <f t="shared" si="3"/>
        <v>0.01766694304</v>
      </c>
      <c r="G16" s="74">
        <v>847.0</v>
      </c>
      <c r="H16" s="74">
        <v>243.0</v>
      </c>
      <c r="I16" s="55" t="str">
        <f>HYPERLINK("https://covid19.saglik.gov.tr/","Source")</f>
        <v>Source</v>
      </c>
      <c r="J16" s="63"/>
      <c r="K16" s="69" t="s">
        <v>34</v>
      </c>
      <c r="L16" s="40">
        <v>13531.0</v>
      </c>
      <c r="M16" s="62">
        <v>214.0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30.0" customHeight="1">
      <c r="A17" s="36" t="s">
        <v>55</v>
      </c>
      <c r="B17" s="40">
        <v>13964.0</v>
      </c>
      <c r="C17" s="42">
        <f t="shared" si="1"/>
        <v>1189</v>
      </c>
      <c r="D17" s="62">
        <v>828.0</v>
      </c>
      <c r="E17" s="44">
        <f t="shared" si="4"/>
        <v>123</v>
      </c>
      <c r="F17" s="39">
        <f t="shared" si="3"/>
        <v>0.05929533085</v>
      </c>
      <c r="G17" s="49">
        <v>1088.0</v>
      </c>
      <c r="H17" s="49">
        <v>2132.0</v>
      </c>
      <c r="I17" s="55" t="str">
        <f>HYPERLINK("https://www.youtube.com/watch?v=1MTIPY3eWQA&amp;feature=youtu.be","Source")</f>
        <v>Source</v>
      </c>
      <c r="J17" s="72"/>
      <c r="K17" s="69" t="s">
        <v>34</v>
      </c>
      <c r="L17" s="40">
        <v>12775.0</v>
      </c>
      <c r="M17" s="62">
        <v>705.0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30.0" customHeight="1">
      <c r="A18" s="36" t="s">
        <v>57</v>
      </c>
      <c r="B18" s="40">
        <v>13614.0</v>
      </c>
      <c r="C18" s="42">
        <f t="shared" si="1"/>
        <v>1019</v>
      </c>
      <c r="D18" s="67">
        <v>1173.0</v>
      </c>
      <c r="E18" s="44">
        <f t="shared" si="4"/>
        <v>134</v>
      </c>
      <c r="F18" s="39">
        <f t="shared" si="3"/>
        <v>0.08616130454</v>
      </c>
      <c r="G18" s="49">
        <v>1111.0</v>
      </c>
      <c r="H18" s="74">
        <v>32.0</v>
      </c>
      <c r="I18" s="55" t="str">
        <f>HYPERLINK("https://www.rivm.nl/nieuws/actuele-informatie-over-coronavirus","Source")</f>
        <v>Source</v>
      </c>
      <c r="J18" s="63"/>
      <c r="K18" s="69" t="s">
        <v>34</v>
      </c>
      <c r="L18" s="40">
        <v>12595.0</v>
      </c>
      <c r="M18" s="67">
        <v>1039.0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30.0" customHeight="1">
      <c r="A19" s="36" t="s">
        <v>59</v>
      </c>
      <c r="B19" s="40">
        <v>10366.0</v>
      </c>
      <c r="C19" s="42">
        <f t="shared" si="1"/>
        <v>446</v>
      </c>
      <c r="D19" s="62">
        <v>128.0</v>
      </c>
      <c r="E19" s="44">
        <f t="shared" si="4"/>
        <v>0</v>
      </c>
      <c r="F19" s="54">
        <f t="shared" si="3"/>
        <v>0.01234806097</v>
      </c>
      <c r="G19" s="74">
        <v>215.0</v>
      </c>
      <c r="H19" s="49">
        <v>1095.0</v>
      </c>
      <c r="I19" s="55" t="str">
        <f>HYPERLINK("https://info.gesundheitsministerium.at/","Source")</f>
        <v>Source</v>
      </c>
      <c r="J19" s="72"/>
      <c r="K19" s="69" t="s">
        <v>61</v>
      </c>
      <c r="L19" s="40">
        <v>9920.0</v>
      </c>
      <c r="M19" s="62">
        <v>128.0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30.0" customHeight="1">
      <c r="A20" s="36" t="s">
        <v>62</v>
      </c>
      <c r="B20" s="40">
        <v>9887.0</v>
      </c>
      <c r="C20" s="42">
        <f t="shared" si="1"/>
        <v>101</v>
      </c>
      <c r="D20" s="62">
        <v>165.0</v>
      </c>
      <c r="E20" s="44">
        <f t="shared" si="4"/>
        <v>3</v>
      </c>
      <c r="F20" s="54">
        <f t="shared" si="3"/>
        <v>0.01668858096</v>
      </c>
      <c r="G20" s="74" t="s">
        <v>20</v>
      </c>
      <c r="H20" s="49">
        <v>5567.0</v>
      </c>
      <c r="I20" s="55" t="str">
        <f>HYPERLINK("http://ncov.mohw.go.kr/tcmBoardView.do?brdId=&amp;brdGubun=&amp;dataGubun=&amp;ncvContSeq=353842&amp;contSeq=353842&amp;board_id=&amp;gubun=ALL","Source")</f>
        <v>Source</v>
      </c>
      <c r="J20" s="72"/>
      <c r="K20" s="69" t="s">
        <v>34</v>
      </c>
      <c r="L20" s="40">
        <v>9786.0</v>
      </c>
      <c r="M20" s="62">
        <v>162.0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30.0" customHeight="1">
      <c r="A21" s="36" t="s">
        <v>64</v>
      </c>
      <c r="B21" s="40">
        <f>Canada!A3</f>
        <v>9731</v>
      </c>
      <c r="C21" s="42">
        <f t="shared" si="1"/>
        <v>1227</v>
      </c>
      <c r="D21" s="40">
        <f>Canada!B3</f>
        <v>111</v>
      </c>
      <c r="E21" s="44">
        <f t="shared" si="4"/>
        <v>15</v>
      </c>
      <c r="F21" s="39">
        <f t="shared" si="3"/>
        <v>0.01140684411</v>
      </c>
      <c r="G21" s="49">
        <f>Canada!G20</f>
        <v>65</v>
      </c>
      <c r="H21" s="49">
        <f>Canada!C3</f>
        <v>1540</v>
      </c>
      <c r="I21" s="55" t="str">
        <f>HYPERLINK("https://bnonews.com/index.php/2019/12/tracking-coronavirus-canada-data/","Source")</f>
        <v>Source</v>
      </c>
      <c r="J21" s="30"/>
      <c r="K21" s="66"/>
      <c r="L21" s="62">
        <v>8504.0</v>
      </c>
      <c r="M21" s="62">
        <v>96.0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30.0" customHeight="1">
      <c r="A22" s="36" t="s">
        <v>67</v>
      </c>
      <c r="B22" s="40">
        <v>8251.0</v>
      </c>
      <c r="C22" s="42">
        <f t="shared" si="1"/>
        <v>808</v>
      </c>
      <c r="D22" s="62">
        <v>187.0</v>
      </c>
      <c r="E22" s="44">
        <f t="shared" si="4"/>
        <v>27</v>
      </c>
      <c r="F22" s="54">
        <f t="shared" si="3"/>
        <v>0.02266391952</v>
      </c>
      <c r="G22" s="74">
        <v>230.0</v>
      </c>
      <c r="H22" s="74">
        <v>43.0</v>
      </c>
      <c r="I22" s="55" t="str">
        <f>HYPERLINK("https://covid19.min-saude.pt/ponto-de-situacao-atual-em-portugal/","Source")</f>
        <v>Source</v>
      </c>
      <c r="J22" s="63"/>
      <c r="K22" s="69" t="s">
        <v>34</v>
      </c>
      <c r="L22" s="40">
        <v>7443.0</v>
      </c>
      <c r="M22" s="62">
        <v>160.0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30.0" customHeight="1">
      <c r="A23" s="36" t="s">
        <v>71</v>
      </c>
      <c r="B23" s="40">
        <v>6836.0</v>
      </c>
      <c r="C23" s="42">
        <f t="shared" si="1"/>
        <v>1119</v>
      </c>
      <c r="D23" s="62">
        <v>241.0</v>
      </c>
      <c r="E23" s="44">
        <f t="shared" si="4"/>
        <v>40</v>
      </c>
      <c r="F23" s="39">
        <f t="shared" si="3"/>
        <v>0.03525453482</v>
      </c>
      <c r="G23" s="74">
        <v>148.0</v>
      </c>
      <c r="H23" s="74">
        <v>1.0</v>
      </c>
      <c r="I23" s="55" t="str">
        <f>HYPERLINK("https://g1.globo.com/bemestar/coronavirus/noticia/2020/04/01/brasil-tem-240-mortes-e-6836-casos-confirmados-de-coronavirus-diz-ministerio.ghtml","Source")</f>
        <v>Source</v>
      </c>
      <c r="J23" s="63"/>
      <c r="K23" s="66"/>
      <c r="L23" s="40">
        <v>5717.0</v>
      </c>
      <c r="M23" s="62">
        <v>201.0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30.0" customHeight="1">
      <c r="A24" s="36" t="s">
        <v>75</v>
      </c>
      <c r="B24" s="40">
        <v>5591.0</v>
      </c>
      <c r="C24" s="42">
        <f t="shared" si="1"/>
        <v>206</v>
      </c>
      <c r="D24" s="62">
        <v>21.0</v>
      </c>
      <c r="E24" s="44">
        <f t="shared" si="4"/>
        <v>1</v>
      </c>
      <c r="F24" s="39">
        <f t="shared" si="3"/>
        <v>0.003756036487</v>
      </c>
      <c r="G24" s="74">
        <v>97.0</v>
      </c>
      <c r="H24" s="74">
        <v>224.0</v>
      </c>
      <c r="I24" s="55" t="str">
        <f>HYPERLINK("https://www.jpost.com//Breaking-News/17th-death-from-coronavirus-in-Israel-58-year-old-623013","Source")</f>
        <v>Source</v>
      </c>
      <c r="J24" s="72"/>
      <c r="K24" s="66"/>
      <c r="L24" s="40">
        <v>5385.0</v>
      </c>
      <c r="M24" s="62">
        <v>20.0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30.0" customHeight="1">
      <c r="A25" s="36" t="s">
        <v>78</v>
      </c>
      <c r="B25" s="40">
        <v>4947.0</v>
      </c>
      <c r="C25" s="42">
        <f t="shared" si="1"/>
        <v>919</v>
      </c>
      <c r="D25" s="62">
        <v>239.0</v>
      </c>
      <c r="E25" s="44">
        <f t="shared" si="4"/>
        <v>93</v>
      </c>
      <c r="F25" s="54">
        <f t="shared" si="3"/>
        <v>0.04831210835</v>
      </c>
      <c r="G25" s="74">
        <v>393.0</v>
      </c>
      <c r="H25" s="74" t="s">
        <v>20</v>
      </c>
      <c r="I25" s="55" t="str">
        <f>HYPERLINK("https://experience.arcgis.com/experience/09f821667ce64bf7be6f9f87457ed9aa","Source")</f>
        <v>Source</v>
      </c>
      <c r="J25" s="63"/>
      <c r="K25" s="66"/>
      <c r="L25" s="40">
        <v>4028.0</v>
      </c>
      <c r="M25" s="62">
        <v>146.0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30.0" customHeight="1">
      <c r="A26" s="36" t="s">
        <v>82</v>
      </c>
      <c r="B26" s="40">
        <v>4838.0</v>
      </c>
      <c r="C26" s="42">
        <f t="shared" si="1"/>
        <v>245</v>
      </c>
      <c r="D26" s="62">
        <v>43.0</v>
      </c>
      <c r="E26" s="44">
        <f t="shared" si="4"/>
        <v>8</v>
      </c>
      <c r="F26" s="39">
        <f t="shared" si="3"/>
        <v>0.008887970236</v>
      </c>
      <c r="G26" s="74">
        <v>105.0</v>
      </c>
      <c r="H26" s="74" t="s">
        <v>20</v>
      </c>
      <c r="I26" s="55" t="str">
        <f>HYPERLINK("https://www.vg.no/spesial/2020/corona/","Source")</f>
        <v>Source</v>
      </c>
      <c r="J26" s="63"/>
      <c r="K26" s="66"/>
      <c r="L26" s="40">
        <v>4593.0</v>
      </c>
      <c r="M26" s="62">
        <v>35.0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30.0" customHeight="1">
      <c r="A27" s="36" t="s">
        <v>85</v>
      </c>
      <c r="B27" s="40">
        <f>Australia!A3</f>
        <v>4862</v>
      </c>
      <c r="C27" s="42">
        <f t="shared" si="1"/>
        <v>303</v>
      </c>
      <c r="D27" s="40">
        <f>Australia!B3</f>
        <v>20</v>
      </c>
      <c r="E27" s="44">
        <f t="shared" si="4"/>
        <v>2</v>
      </c>
      <c r="F27" s="54">
        <f t="shared" si="3"/>
        <v>0.004113533525</v>
      </c>
      <c r="G27" s="49">
        <f>Australia!G17</f>
        <v>77</v>
      </c>
      <c r="H27" s="49">
        <f>Australia!C3</f>
        <v>422</v>
      </c>
      <c r="I27" s="55" t="str">
        <f>HYPERLINK("https://bnonews.com/index.php/2019/12/tracking-coronavirus-australia-data/","Source")</f>
        <v>Source</v>
      </c>
      <c r="J27" s="30"/>
      <c r="K27" s="31"/>
      <c r="L27" s="62">
        <v>4559.0</v>
      </c>
      <c r="M27" s="62">
        <v>18.0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30.0" customHeight="1">
      <c r="A28" s="36" t="s">
        <v>90</v>
      </c>
      <c r="B28" s="40">
        <v>3589.0</v>
      </c>
      <c r="C28" s="42">
        <f t="shared" si="1"/>
        <v>587</v>
      </c>
      <c r="D28" s="62">
        <v>39.0</v>
      </c>
      <c r="E28" s="44">
        <f t="shared" si="4"/>
        <v>15</v>
      </c>
      <c r="F28" s="54">
        <f t="shared" si="3"/>
        <v>0.01086653664</v>
      </c>
      <c r="G28" s="74">
        <v>2.0</v>
      </c>
      <c r="H28" s="74">
        <v>61.0</v>
      </c>
      <c r="I28" s="55" t="str">
        <f>HYPERLINK("https://onemocneni-aktualne.mzcr.cz/covid-19","Source")</f>
        <v>Source</v>
      </c>
      <c r="J28" s="63"/>
      <c r="K28" s="68" t="s">
        <v>93</v>
      </c>
      <c r="L28" s="40">
        <v>3002.0</v>
      </c>
      <c r="M28" s="62">
        <v>24.0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30.0" customHeight="1">
      <c r="A29" s="36" t="s">
        <v>95</v>
      </c>
      <c r="B29" s="40">
        <v>3447.0</v>
      </c>
      <c r="C29" s="42">
        <f t="shared" si="1"/>
        <v>212</v>
      </c>
      <c r="D29" s="62">
        <v>85.0</v>
      </c>
      <c r="E29" s="44">
        <f t="shared" si="4"/>
        <v>14</v>
      </c>
      <c r="F29" s="39">
        <f t="shared" si="3"/>
        <v>0.02465912388</v>
      </c>
      <c r="G29" s="74">
        <v>25.0</v>
      </c>
      <c r="H29" s="74" t="s">
        <v>20</v>
      </c>
      <c r="I29" s="55" t="str">
        <f>HYPERLINK("https://www.gov.ie/en/news/7e0924-latest-updates-on-covid-19-coronavirus/","Source")</f>
        <v>Source</v>
      </c>
      <c r="J29" s="91"/>
      <c r="K29" s="31"/>
      <c r="L29" s="40">
        <v>3235.0</v>
      </c>
      <c r="M29" s="62">
        <v>71.0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30.0" customHeight="1">
      <c r="A30" s="36" t="s">
        <v>99</v>
      </c>
      <c r="B30" s="40">
        <v>3031.0</v>
      </c>
      <c r="C30" s="42">
        <f t="shared" si="1"/>
        <v>293</v>
      </c>
      <c r="D30" s="62">
        <v>16.0</v>
      </c>
      <c r="E30" s="44">
        <f t="shared" si="4"/>
        <v>4</v>
      </c>
      <c r="F30" s="54">
        <f t="shared" si="3"/>
        <v>0.005278785879</v>
      </c>
      <c r="G30" s="74">
        <v>142.0</v>
      </c>
      <c r="H30" s="74">
        <v>234.0</v>
      </c>
      <c r="I30" s="55" t="str">
        <f>HYPERLINK("https://www.minsal.cl/nuevo-coronavirus-2019-ncov/casos-confirmados-en-chile-covid-19/","Source")</f>
        <v>Source</v>
      </c>
      <c r="J30" s="63"/>
      <c r="K30" s="68" t="s">
        <v>34</v>
      </c>
      <c r="L30" s="40">
        <v>2738.0</v>
      </c>
      <c r="M30" s="62">
        <v>12.0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30.0" customHeight="1">
      <c r="A31" s="36" t="s">
        <v>103</v>
      </c>
      <c r="B31" s="40">
        <v>3092.0</v>
      </c>
      <c r="C31" s="42">
        <f t="shared" si="1"/>
        <v>108</v>
      </c>
      <c r="D31" s="62">
        <v>104.0</v>
      </c>
      <c r="E31" s="44">
        <f t="shared" si="4"/>
        <v>14</v>
      </c>
      <c r="F31" s="39">
        <f t="shared" si="3"/>
        <v>0.03363518758</v>
      </c>
      <c r="G31" s="74">
        <v>146.0</v>
      </c>
      <c r="H31" s="74">
        <v>3.0</v>
      </c>
      <c r="I31" s="55" t="str">
        <f>HYPERLINK("https://www.sst.dk/da/corona/tal-og-overvaagning","Source")</f>
        <v>Source</v>
      </c>
      <c r="J31" s="63"/>
      <c r="K31" s="31"/>
      <c r="L31" s="40">
        <v>2984.0</v>
      </c>
      <c r="M31" s="62">
        <v>90.0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30.0" customHeight="1">
      <c r="A32" s="36" t="s">
        <v>107</v>
      </c>
      <c r="B32" s="40">
        <v>2908.0</v>
      </c>
      <c r="C32" s="42">
        <f t="shared" si="1"/>
        <v>142</v>
      </c>
      <c r="D32" s="62">
        <v>45.0</v>
      </c>
      <c r="E32" s="44">
        <f t="shared" si="4"/>
        <v>2</v>
      </c>
      <c r="F32" s="54">
        <f t="shared" si="3"/>
        <v>0.01547455296</v>
      </c>
      <c r="G32" s="74">
        <v>94.0</v>
      </c>
      <c r="H32" s="74">
        <v>645.0</v>
      </c>
      <c r="I32" s="55" t="str">
        <f>HYPERLINK("https://twitter.com/KKMPutrajaya/status/1245279224367214593","Source")</f>
        <v>Source</v>
      </c>
      <c r="J32" s="72"/>
      <c r="K32" s="68" t="s">
        <v>34</v>
      </c>
      <c r="L32" s="40">
        <v>2766.0</v>
      </c>
      <c r="M32" s="62">
        <v>43.0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30.0" customHeight="1">
      <c r="A33" s="36" t="s">
        <v>110</v>
      </c>
      <c r="B33" s="40">
        <v>2777.0</v>
      </c>
      <c r="C33" s="42">
        <f t="shared" si="1"/>
        <v>440</v>
      </c>
      <c r="D33" s="62">
        <v>24.0</v>
      </c>
      <c r="E33" s="44">
        <f t="shared" si="4"/>
        <v>7</v>
      </c>
      <c r="F33" s="39">
        <f t="shared" si="3"/>
        <v>0.008642419878</v>
      </c>
      <c r="G33" s="74" t="s">
        <v>20</v>
      </c>
      <c r="H33" s="74">
        <v>190.0</v>
      </c>
      <c r="I33" s="55" t="str">
        <f>HYPERLINK("https://www.interfax.ru/russia/701904","Source")</f>
        <v>Source</v>
      </c>
      <c r="J33" s="72"/>
      <c r="K33" s="68" t="s">
        <v>34</v>
      </c>
      <c r="L33" s="40">
        <v>2337.0</v>
      </c>
      <c r="M33" s="62">
        <v>17.0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30.0" customHeight="1">
      <c r="A34" s="36" t="s">
        <v>113</v>
      </c>
      <c r="B34" s="40">
        <v>2758.0</v>
      </c>
      <c r="C34" s="42">
        <f t="shared" si="1"/>
        <v>518</v>
      </c>
      <c r="D34" s="62">
        <v>98.0</v>
      </c>
      <c r="E34" s="44">
        <f t="shared" si="4"/>
        <v>23</v>
      </c>
      <c r="F34" s="39">
        <f t="shared" si="3"/>
        <v>0.03553299492</v>
      </c>
      <c r="G34" s="74">
        <v>100.0</v>
      </c>
      <c r="H34" s="74">
        <v>58.0</v>
      </c>
      <c r="I34" s="55" t="str">
        <f>HYPERLINK("https://www.salud.gob.ec/actualizacion-de-casos-de-coronavirus-en-ecuador/","Source")</f>
        <v>Source</v>
      </c>
      <c r="J34" s="63"/>
      <c r="K34" s="31"/>
      <c r="L34" s="40">
        <v>2240.0</v>
      </c>
      <c r="M34" s="62">
        <v>75.0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27.75" customHeight="1">
      <c r="A35" s="36" t="s">
        <v>116</v>
      </c>
      <c r="B35" s="40">
        <v>2554.0</v>
      </c>
      <c r="C35" s="42">
        <f t="shared" si="1"/>
        <v>243</v>
      </c>
      <c r="D35" s="62">
        <v>43.0</v>
      </c>
      <c r="E35" s="44">
        <f t="shared" si="4"/>
        <v>10</v>
      </c>
      <c r="F35" s="54">
        <f t="shared" si="3"/>
        <v>0.01683633516</v>
      </c>
      <c r="G35" s="74" t="s">
        <v>20</v>
      </c>
      <c r="H35" s="74" t="s">
        <v>20</v>
      </c>
      <c r="I35" s="55" t="str">
        <f>HYPERLINK("https://twitter.com/MZ_GOV_PL/status/1245329046302535680","Source")</f>
        <v>Source</v>
      </c>
      <c r="J35" s="63"/>
      <c r="K35" s="68" t="s">
        <v>118</v>
      </c>
      <c r="L35" s="40">
        <v>2311.0</v>
      </c>
      <c r="M35" s="62">
        <v>33.0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30.0" customHeight="1">
      <c r="A36" s="36" t="s">
        <v>119</v>
      </c>
      <c r="B36" s="40">
        <v>2495.0</v>
      </c>
      <c r="C36" s="42">
        <f t="shared" si="1"/>
        <v>302</v>
      </c>
      <c r="D36" s="62">
        <v>69.0</v>
      </c>
      <c r="E36" s="44">
        <f t="shared" si="4"/>
        <v>10</v>
      </c>
      <c r="F36" s="54">
        <f t="shared" si="3"/>
        <v>0.02765531062</v>
      </c>
      <c r="G36" s="74">
        <v>60.0</v>
      </c>
      <c r="H36" s="74">
        <v>472.0</v>
      </c>
      <c r="I36" s="55" t="str">
        <f>HYPERLINK("https://www3.nhk.or.jp/news/html/20200401/k10012361701000.html?utm_int=all_contents_just-in_001","Source")</f>
        <v>Source</v>
      </c>
      <c r="J36" s="93"/>
      <c r="K36" s="31"/>
      <c r="L36" s="40">
        <v>2193.0</v>
      </c>
      <c r="M36" s="62">
        <v>59.0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30.0" customHeight="1">
      <c r="A37" s="36" t="s">
        <v>122</v>
      </c>
      <c r="B37" s="40">
        <v>2319.0</v>
      </c>
      <c r="C37" s="42">
        <f t="shared" si="1"/>
        <v>141</v>
      </c>
      <c r="D37" s="62">
        <v>29.0</v>
      </c>
      <c r="E37" s="44">
        <f t="shared" si="4"/>
        <v>6</v>
      </c>
      <c r="F37" s="39">
        <f t="shared" si="3"/>
        <v>0.01250539025</v>
      </c>
      <c r="G37" s="74" t="s">
        <v>20</v>
      </c>
      <c r="H37" s="74" t="s">
        <v>20</v>
      </c>
      <c r="I37" s="94" t="str">
        <f>HYPERLINK("https://gouvernement.lu/fr/dossiers.gouv_msan+fr+dossiers+2020+corona-virus.html","Source")</f>
        <v>Source</v>
      </c>
      <c r="J37" s="63"/>
      <c r="K37" s="68" t="s">
        <v>34</v>
      </c>
      <c r="L37" s="40">
        <v>2178.0</v>
      </c>
      <c r="M37" s="62">
        <v>23.0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30.0" customHeight="1">
      <c r="A38" s="36" t="s">
        <v>124</v>
      </c>
      <c r="B38" s="40">
        <v>2311.0</v>
      </c>
      <c r="C38" s="42">
        <f t="shared" si="1"/>
        <v>227</v>
      </c>
      <c r="D38" s="62">
        <v>96.0</v>
      </c>
      <c r="E38" s="44">
        <f t="shared" si="4"/>
        <v>8</v>
      </c>
      <c r="F38" s="39">
        <f t="shared" si="3"/>
        <v>0.04154045868</v>
      </c>
      <c r="G38" s="74">
        <v>1.0</v>
      </c>
      <c r="H38" s="74">
        <v>50.0</v>
      </c>
      <c r="I38" s="94" t="str">
        <f>HYPERLINK("https://www.doh.gov.ph/2019-nCoV","Source")</f>
        <v>Source</v>
      </c>
      <c r="J38" s="72"/>
      <c r="K38" s="31"/>
      <c r="L38" s="40">
        <v>2084.0</v>
      </c>
      <c r="M38" s="62">
        <v>88.0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30.0" customHeight="1">
      <c r="A39" s="36" t="s">
        <v>127</v>
      </c>
      <c r="B39" s="40">
        <v>2460.0</v>
      </c>
      <c r="C39" s="42">
        <f t="shared" si="1"/>
        <v>215</v>
      </c>
      <c r="D39" s="62">
        <v>92.0</v>
      </c>
      <c r="E39" s="44">
        <f t="shared" si="4"/>
        <v>10</v>
      </c>
      <c r="F39" s="39">
        <f t="shared" si="3"/>
        <v>0.03739837398</v>
      </c>
      <c r="G39" s="74">
        <v>36.0</v>
      </c>
      <c r="H39" s="74">
        <v>252.0</v>
      </c>
      <c r="I39" s="55" t="str">
        <f>HYPERLINK("https://www.antena3.ro/coronavirus/215-cazuri-pozitive-noi-de-coronavirus-in-romania-bilantul-persoanelor-infectate-ajunge-la-2-460-565152.html","Source")</f>
        <v>Source</v>
      </c>
      <c r="J39" s="72"/>
      <c r="K39" s="68" t="s">
        <v>129</v>
      </c>
      <c r="L39" s="40">
        <v>2245.0</v>
      </c>
      <c r="M39" s="62">
        <v>82.0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30.0" customHeight="1">
      <c r="A40" s="36" t="s">
        <v>131</v>
      </c>
      <c r="B40" s="40">
        <v>2118.0</v>
      </c>
      <c r="C40" s="42">
        <f t="shared" si="1"/>
        <v>242</v>
      </c>
      <c r="D40" s="62">
        <v>28.0</v>
      </c>
      <c r="E40" s="44">
        <f t="shared" si="4"/>
        <v>3</v>
      </c>
      <c r="F40" s="39">
        <f t="shared" si="3"/>
        <v>0.01322001889</v>
      </c>
      <c r="G40" s="74">
        <v>11.0</v>
      </c>
      <c r="H40" s="74">
        <v>85.0</v>
      </c>
      <c r="I40" s="55" t="str">
        <f>HYPERLINK("https://www.dawn.com/live-blog/","Source")</f>
        <v>Source</v>
      </c>
      <c r="J40" s="72"/>
      <c r="K40" s="68" t="s">
        <v>134</v>
      </c>
      <c r="L40" s="40">
        <v>1876.0</v>
      </c>
      <c r="M40" s="62">
        <v>25.0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30.0" customHeight="1">
      <c r="A41" s="36" t="s">
        <v>135</v>
      </c>
      <c r="B41" s="40">
        <v>1834.0</v>
      </c>
      <c r="C41" s="42">
        <f t="shared" si="1"/>
        <v>583</v>
      </c>
      <c r="D41" s="62">
        <v>38.0</v>
      </c>
      <c r="E41" s="44">
        <f t="shared" si="4"/>
        <v>6</v>
      </c>
      <c r="F41" s="54">
        <f t="shared" si="3"/>
        <v>0.02071973828</v>
      </c>
      <c r="G41" s="74" t="s">
        <v>20</v>
      </c>
      <c r="H41" s="74">
        <v>144.0</v>
      </c>
      <c r="I41" s="55" t="str">
        <f>HYPERLINK("https://www.mohfw.gov.in/","Source")</f>
        <v>Source</v>
      </c>
      <c r="J41" s="63"/>
      <c r="K41" s="31"/>
      <c r="L41" s="40">
        <v>1251.0</v>
      </c>
      <c r="M41" s="62">
        <v>32.0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30.0" customHeight="1">
      <c r="A42" s="36" t="s">
        <v>139</v>
      </c>
      <c r="B42" s="40">
        <v>1771.0</v>
      </c>
      <c r="C42" s="42">
        <f t="shared" si="1"/>
        <v>120</v>
      </c>
      <c r="D42" s="62">
        <v>12.0</v>
      </c>
      <c r="E42" s="44">
        <f t="shared" si="4"/>
        <v>2</v>
      </c>
      <c r="F42" s="54">
        <f t="shared" si="3"/>
        <v>0.006775832863</v>
      </c>
      <c r="G42" s="74">
        <v>12.0</v>
      </c>
      <c r="H42" s="74">
        <v>342.0</v>
      </c>
      <c r="I42" s="55" t="str">
        <f>HYPERLINK("https://www.thaienquirer.com/10351/thailand-confirms-120-new-coronavirus-patients-two-new-fatalities/","Source")</f>
        <v>Source</v>
      </c>
      <c r="J42" s="72"/>
      <c r="K42" s="68" t="s">
        <v>34</v>
      </c>
      <c r="L42" s="40">
        <v>1651.0</v>
      </c>
      <c r="M42" s="62">
        <v>10.0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30.0" customHeight="1">
      <c r="A43" s="36" t="s">
        <v>144</v>
      </c>
      <c r="B43" s="40">
        <v>1720.0</v>
      </c>
      <c r="C43" s="42">
        <f t="shared" si="1"/>
        <v>157</v>
      </c>
      <c r="D43" s="62">
        <v>16.0</v>
      </c>
      <c r="E43" s="44">
        <f t="shared" si="4"/>
        <v>6</v>
      </c>
      <c r="F43" s="39">
        <f t="shared" si="3"/>
        <v>0.009302325581</v>
      </c>
      <c r="G43" s="74" t="s">
        <v>20</v>
      </c>
      <c r="H43" s="74">
        <v>264.0</v>
      </c>
      <c r="I43" s="55" t="str">
        <f>HYPERLINK("https://twitter.com/SaudiMOH/status/1245330970649165824","Source")</f>
        <v>Source</v>
      </c>
      <c r="J43" s="63"/>
      <c r="K43" s="68" t="s">
        <v>34</v>
      </c>
      <c r="L43" s="40">
        <v>1563.0</v>
      </c>
      <c r="M43" s="62">
        <v>10.0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30.0" customHeight="1">
      <c r="A44" s="36" t="s">
        <v>148</v>
      </c>
      <c r="B44" s="40">
        <v>1677.0</v>
      </c>
      <c r="C44" s="42">
        <f t="shared" si="1"/>
        <v>149</v>
      </c>
      <c r="D44" s="62">
        <v>157.0</v>
      </c>
      <c r="E44" s="44">
        <f t="shared" si="4"/>
        <v>21</v>
      </c>
      <c r="F44" s="54">
        <f t="shared" si="3"/>
        <v>0.09361955874</v>
      </c>
      <c r="G44" s="74" t="s">
        <v>20</v>
      </c>
      <c r="H44" s="74">
        <v>103.0</v>
      </c>
      <c r="I44" s="55" t="str">
        <f>HYPERLINK("https://news.trust.org/item/20200401081528-du8or","Source")</f>
        <v>Source</v>
      </c>
      <c r="J44" s="72"/>
      <c r="K44" s="68" t="s">
        <v>34</v>
      </c>
      <c r="L44" s="40">
        <v>1528.0</v>
      </c>
      <c r="M44" s="62">
        <v>136.0</v>
      </c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30.0" customHeight="1">
      <c r="A45" s="36" t="s">
        <v>152</v>
      </c>
      <c r="B45" s="40">
        <v>1446.0</v>
      </c>
      <c r="C45" s="42">
        <f t="shared" si="1"/>
        <v>62</v>
      </c>
      <c r="D45" s="62">
        <v>17.0</v>
      </c>
      <c r="E45" s="44">
        <f t="shared" si="4"/>
        <v>4</v>
      </c>
      <c r="F45" s="39">
        <f t="shared" si="3"/>
        <v>0.01175656985</v>
      </c>
      <c r="G45" s="74">
        <v>62.0</v>
      </c>
      <c r="H45" s="74">
        <v>10.0</v>
      </c>
      <c r="I45" s="55" t="str">
        <f>HYPERLINK("https://thl.fi/fi/web/infektiotaudit-ja-rokotukset/ajankohtaista/ajankohtaista-koronaviruksesta-covid-19/tilannekatsaus-koronaviruksesta","Source")</f>
        <v>Source</v>
      </c>
      <c r="J45" s="63"/>
      <c r="K45" s="31"/>
      <c r="L45" s="40">
        <v>1384.0</v>
      </c>
      <c r="M45" s="62">
        <v>13.0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27.75" customHeight="1">
      <c r="A46" s="36" t="s">
        <v>155</v>
      </c>
      <c r="B46" s="40">
        <v>1380.0</v>
      </c>
      <c r="C46" s="42">
        <f t="shared" si="1"/>
        <v>27</v>
      </c>
      <c r="D46" s="62">
        <v>5.0</v>
      </c>
      <c r="E46" s="44">
        <f t="shared" si="4"/>
        <v>0</v>
      </c>
      <c r="F46" s="54">
        <f t="shared" si="3"/>
        <v>0.003623188406</v>
      </c>
      <c r="G46" s="74">
        <v>4.0</v>
      </c>
      <c r="H46" s="74">
        <v>31.0</v>
      </c>
      <c r="I46" s="55" t="str">
        <f>HYPERLINK("https://www.health24.com/Medical/Infectious-diseases/Coronavirus/coronavirus-in-sa-all-the-confirmed-cases-20200312","Source")</f>
        <v>Source</v>
      </c>
      <c r="J46" s="63"/>
      <c r="K46" s="31"/>
      <c r="L46" s="40">
        <v>1353.0</v>
      </c>
      <c r="M46" s="62">
        <v>5.0</v>
      </c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30.0" customHeight="1">
      <c r="A47" s="36" t="s">
        <v>158</v>
      </c>
      <c r="B47" s="40">
        <v>1323.0</v>
      </c>
      <c r="C47" s="42">
        <f t="shared" si="1"/>
        <v>258</v>
      </c>
      <c r="D47" s="62">
        <v>18.0</v>
      </c>
      <c r="E47" s="44">
        <f t="shared" si="4"/>
        <v>0</v>
      </c>
      <c r="F47" s="54">
        <f t="shared" si="3"/>
        <v>0.01360544218</v>
      </c>
      <c r="G47" s="74">
        <v>56.0</v>
      </c>
      <c r="H47" s="74">
        <v>447.0</v>
      </c>
      <c r="I47" s="94" t="str">
        <f>HYPERLINK("https://www.gob.pe/institucion/minsa/noticias/111718-minsa-casos-confirmados-por-coronavirus-covid-19-ascienden-a-1323-en-el-peru-comunicado-n-46","Source")</f>
        <v>Source</v>
      </c>
      <c r="J47" s="63"/>
      <c r="K47" s="31"/>
      <c r="L47" s="40">
        <v>1065.0</v>
      </c>
      <c r="M47" s="62">
        <v>18.0</v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30.0" customHeight="1">
      <c r="A48" s="36" t="s">
        <v>162</v>
      </c>
      <c r="B48" s="40">
        <v>1314.0</v>
      </c>
      <c r="C48" s="42">
        <f t="shared" si="1"/>
        <v>102</v>
      </c>
      <c r="D48" s="62">
        <v>49.0</v>
      </c>
      <c r="E48" s="44">
        <f t="shared" si="4"/>
        <v>6</v>
      </c>
      <c r="F48" s="54">
        <f t="shared" si="3"/>
        <v>0.03729071537</v>
      </c>
      <c r="G48" s="74">
        <v>85.0</v>
      </c>
      <c r="H48" s="74">
        <v>52.0</v>
      </c>
      <c r="I48" s="55" t="str">
        <f>HYPERLINK("https://www.moh.gov.gr/articles/ministry/grafeio-typoy/press-releases/6990-enhmerwsh-diapisteymenwn-syntaktwn-ygeias-apo-ton-yfypoyrgo-politikhs-prostasias-kai-diaxeirishs-krisewn-niko-xardalia-kai-ton-ekproswpo-toy-ypoyrgeioy-ygeias-gia-to-neo-koronoio-k"&amp;"athhghth-swthrh-tsiodra-31-3-2020","Source")</f>
        <v>Source</v>
      </c>
      <c r="J48" s="72"/>
      <c r="K48" s="68" t="s">
        <v>34</v>
      </c>
      <c r="L48" s="40">
        <v>1212.0</v>
      </c>
      <c r="M48" s="62">
        <v>43.0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30.0" customHeight="1">
      <c r="A49" s="36" t="s">
        <v>164</v>
      </c>
      <c r="B49" s="40">
        <v>1284.0</v>
      </c>
      <c r="C49" s="42">
        <f t="shared" si="1"/>
        <v>383</v>
      </c>
      <c r="D49" s="62">
        <v>57.0</v>
      </c>
      <c r="E49" s="44">
        <f t="shared" si="4"/>
        <v>15</v>
      </c>
      <c r="F49" s="54">
        <f t="shared" si="3"/>
        <v>0.04439252336</v>
      </c>
      <c r="G49" s="74" t="s">
        <v>20</v>
      </c>
      <c r="H49" s="74">
        <v>9.0</v>
      </c>
      <c r="I49" s="55" t="str">
        <f>HYPERLINK("https://twitter.com/SaludPublicaRD/status/1245356602686935040","Source")</f>
        <v>Source</v>
      </c>
      <c r="J49" s="110"/>
      <c r="K49" s="31"/>
      <c r="L49" s="62">
        <v>901.0</v>
      </c>
      <c r="M49" s="62">
        <v>42.0</v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30.0" customHeight="1">
      <c r="A50" s="36" t="s">
        <v>167</v>
      </c>
      <c r="B50" s="40">
        <v>1220.0</v>
      </c>
      <c r="C50" s="42">
        <f t="shared" si="1"/>
        <v>85</v>
      </c>
      <c r="D50" s="62">
        <v>2.0</v>
      </c>
      <c r="E50" s="44">
        <f t="shared" si="4"/>
        <v>0</v>
      </c>
      <c r="F50" s="39">
        <f t="shared" si="3"/>
        <v>0.001639344262</v>
      </c>
      <c r="G50" s="74">
        <v>11.0</v>
      </c>
      <c r="H50" s="74">
        <v>225.0</v>
      </c>
      <c r="I50" s="55" t="str">
        <f>HYPERLINK("https://www.covid.is/tolulegar-upplysingar","Source")</f>
        <v>Source</v>
      </c>
      <c r="J50" s="111"/>
      <c r="K50" s="31"/>
      <c r="L50" s="40">
        <v>1135.0</v>
      </c>
      <c r="M50" s="62">
        <v>2.0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30.0" customHeight="1">
      <c r="A51" s="36" t="s">
        <v>169</v>
      </c>
      <c r="B51" s="40">
        <v>1378.0</v>
      </c>
      <c r="C51" s="42">
        <f t="shared" si="1"/>
        <v>163</v>
      </c>
      <c r="D51" s="62">
        <v>37.0</v>
      </c>
      <c r="E51" s="44">
        <f t="shared" si="4"/>
        <v>8</v>
      </c>
      <c r="F51" s="39">
        <f t="shared" si="3"/>
        <v>0.02685050798</v>
      </c>
      <c r="G51" s="74">
        <v>17.0</v>
      </c>
      <c r="H51" s="74">
        <v>35.0</v>
      </c>
      <c r="I51" s="94" t="str">
        <f>HYPERLINK("https://twitter.com/elsolde_mexico/status/1245517972342329344","Source")</f>
        <v>Source</v>
      </c>
      <c r="J51" s="63"/>
      <c r="K51" s="68" t="s">
        <v>34</v>
      </c>
      <c r="L51" s="40">
        <v>1215.0</v>
      </c>
      <c r="M51" s="62">
        <v>29.0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27.75" customHeight="1">
      <c r="A52" s="36" t="s">
        <v>175</v>
      </c>
      <c r="B52" s="40">
        <v>1317.0</v>
      </c>
      <c r="C52" s="42">
        <f t="shared" si="1"/>
        <v>136</v>
      </c>
      <c r="D52" s="62">
        <v>32.0</v>
      </c>
      <c r="E52" s="44">
        <f t="shared" si="4"/>
        <v>2</v>
      </c>
      <c r="F52" s="54">
        <f t="shared" si="3"/>
        <v>0.02429764617</v>
      </c>
      <c r="G52" s="74" t="s">
        <v>20</v>
      </c>
      <c r="H52" s="74">
        <v>9.0</v>
      </c>
      <c r="I52" s="94" t="str">
        <f>HYPERLINK("https://geosocial.maps.arcgis.com/apps/opsdashboard/index.html#/2c6e932c690d467b85375af52b614472","Source")</f>
        <v>Source</v>
      </c>
      <c r="J52" s="72"/>
      <c r="K52" s="31"/>
      <c r="L52" s="40">
        <v>1181.0</v>
      </c>
      <c r="M52" s="62">
        <v>30.0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27.75" customHeight="1">
      <c r="A53" s="36" t="s">
        <v>184</v>
      </c>
      <c r="B53" s="40">
        <v>1065.0</v>
      </c>
      <c r="C53" s="42">
        <f t="shared" si="1"/>
        <v>159</v>
      </c>
      <c r="D53" s="62">
        <v>17.0</v>
      </c>
      <c r="E53" s="44">
        <f t="shared" si="4"/>
        <v>1</v>
      </c>
      <c r="F53" s="39">
        <f t="shared" si="3"/>
        <v>0.01596244131</v>
      </c>
      <c r="G53" s="74" t="s">
        <v>20</v>
      </c>
      <c r="H53" s="74">
        <v>39.0</v>
      </c>
      <c r="I53" s="94" t="str">
        <f>HYPERLINK("https://coronaviruscolombia.gov.co/Covid19/index.html","Source")</f>
        <v>Source</v>
      </c>
      <c r="J53" s="63"/>
      <c r="K53" s="31"/>
      <c r="L53" s="62">
        <v>906.0</v>
      </c>
      <c r="M53" s="62">
        <v>16.0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27.75" customHeight="1">
      <c r="A54" s="36" t="s">
        <v>195</v>
      </c>
      <c r="B54" s="40">
        <v>1060.0</v>
      </c>
      <c r="C54" s="42">
        <f t="shared" si="1"/>
        <v>160</v>
      </c>
      <c r="D54" s="62">
        <v>28.0</v>
      </c>
      <c r="E54" s="44">
        <f t="shared" si="4"/>
        <v>12</v>
      </c>
      <c r="F54" s="39">
        <f t="shared" si="3"/>
        <v>0.02641509434</v>
      </c>
      <c r="G54" s="74">
        <v>49.0</v>
      </c>
      <c r="H54" s="74" t="s">
        <v>20</v>
      </c>
      <c r="I54" s="55" t="str">
        <f>HYPERLINK("https://covid19.rs/%d1%81%d1%82%d0%b0%d1%82%d0%b8%d1%81%d1%82%d0%b8%d1%87%d0%ba%d0%b8-%d0%bf%d0%be%d0%b4%d0%b0%d1%86%d0%b8-%d0%be-%d0%ba%d0%be%d1%80%d0%be%d0%bd%d0%b0%d0%b2%d0%b8%d1%80%d1%83%d1%81%d1%83/","Source")</f>
        <v>Source</v>
      </c>
      <c r="J54" s="63"/>
      <c r="K54" s="31"/>
      <c r="L54" s="62">
        <v>900.0</v>
      </c>
      <c r="M54" s="62">
        <v>16.0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27.75" customHeight="1">
      <c r="A55" s="36" t="s">
        <v>186</v>
      </c>
      <c r="B55" s="40">
        <v>1054.0</v>
      </c>
      <c r="C55" s="42">
        <f t="shared" si="1"/>
        <v>88</v>
      </c>
      <c r="D55" s="62">
        <v>27.0</v>
      </c>
      <c r="E55" s="44">
        <f t="shared" si="4"/>
        <v>3</v>
      </c>
      <c r="F55" s="39">
        <f t="shared" si="3"/>
        <v>0.02561669829</v>
      </c>
      <c r="G55" s="74" t="s">
        <v>20</v>
      </c>
      <c r="H55" s="74">
        <v>63.0</v>
      </c>
      <c r="I55" s="94" t="str">
        <f>HYPERLINK("https://www.argentina.gob.ar/sites/default/files/30-03-20-reporte-vespertino-covid-19.pdf","Source")</f>
        <v>Source</v>
      </c>
      <c r="J55" s="72"/>
      <c r="K55" s="31"/>
      <c r="L55" s="62">
        <v>966.0</v>
      </c>
      <c r="M55" s="62">
        <v>24.0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30.0" customHeight="1">
      <c r="A56" s="36" t="s">
        <v>199</v>
      </c>
      <c r="B56" s="40">
        <v>1000.0</v>
      </c>
      <c r="C56" s="42">
        <f t="shared" si="1"/>
        <v>74</v>
      </c>
      <c r="D56" s="62">
        <v>4.0</v>
      </c>
      <c r="E56" s="44">
        <f t="shared" si="4"/>
        <v>1</v>
      </c>
      <c r="F56" s="39">
        <f t="shared" si="3"/>
        <v>0.004</v>
      </c>
      <c r="G56" s="74">
        <v>24.0</v>
      </c>
      <c r="H56" s="74">
        <v>245.0</v>
      </c>
      <c r="I56" s="55" t="str">
        <f>HYPERLINK("https://www.moh.gov.sg/news-highlights/details/passing-of-patient-with-covid-19-infection-2-april","Source")</f>
        <v>Source</v>
      </c>
      <c r="J56" s="63"/>
      <c r="K56" s="31"/>
      <c r="L56" s="62">
        <v>926.0</v>
      </c>
      <c r="M56" s="62">
        <v>3.0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30.0" customHeight="1">
      <c r="A57" s="36" t="s">
        <v>200</v>
      </c>
      <c r="B57" s="62">
        <v>963.0</v>
      </c>
      <c r="C57" s="42">
        <f t="shared" si="1"/>
        <v>96</v>
      </c>
      <c r="D57" s="62">
        <v>6.0</v>
      </c>
      <c r="E57" s="44">
        <f t="shared" si="4"/>
        <v>0</v>
      </c>
      <c r="F57" s="39">
        <f t="shared" si="3"/>
        <v>0.006230529595</v>
      </c>
      <c r="G57" s="74">
        <v>34.0</v>
      </c>
      <c r="H57" s="74">
        <v>73.0</v>
      </c>
      <c r="I57" s="55" t="str">
        <f>HYPERLINK("https://www.koronavirus.hr/najnovije/ukupno-dosad-963-osobe-zarazene-koronavirusom/35","Source")</f>
        <v>Source</v>
      </c>
      <c r="J57" s="93"/>
      <c r="K57" s="31"/>
      <c r="L57" s="62">
        <v>867.0</v>
      </c>
      <c r="M57" s="62">
        <v>6.0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30.0" customHeight="1">
      <c r="A58" s="36" t="s">
        <v>201</v>
      </c>
      <c r="B58" s="62">
        <v>847.0</v>
      </c>
      <c r="C58" s="42">
        <f t="shared" si="1"/>
        <v>131</v>
      </c>
      <c r="D58" s="62">
        <v>58.0</v>
      </c>
      <c r="E58" s="44">
        <f t="shared" si="4"/>
        <v>14</v>
      </c>
      <c r="F58" s="39">
        <f t="shared" si="3"/>
        <v>0.06847697757</v>
      </c>
      <c r="G58" s="74" t="s">
        <v>20</v>
      </c>
      <c r="H58" s="74">
        <v>77.0</v>
      </c>
      <c r="I58" s="55" t="str">
        <f>HYPERLINK("http://www.aps.dz/sante-science-technologie/103613-coronavirus-131-nouveaux-cas-confirmes-et-14-nouveaux-deces-enregistres-en-algerie","Source")</f>
        <v>Source</v>
      </c>
      <c r="J58" s="63"/>
      <c r="K58" s="31"/>
      <c r="L58" s="62">
        <v>716.0</v>
      </c>
      <c r="M58" s="62">
        <v>44.0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27.75" customHeight="1">
      <c r="A59" s="36" t="s">
        <v>203</v>
      </c>
      <c r="B59" s="62">
        <v>841.0</v>
      </c>
      <c r="C59" s="42">
        <f t="shared" si="1"/>
        <v>39</v>
      </c>
      <c r="D59" s="62">
        <v>15.0</v>
      </c>
      <c r="E59" s="44">
        <f t="shared" si="4"/>
        <v>0</v>
      </c>
      <c r="F59" s="54">
        <f t="shared" si="3"/>
        <v>0.01783590963</v>
      </c>
      <c r="G59" s="74">
        <v>31.0</v>
      </c>
      <c r="H59" s="74">
        <v>6.0</v>
      </c>
      <c r="I59" s="55" t="str">
        <f>HYPERLINK("https://www.rtvslo.si/zdravje/novi-koronavirus/do-polnoci-skupaj-841-potrjenih-okuzb-hospitaliziranih-je-119-bolnikov/519092","Source")</f>
        <v>Source</v>
      </c>
      <c r="J59" s="63"/>
      <c r="K59" s="31"/>
      <c r="L59" s="62">
        <v>802.0</v>
      </c>
      <c r="M59" s="62">
        <v>15.0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30.0" customHeight="1">
      <c r="A60" s="36" t="s">
        <v>204</v>
      </c>
      <c r="B60" s="62">
        <v>794.0</v>
      </c>
      <c r="C60" s="42">
        <f t="shared" si="1"/>
        <v>149</v>
      </c>
      <c r="D60" s="62">
        <v>20.0</v>
      </c>
      <c r="E60" s="44">
        <f t="shared" si="4"/>
        <v>3</v>
      </c>
      <c r="F60" s="54">
        <f t="shared" si="3"/>
        <v>0.02518891688</v>
      </c>
      <c r="G60" s="74" t="s">
        <v>20</v>
      </c>
      <c r="H60" s="74">
        <v>13.0</v>
      </c>
      <c r="I60" s="55" t="str">
        <f>HYPERLINK("https://t.me/s/COVID19_Ukraine","Source")</f>
        <v>Source</v>
      </c>
      <c r="J60" s="63"/>
      <c r="K60" s="68" t="s">
        <v>205</v>
      </c>
      <c r="L60" s="62">
        <v>645.0</v>
      </c>
      <c r="M60" s="62">
        <v>17.0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30.0" customHeight="1">
      <c r="A61" s="36" t="s">
        <v>206</v>
      </c>
      <c r="B61" s="62">
        <v>781.0</v>
      </c>
      <c r="C61" s="42">
        <f t="shared" si="1"/>
        <v>88</v>
      </c>
      <c r="D61" s="62">
        <v>2.0</v>
      </c>
      <c r="E61" s="44">
        <f t="shared" si="4"/>
        <v>1</v>
      </c>
      <c r="F61" s="39">
        <f t="shared" si="3"/>
        <v>0.002560819462</v>
      </c>
      <c r="G61" s="74" t="s">
        <v>20</v>
      </c>
      <c r="H61" s="74">
        <v>62.0</v>
      </c>
      <c r="I61" s="55" t="str">
        <f>HYPERLINK("https://twitter.com/MOPHQatar/status/1244661092875415557","Source")</f>
        <v>Source</v>
      </c>
      <c r="J61" s="63"/>
      <c r="K61" s="31"/>
      <c r="L61" s="62">
        <v>693.0</v>
      </c>
      <c r="M61" s="62">
        <v>1.0</v>
      </c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30.0" customHeight="1">
      <c r="A62" s="36" t="s">
        <v>207</v>
      </c>
      <c r="B62" s="62">
        <v>766.0</v>
      </c>
      <c r="C62" s="42">
        <f t="shared" si="1"/>
        <v>51</v>
      </c>
      <c r="D62" s="62">
        <v>4.0</v>
      </c>
      <c r="E62" s="44">
        <f t="shared" si="4"/>
        <v>0</v>
      </c>
      <c r="F62" s="54">
        <f t="shared" si="3"/>
        <v>0.005221932115</v>
      </c>
      <c r="G62" s="74" t="s">
        <v>20</v>
      </c>
      <c r="H62" s="74">
        <v>147.0</v>
      </c>
      <c r="I62" s="94" t="str">
        <f>HYPERLINK("https://chp-dashboard.geodata.gov.hk/covid-19/en.html","Source")</f>
        <v>Source</v>
      </c>
      <c r="J62" s="63"/>
      <c r="K62" s="68" t="s">
        <v>34</v>
      </c>
      <c r="L62" s="62">
        <v>715.0</v>
      </c>
      <c r="M62" s="62">
        <v>4.0</v>
      </c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30.0" customHeight="1">
      <c r="A63" s="36" t="s">
        <v>208</v>
      </c>
      <c r="B63" s="62">
        <v>779.0</v>
      </c>
      <c r="C63" s="42">
        <f t="shared" si="1"/>
        <v>34</v>
      </c>
      <c r="D63" s="62">
        <v>5.0</v>
      </c>
      <c r="E63" s="44">
        <f t="shared" si="4"/>
        <v>1</v>
      </c>
      <c r="F63" s="39">
        <f t="shared" si="3"/>
        <v>0.006418485237</v>
      </c>
      <c r="G63" s="74">
        <v>15.0</v>
      </c>
      <c r="H63" s="74">
        <v>33.0</v>
      </c>
      <c r="I63" s="94" t="str">
        <f>HYPERLINK("https://www.terviseamet.ee/et/uuskoroonaviirus","Source")</f>
        <v>Source</v>
      </c>
      <c r="J63" s="63"/>
      <c r="K63" s="68" t="s">
        <v>34</v>
      </c>
      <c r="L63" s="62">
        <v>745.0</v>
      </c>
      <c r="M63" s="62">
        <v>4.0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30.0" customHeight="1">
      <c r="A64" s="36" t="s">
        <v>209</v>
      </c>
      <c r="B64" s="62">
        <v>712.0</v>
      </c>
      <c r="C64" s="42">
        <f t="shared" si="1"/>
        <v>0</v>
      </c>
      <c r="D64" s="62">
        <v>11.0</v>
      </c>
      <c r="E64" s="44">
        <f t="shared" si="4"/>
        <v>0</v>
      </c>
      <c r="F64" s="54">
        <f t="shared" si="3"/>
        <v>0.0154494382</v>
      </c>
      <c r="G64" s="74">
        <v>10.0</v>
      </c>
      <c r="H64" s="74">
        <v>619.0</v>
      </c>
      <c r="I64" s="55" t="str">
        <f>HYPERLINK("https://www3.nhk.or.jp/news/html/20200401/k10012361701000.html?utm_int=word_contents_list-items_032&amp;word_result=%E6%96%B0%E5%9E%8B%E3%82%B3%E3%83%AD%E3%83%8A%E3%82%A6%E3%82%A4%E3%83%AB%E3%82%B9","Source")</f>
        <v>Source</v>
      </c>
      <c r="J64" s="72"/>
      <c r="K64" s="31"/>
      <c r="L64" s="62">
        <v>712.0</v>
      </c>
      <c r="M64" s="62">
        <v>11.0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30.0" customHeight="1">
      <c r="A65" s="36" t="s">
        <v>210</v>
      </c>
      <c r="B65" s="62">
        <v>710.0</v>
      </c>
      <c r="C65" s="42">
        <f t="shared" si="1"/>
        <v>54</v>
      </c>
      <c r="D65" s="62">
        <v>46.0</v>
      </c>
      <c r="E65" s="44">
        <f t="shared" si="4"/>
        <v>5</v>
      </c>
      <c r="F65" s="54">
        <f t="shared" si="3"/>
        <v>0.06478873239</v>
      </c>
      <c r="G65" s="74" t="s">
        <v>20</v>
      </c>
      <c r="H65" s="74">
        <v>157.0</v>
      </c>
      <c r="I65" s="94" t="str">
        <f>HYPERLINK("https://www.facebook.com/EgyMohpSpokes/?__xts__[0]=68.ARDPFtZBGPownVXjzEOuj6gMyJVOhdpX_LK4p9ajg98NDHe5CpPHRDf8C0u1Xa4Yt2wDuQ7wktdjNxCJZcXtT1vd3G1EWQrOh8tnS_f-IvnNWM9x5bZgHeSHNgylcoX7vbQuog2-IRAIFHG_h_VxhVxvAh0Uyqv7oFO0IJe6T9-ek4pWo0fIQ6dImZ5sybUXDsyRfjdnA"&amp;"XdD4fDJKvipqsO4EO_8dzM0cb2tq0h3xWutz-ufTddI4_3FkN8yGoBBUeG4HAhvL8f5a86AGR_XKuYj_oDfTO8HnsqN01LhPf86UrRkbRCFFAdwKWBE42gM6gtsH4hmgsKkSR4hjgMrAznSBg&amp;__xts__[1]=68.ARCW8VTbT4J-sjAsG_Ea3BdLhmDXOtkg-awYUokWMaQ-qtFjc4L3uRcWGU-k3GLkSU-xRdBBbtaWVq59dXpmwIemP465LRz"&amp;"g2y28Ektf55Unzzu1KNO3ESNFzYvyK4xLtMQOqZF9y-MdUIP1l1JUJdX7PQRytDCSWp919e9t23N0saVhlnXsM60Lik0ubtU1nwQtLFmpjC2nEL3B6oNhwexxHKyqaZLn3s9y8yo4kpJl57ByEQ0HPAUy1hr0D4ItCx4scFQ2P0Wz77jkZ0nT299Hoy4ZLPh5kx6NIpnSnkQb8W-yffGzgopPeCkv8mYhvXCusZUSNjFoKzgDbS_GSuevOw&amp;__t"&amp;"n__=kC-R&amp;eid=ARARpRH1ekE9QxuJvo2OJnfBupkSOwSfa7oi9EShxBNWr4uIoUVMvXAmrbor0Pvf4U4vtDXgQ2mHg1vs&amp;hc_ref=ARQoyXP2T1V2mWW1tP274OvRiPto0pxFr8QuvPEkM7AscBIGZpIp2eAr22etuFcSSyU&amp;fref=nf","Source")</f>
        <v>Source</v>
      </c>
      <c r="J65" s="63"/>
      <c r="K65" s="31"/>
      <c r="L65" s="62">
        <v>656.0</v>
      </c>
      <c r="M65" s="62">
        <v>41.0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30.0" customHeight="1">
      <c r="A66" s="36" t="s">
        <v>211</v>
      </c>
      <c r="B66" s="62">
        <v>708.0</v>
      </c>
      <c r="C66" s="42">
        <f t="shared" si="1"/>
        <v>61</v>
      </c>
      <c r="D66" s="62">
        <v>1.0</v>
      </c>
      <c r="E66" s="44">
        <f t="shared" si="4"/>
        <v>0</v>
      </c>
      <c r="F66" s="39">
        <f t="shared" si="3"/>
        <v>0.001412429379</v>
      </c>
      <c r="G66" s="74">
        <v>2.0</v>
      </c>
      <c r="H66" s="74">
        <v>74.0</v>
      </c>
      <c r="I66" s="55" t="str">
        <f>HYPERLINK("https://www.health.govt.nz/news-media/media-releases/61-new-cases-covid-19","Source")</f>
        <v>Source</v>
      </c>
      <c r="J66" s="63"/>
      <c r="K66" s="31"/>
      <c r="L66" s="62">
        <v>647.0</v>
      </c>
      <c r="M66" s="62">
        <v>1.0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30.0" customHeight="1">
      <c r="A67" s="36" t="s">
        <v>212</v>
      </c>
      <c r="B67" s="62">
        <v>694.0</v>
      </c>
      <c r="C67" s="42">
        <f t="shared" si="1"/>
        <v>64</v>
      </c>
      <c r="D67" s="62">
        <v>50.0</v>
      </c>
      <c r="E67" s="44">
        <f t="shared" si="4"/>
        <v>4</v>
      </c>
      <c r="F67" s="54">
        <f t="shared" si="3"/>
        <v>0.07204610951</v>
      </c>
      <c r="G67" s="74" t="s">
        <v>20</v>
      </c>
      <c r="H67" s="74">
        <v>170.0</v>
      </c>
      <c r="I67" s="55" t="str">
        <f>HYPERLINK("https://www.facebook.com/MOH.GOV.IQ/photos/a.860171854037214/2840429512678095/?type=3&amp;theater","Source")</f>
        <v>Source</v>
      </c>
      <c r="J67" s="63"/>
      <c r="K67" s="68" t="s">
        <v>34</v>
      </c>
      <c r="L67" s="62">
        <v>630.0</v>
      </c>
      <c r="M67" s="62">
        <v>46.0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30.0" customHeight="1">
      <c r="A68" s="36" t="s">
        <v>213</v>
      </c>
      <c r="B68" s="62">
        <v>664.0</v>
      </c>
      <c r="C68" s="42">
        <f t="shared" si="1"/>
        <v>53</v>
      </c>
      <c r="D68" s="62">
        <v>6.0</v>
      </c>
      <c r="E68" s="44">
        <f t="shared" si="4"/>
        <v>3</v>
      </c>
      <c r="F68" s="54">
        <f t="shared" si="3"/>
        <v>0.009036144578</v>
      </c>
      <c r="G68" s="74">
        <v>0.0</v>
      </c>
      <c r="H68" s="74">
        <v>61.0</v>
      </c>
      <c r="I68" s="55" t="str">
        <f>HYPERLINK("https://twitter.com/mohapuae/status/1245013054762426369","Source")</f>
        <v>Source</v>
      </c>
      <c r="J68" s="63"/>
      <c r="K68" s="31"/>
      <c r="L68" s="62">
        <v>611.0</v>
      </c>
      <c r="M68" s="62">
        <v>3.0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30.0" customHeight="1">
      <c r="A69" s="36" t="s">
        <v>214</v>
      </c>
      <c r="B69" s="62">
        <v>654.0</v>
      </c>
      <c r="C69" s="42">
        <f t="shared" si="1"/>
        <v>37</v>
      </c>
      <c r="D69" s="62">
        <v>39.0</v>
      </c>
      <c r="E69" s="44">
        <f t="shared" si="4"/>
        <v>3</v>
      </c>
      <c r="F69" s="54">
        <f t="shared" si="3"/>
        <v>0.05963302752</v>
      </c>
      <c r="G69" s="74" t="s">
        <v>20</v>
      </c>
      <c r="H69" s="74">
        <v>29.0</v>
      </c>
      <c r="I69" s="55" t="str">
        <f>HYPERLINK("http://www.covidmaroc.ma/Pages/AccueilAR.aspx","Source")</f>
        <v>Source</v>
      </c>
      <c r="J69" s="63"/>
      <c r="K69" s="68" t="s">
        <v>215</v>
      </c>
      <c r="L69" s="62">
        <v>617.0</v>
      </c>
      <c r="M69" s="62">
        <v>36.0</v>
      </c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30.0" customHeight="1">
      <c r="A70" s="36" t="s">
        <v>216</v>
      </c>
      <c r="B70" s="62">
        <v>581.0</v>
      </c>
      <c r="C70" s="42">
        <f t="shared" si="1"/>
        <v>48</v>
      </c>
      <c r="D70" s="62">
        <v>8.0</v>
      </c>
      <c r="E70" s="44">
        <f t="shared" si="4"/>
        <v>1</v>
      </c>
      <c r="F70" s="39">
        <f t="shared" si="3"/>
        <v>0.01376936317</v>
      </c>
      <c r="G70" s="74" t="s">
        <v>20</v>
      </c>
      <c r="H70" s="74">
        <v>7.0</v>
      </c>
      <c r="I70" s="55" t="str">
        <f>HYPERLINK("http://sam.lrv.lt/koronavirusas","Source")</f>
        <v>Source</v>
      </c>
      <c r="J70" s="93"/>
      <c r="K70" s="31"/>
      <c r="L70" s="62">
        <v>533.0</v>
      </c>
      <c r="M70" s="62">
        <v>7.0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30.0" customHeight="1">
      <c r="A71" s="36" t="s">
        <v>217</v>
      </c>
      <c r="B71" s="62">
        <v>571.0</v>
      </c>
      <c r="C71" s="42">
        <f t="shared" si="1"/>
        <v>89</v>
      </c>
      <c r="D71" s="62">
        <v>3.0</v>
      </c>
      <c r="E71" s="44">
        <f t="shared" si="4"/>
        <v>0</v>
      </c>
      <c r="F71" s="54">
        <f t="shared" si="3"/>
        <v>0.005253940455</v>
      </c>
      <c r="G71" s="74">
        <v>0.0</v>
      </c>
      <c r="H71" s="74">
        <v>30.0</v>
      </c>
      <c r="I71" s="55" t="str">
        <f>HYPERLINK("https://www.panarmenian.net/eng/news/279738/","Source")</f>
        <v>Source</v>
      </c>
      <c r="J71" s="63"/>
      <c r="K71" s="31"/>
      <c r="L71" s="62">
        <v>482.0</v>
      </c>
      <c r="M71" s="62">
        <v>3.0</v>
      </c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30.0" customHeight="1">
      <c r="A72" s="36" t="s">
        <v>218</v>
      </c>
      <c r="B72" s="62">
        <v>569.0</v>
      </c>
      <c r="C72" s="42">
        <f t="shared" si="1"/>
        <v>2</v>
      </c>
      <c r="D72" s="62">
        <v>4.0</v>
      </c>
      <c r="E72" s="44">
        <f t="shared" si="4"/>
        <v>0</v>
      </c>
      <c r="F72" s="39">
        <f t="shared" si="3"/>
        <v>0.007029876977</v>
      </c>
      <c r="G72" s="74">
        <v>3.0</v>
      </c>
      <c r="H72" s="74">
        <v>337.0</v>
      </c>
      <c r="I72" s="55" t="str">
        <f>HYPERLINK("https://www.moh.gov.bh/COVID19","Source")</f>
        <v>Source</v>
      </c>
      <c r="J72" s="91"/>
      <c r="K72" s="31"/>
      <c r="L72" s="62">
        <v>567.0</v>
      </c>
      <c r="M72" s="62">
        <v>4.0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30.0" customHeight="1">
      <c r="A73" s="36" t="s">
        <v>219</v>
      </c>
      <c r="B73" s="62">
        <v>525.0</v>
      </c>
      <c r="C73" s="42">
        <f t="shared" si="1"/>
        <v>33</v>
      </c>
      <c r="D73" s="62">
        <v>20.0</v>
      </c>
      <c r="E73" s="44">
        <f t="shared" si="4"/>
        <v>4</v>
      </c>
      <c r="F73" s="39">
        <f t="shared" si="3"/>
        <v>0.0380952381</v>
      </c>
      <c r="G73" s="74">
        <v>23.0</v>
      </c>
      <c r="H73" s="74">
        <v>40.0</v>
      </c>
      <c r="I73" s="55" t="str">
        <f>HYPERLINK("https://koronavirus.gov.hu/cikkek/jelenleg-17-fo-van-lelegeztetogepen","Source")</f>
        <v>Source</v>
      </c>
      <c r="J73" s="63"/>
      <c r="K73" s="68" t="s">
        <v>34</v>
      </c>
      <c r="L73" s="62">
        <v>492.0</v>
      </c>
      <c r="M73" s="62">
        <v>16.0</v>
      </c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30.0" customHeight="1">
      <c r="A74" s="36" t="s">
        <v>220</v>
      </c>
      <c r="B74" s="62">
        <v>479.0</v>
      </c>
      <c r="C74" s="42">
        <f t="shared" si="1"/>
        <v>16</v>
      </c>
      <c r="D74" s="62">
        <v>12.0</v>
      </c>
      <c r="E74" s="44">
        <f t="shared" si="4"/>
        <v>0</v>
      </c>
      <c r="F74" s="54">
        <f t="shared" si="3"/>
        <v>0.02505219207</v>
      </c>
      <c r="G74" s="74">
        <v>2.0</v>
      </c>
      <c r="H74" s="74">
        <v>35.0</v>
      </c>
      <c r="I74" s="55" t="str">
        <f>HYPERLINK("https://maps.moph.gov.lb/portal/apps/opsdashboard/index.html?fbclid=IwAR16xBrtR1w9HaYhO1_aHHOR2zyN1W5p_vezLF_lV3jTqgjphMy95ttgEHw#/d19be998323548278e088076d46d24f8","Source")</f>
        <v>Source</v>
      </c>
      <c r="J74" s="63"/>
      <c r="K74" s="31"/>
      <c r="L74" s="62">
        <v>463.0</v>
      </c>
      <c r="M74" s="62">
        <v>12.0</v>
      </c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27.75" customHeight="1">
      <c r="A75" s="36" t="s">
        <v>221</v>
      </c>
      <c r="B75" s="62">
        <v>459.0</v>
      </c>
      <c r="C75" s="42">
        <f t="shared" si="1"/>
        <v>39</v>
      </c>
      <c r="D75" s="62">
        <v>13.0</v>
      </c>
      <c r="E75" s="44">
        <f t="shared" si="4"/>
        <v>0</v>
      </c>
      <c r="F75" s="39">
        <f t="shared" si="3"/>
        <v>0.02832244009</v>
      </c>
      <c r="G75" s="74" t="s">
        <v>20</v>
      </c>
      <c r="H75" s="74">
        <v>19.0</v>
      </c>
      <c r="I75" s="55" t="str">
        <f>HYPERLINK("https://www.klix.ba/vijesti/bih/jos-cetiri-osobe-zarazene-koronavirusom-u-tuzlanskom-kantonu-povezane-s-centrom-za-srce/200401127","Source")</f>
        <v>Source</v>
      </c>
      <c r="J75" s="63"/>
      <c r="K75" s="31"/>
      <c r="L75" s="62">
        <v>420.0</v>
      </c>
      <c r="M75" s="62">
        <v>13.0</v>
      </c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30.0" customHeight="1">
      <c r="A76" s="36" t="s">
        <v>222</v>
      </c>
      <c r="B76" s="62">
        <v>446.0</v>
      </c>
      <c r="C76" s="42">
        <f t="shared" si="1"/>
        <v>48</v>
      </c>
      <c r="D76" s="62">
        <v>0.0</v>
      </c>
      <c r="E76" s="44">
        <f t="shared" si="4"/>
        <v>0</v>
      </c>
      <c r="F76" s="39">
        <f t="shared" si="3"/>
        <v>0</v>
      </c>
      <c r="G76" s="74">
        <v>3.0</v>
      </c>
      <c r="H76" s="74" t="s">
        <v>20</v>
      </c>
      <c r="I76" s="55" t="str">
        <f>HYPERLINK("https://twitter.com/SPKCentrs/status/1245236853244133383","Source")</f>
        <v>Source</v>
      </c>
      <c r="J76" s="72"/>
      <c r="K76" s="31"/>
      <c r="L76" s="62">
        <v>398.0</v>
      </c>
      <c r="M76" s="62">
        <v>0.0</v>
      </c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27.75" customHeight="1">
      <c r="A77" s="36" t="s">
        <v>223</v>
      </c>
      <c r="B77" s="62">
        <v>423.0</v>
      </c>
      <c r="C77" s="42">
        <f t="shared" si="1"/>
        <v>70</v>
      </c>
      <c r="D77" s="62">
        <v>5.0</v>
      </c>
      <c r="E77" s="44">
        <f t="shared" si="4"/>
        <v>1</v>
      </c>
      <c r="F77" s="54">
        <f t="shared" si="3"/>
        <v>0.01182033097</v>
      </c>
      <c r="G77" s="74" t="s">
        <v>20</v>
      </c>
      <c r="H77" s="74">
        <v>23.0</v>
      </c>
      <c r="I77" s="55" t="str">
        <f>HYPERLINK("https://gismoldova.maps.arcgis.com/apps/opsdashboard/index.html#/d274da857ed345efa66e1fbc959b021b","Source")</f>
        <v>Source</v>
      </c>
      <c r="J77" s="63"/>
      <c r="K77" s="31"/>
      <c r="L77" s="62">
        <v>353.0</v>
      </c>
      <c r="M77" s="62">
        <v>4.0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30.0" customHeight="1">
      <c r="A78" s="36" t="s">
        <v>224</v>
      </c>
      <c r="B78" s="62">
        <v>423.0</v>
      </c>
      <c r="C78" s="42">
        <f t="shared" si="1"/>
        <v>29</v>
      </c>
      <c r="D78" s="62">
        <v>12.0</v>
      </c>
      <c r="E78" s="44">
        <f t="shared" si="4"/>
        <v>2</v>
      </c>
      <c r="F78" s="39">
        <f t="shared" si="3"/>
        <v>0.02836879433</v>
      </c>
      <c r="G78" s="74" t="s">
        <v>20</v>
      </c>
      <c r="H78" s="74">
        <v>5.0</v>
      </c>
      <c r="I78" s="55" t="str">
        <f>HYPERLINK("https://www.facebook.com/santetunisie.rns.tn/photos/a.724855064220267/2993297594042658/?type=3&amp;__xts__%5B0%5D=68.ARA6X00PFekef1RX1ehsf2K8Ccfh5rd5MAb_fGIbXxrJ7Gt-C8vTKi_svQRJn9BjN0RwOdRx59Ph1oREnhjOhneSKpG3YeRi3G6xbG3FOjLW5NihqNgmTj0Ka68WNR7r9jUoXI3GnZLgdB"&amp;"k8lisFw3Wr5FawF_EkWEjE67WpcKBitrZpkMy07t3ZF2IXlO-Rx34H5SEPEshkTkurneldp4ZwR276u-qDTv0WqtEa0gtBR62lAvrh7KdU_5F60zwwtJB6nl8aqOldVjd3_pzJcR7uyEjmx8IGrx7Y7IzVuILURaST07rF9T0OyAM2huTS-Lvino-Gdd9jaaK8UpbuCVctDQ&amp;__tn__=-R","Source")</f>
        <v>Source</v>
      </c>
      <c r="J78" s="63"/>
      <c r="K78" s="31"/>
      <c r="L78" s="62">
        <v>394.0</v>
      </c>
      <c r="M78" s="62">
        <v>10.0</v>
      </c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30.0" customHeight="1">
      <c r="A79" s="36" t="s">
        <v>225</v>
      </c>
      <c r="B79" s="62">
        <v>412.0</v>
      </c>
      <c r="C79" s="42">
        <f t="shared" si="1"/>
        <v>13</v>
      </c>
      <c r="D79" s="62">
        <v>9.0</v>
      </c>
      <c r="E79" s="44">
        <f t="shared" si="4"/>
        <v>1</v>
      </c>
      <c r="F79" s="39">
        <f t="shared" si="3"/>
        <v>0.02184466019</v>
      </c>
      <c r="G79" s="74">
        <v>13.0</v>
      </c>
      <c r="H79" s="74">
        <v>20.0</v>
      </c>
      <c r="I79" s="55" t="str">
        <f>HYPERLINK("http://www.mh.government.bg/bg/novini/aktualno/57-godishen-mzh-s-covid-19-e-pochinal-v-kyustendil/","Source")</f>
        <v>Source</v>
      </c>
      <c r="J79" s="63"/>
      <c r="K79" s="31"/>
      <c r="L79" s="62">
        <v>399.0</v>
      </c>
      <c r="M79" s="62">
        <v>8.0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30.0" customHeight="1">
      <c r="A80" s="36" t="s">
        <v>226</v>
      </c>
      <c r="B80" s="62">
        <v>400.0</v>
      </c>
      <c r="C80" s="42">
        <f t="shared" si="1"/>
        <v>37</v>
      </c>
      <c r="D80" s="62">
        <v>0.0</v>
      </c>
      <c r="E80" s="44">
        <f t="shared" si="4"/>
        <v>0</v>
      </c>
      <c r="F80" s="39">
        <f t="shared" si="3"/>
        <v>0</v>
      </c>
      <c r="G80" s="74" t="s">
        <v>20</v>
      </c>
      <c r="H80" s="74">
        <v>3.0</v>
      </c>
      <c r="I80" s="55" t="str">
        <f>HYPERLINK("https://ezdravie.nczisk.sk/sk?category=COVID","Source")</f>
        <v>Source</v>
      </c>
      <c r="J80" s="63"/>
      <c r="K80" s="31"/>
      <c r="L80" s="62">
        <v>363.0</v>
      </c>
      <c r="M80" s="62">
        <v>0.0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30.0" customHeight="1">
      <c r="A81" s="36" t="s">
        <v>227</v>
      </c>
      <c r="B81" s="62">
        <v>390.0</v>
      </c>
      <c r="C81" s="42">
        <f t="shared" si="1"/>
        <v>14</v>
      </c>
      <c r="D81" s="62">
        <v>14.0</v>
      </c>
      <c r="E81" s="44">
        <f t="shared" si="4"/>
        <v>2</v>
      </c>
      <c r="F81" s="39">
        <f t="shared" si="3"/>
        <v>0.0358974359</v>
      </c>
      <c r="G81" s="74" t="s">
        <v>20</v>
      </c>
      <c r="H81" s="74">
        <v>11.0</v>
      </c>
      <c r="I81" s="55" t="str">
        <f>HYPERLINK("https://www.govern.ad/coronavirus","Source")</f>
        <v>Source</v>
      </c>
      <c r="J81" s="63"/>
      <c r="K81" s="31"/>
      <c r="L81" s="62">
        <v>376.0</v>
      </c>
      <c r="M81" s="62">
        <v>12.0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30.0" customHeight="1">
      <c r="A82" s="36" t="s">
        <v>228</v>
      </c>
      <c r="B82" s="62">
        <v>386.0</v>
      </c>
      <c r="C82" s="42">
        <f t="shared" si="1"/>
        <v>43</v>
      </c>
      <c r="D82" s="62">
        <v>3.0</v>
      </c>
      <c r="E82" s="44">
        <f t="shared" si="4"/>
        <v>3</v>
      </c>
      <c r="F82" s="54">
        <f t="shared" si="3"/>
        <v>0.007772020725</v>
      </c>
      <c r="G82" s="74" t="s">
        <v>20</v>
      </c>
      <c r="H82" s="74">
        <v>26.0</v>
      </c>
      <c r="I82" s="55" t="str">
        <f>HYPERLINK("https://www.facebook.com/MinzdravRK/posts/1446591315518726?__xts__%5B0%5D=68.ARBEYzgWnyvgiKy7IjqHNWQy4GShUS7hlbV51vFnfy7MZT1DL_DFkQJTELTeRlsB5FB26LkB6SBaX0qzw0TVkbshfVm64f3JvT2SVqbqlrdDszKhXvI1_8yWV6AuFJm8AYvdbvzHE7WAYYgC8aMYgbakkuFAkHqIxqXKiD-ebUrBPxe3Gc"&amp;"cfQsPdRQ_ub9bACrkQw56F1J-O7XtFCXr1ctZfeVJhbZ4s-VLmOYzZoZaoXxTRrKsTNT6nPUCggTH_JaUXy8Zw7kxYVEcp2cXZFyuU0czajJRuXJI203YPZPMTWJYobqkllJ9moLq-y1X9qCjkcRDtSOF6h1B0hlUzBizO7A&amp;__tn__=-R","Source")</f>
        <v>Source</v>
      </c>
      <c r="J82" s="63"/>
      <c r="K82" s="68" t="s">
        <v>34</v>
      </c>
      <c r="L82" s="62">
        <v>343.0</v>
      </c>
      <c r="M82" s="62">
        <v>0.0</v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30.0" customHeight="1">
      <c r="A83" s="36" t="s">
        <v>187</v>
      </c>
      <c r="B83" s="62">
        <v>375.0</v>
      </c>
      <c r="C83" s="42">
        <f t="shared" si="1"/>
        <v>28</v>
      </c>
      <c r="D83" s="62">
        <v>2.0</v>
      </c>
      <c r="E83" s="44">
        <f t="shared" si="4"/>
        <v>0</v>
      </c>
      <c r="F83" s="39">
        <f t="shared" si="3"/>
        <v>0.005333333333</v>
      </c>
      <c r="G83" s="74" t="s">
        <v>20</v>
      </c>
      <c r="H83" s="74">
        <v>2.0</v>
      </c>
      <c r="I83" s="55" t="str">
        <f>HYPERLINK("https://twitter.com/msaludcr/status/1243254303609020417","Source")</f>
        <v>Source</v>
      </c>
      <c r="J83" s="72"/>
      <c r="K83" s="31"/>
      <c r="L83" s="62">
        <v>347.0</v>
      </c>
      <c r="M83" s="62">
        <v>2.0</v>
      </c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30.0" customHeight="1">
      <c r="A84" s="36" t="s">
        <v>229</v>
      </c>
      <c r="B84" s="62">
        <v>354.0</v>
      </c>
      <c r="C84" s="42">
        <f t="shared" si="1"/>
        <v>25</v>
      </c>
      <c r="D84" s="62">
        <v>9.0</v>
      </c>
      <c r="E84" s="44">
        <f t="shared" si="4"/>
        <v>0</v>
      </c>
      <c r="F84" s="54">
        <f t="shared" si="3"/>
        <v>0.02542372881</v>
      </c>
      <c r="G84" s="74">
        <v>0.0</v>
      </c>
      <c r="H84" s="74">
        <v>12.0</v>
      </c>
      <c r="I84" s="55" t="str">
        <f>HYPERLINK("https://twitter.com/ZdravstvoMK/status/1245375895008837632","Source")</f>
        <v>Source</v>
      </c>
      <c r="J84" s="63"/>
      <c r="K84" s="68" t="s">
        <v>34</v>
      </c>
      <c r="L84" s="62">
        <v>329.0</v>
      </c>
      <c r="M84" s="62">
        <v>9.0</v>
      </c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30.0" customHeight="1">
      <c r="A85" s="36" t="s">
        <v>188</v>
      </c>
      <c r="B85" s="62">
        <v>338.0</v>
      </c>
      <c r="C85" s="42">
        <f t="shared" si="1"/>
        <v>18</v>
      </c>
      <c r="D85" s="62">
        <v>1.0</v>
      </c>
      <c r="E85" s="44">
        <f t="shared" si="4"/>
        <v>0</v>
      </c>
      <c r="F85" s="54">
        <f t="shared" si="3"/>
        <v>0.002958579882</v>
      </c>
      <c r="G85" s="74">
        <v>12.0</v>
      </c>
      <c r="H85" s="74">
        <v>41.0</v>
      </c>
      <c r="I85" s="55" t="str">
        <f>HYPERLINK("https://twitter.com/MSPUruguay/status/1245334277543395329","Source")</f>
        <v>Source</v>
      </c>
      <c r="J85" s="63"/>
      <c r="K85" s="68" t="s">
        <v>34</v>
      </c>
      <c r="L85" s="62">
        <v>320.0</v>
      </c>
      <c r="M85" s="62">
        <v>1.0</v>
      </c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30.0" customHeight="1">
      <c r="A86" s="36" t="s">
        <v>230</v>
      </c>
      <c r="B86" s="62">
        <v>329.0</v>
      </c>
      <c r="C86" s="42">
        <f t="shared" si="1"/>
        <v>7</v>
      </c>
      <c r="D86" s="62">
        <v>5.0</v>
      </c>
      <c r="E86" s="44">
        <f t="shared" si="4"/>
        <v>3</v>
      </c>
      <c r="F86" s="54">
        <f t="shared" si="3"/>
        <v>0.01519756839</v>
      </c>
      <c r="G86" s="74">
        <v>0.0</v>
      </c>
      <c r="H86" s="74">
        <v>45.0</v>
      </c>
      <c r="I86" s="55" t="str">
        <f>HYPERLINK("https://www.cdc.gov.tw/Bulletin/Detail/RxNC9o2VRHwPizLWmY7Sxg?typeid=9","Source")</f>
        <v>Source</v>
      </c>
      <c r="J86" s="72"/>
      <c r="K86" s="68" t="s">
        <v>34</v>
      </c>
      <c r="L86" s="62">
        <v>322.0</v>
      </c>
      <c r="M86" s="62">
        <v>2.0</v>
      </c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30.0" customHeight="1">
      <c r="A87" s="36" t="s">
        <v>231</v>
      </c>
      <c r="B87" s="62">
        <v>320.0</v>
      </c>
      <c r="C87" s="42">
        <f t="shared" si="1"/>
        <v>58</v>
      </c>
      <c r="D87" s="62">
        <v>9.0</v>
      </c>
      <c r="E87" s="44">
        <f t="shared" si="4"/>
        <v>1</v>
      </c>
      <c r="F87" s="54">
        <f t="shared" si="3"/>
        <v>0.028125</v>
      </c>
      <c r="G87" s="74">
        <v>6.0</v>
      </c>
      <c r="H87" s="74">
        <v>1.0</v>
      </c>
      <c r="I87" s="55" t="str">
        <f>HYPERLINK("http://www.cna.org.cy/WebNews.aspx?a=fd536090845e46fd9323d1bef8f8c0a6","Source")</f>
        <v>Source</v>
      </c>
      <c r="J87" s="63"/>
      <c r="K87" s="31"/>
      <c r="L87" s="62">
        <v>262.0</v>
      </c>
      <c r="M87" s="62">
        <v>8.0</v>
      </c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30.0" customHeight="1">
      <c r="A88" s="36" t="s">
        <v>232</v>
      </c>
      <c r="B88" s="62">
        <v>317.0</v>
      </c>
      <c r="C88" s="42">
        <f t="shared" si="1"/>
        <v>28</v>
      </c>
      <c r="D88" s="62">
        <v>0.0</v>
      </c>
      <c r="E88" s="44">
        <f t="shared" si="4"/>
        <v>0</v>
      </c>
      <c r="F88" s="39">
        <f t="shared" si="3"/>
        <v>0</v>
      </c>
      <c r="G88" s="74">
        <v>14.0</v>
      </c>
      <c r="H88" s="74">
        <v>80.0</v>
      </c>
      <c r="I88" s="55" t="str">
        <f>HYPERLINK("https://twitter.com/KUWAIT_MOH/status/1245276997481357312","Source")</f>
        <v>Source</v>
      </c>
      <c r="J88" s="63"/>
      <c r="K88" s="31"/>
      <c r="L88" s="62">
        <v>289.0</v>
      </c>
      <c r="M88" s="62">
        <v>0.0</v>
      </c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30.0" customHeight="1">
      <c r="A89" s="36" t="s">
        <v>233</v>
      </c>
      <c r="B89" s="62">
        <v>298.0</v>
      </c>
      <c r="C89" s="42">
        <f t="shared" si="1"/>
        <v>25</v>
      </c>
      <c r="D89" s="62">
        <v>5.0</v>
      </c>
      <c r="E89" s="44">
        <f t="shared" si="4"/>
        <v>1</v>
      </c>
      <c r="F89" s="39">
        <f t="shared" si="3"/>
        <v>0.01677852349</v>
      </c>
      <c r="G89" s="74">
        <v>23.0</v>
      </c>
      <c r="H89" s="74">
        <v>26.0</v>
      </c>
      <c r="I89" s="55" t="str">
        <f>HYPERLINK("https://koronavirusinfo.az/az%C9%99rbaycanda-cari-v%C9%99ziyy%C9%99t/","Source")</f>
        <v>Source</v>
      </c>
      <c r="J89" s="93"/>
      <c r="K89" s="31"/>
      <c r="L89" s="62">
        <v>273.0</v>
      </c>
      <c r="M89" s="62">
        <v>4.0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30.0" customHeight="1">
      <c r="A90" s="36" t="s">
        <v>234</v>
      </c>
      <c r="B90" s="62">
        <v>278.0</v>
      </c>
      <c r="C90" s="42">
        <f t="shared" si="1"/>
        <v>4</v>
      </c>
      <c r="D90" s="62">
        <v>5.0</v>
      </c>
      <c r="E90" s="44">
        <f t="shared" si="4"/>
        <v>0</v>
      </c>
      <c r="F90" s="54">
        <f t="shared" si="3"/>
        <v>0.01798561151</v>
      </c>
      <c r="G90" s="74" t="s">
        <v>20</v>
      </c>
      <c r="H90" s="74">
        <v>36.0</v>
      </c>
      <c r="I90" s="55" t="str">
        <f>HYPERLINK("https://corona.moh.gov.jo/ar","Source")</f>
        <v>Source</v>
      </c>
      <c r="J90" s="63"/>
      <c r="K90" s="31"/>
      <c r="L90" s="62">
        <v>274.0</v>
      </c>
      <c r="M90" s="62">
        <v>5.0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27.75" customHeight="1">
      <c r="A91" s="36" t="s">
        <v>235</v>
      </c>
      <c r="B91" s="62">
        <v>261.0</v>
      </c>
      <c r="C91" s="42">
        <f t="shared" si="1"/>
        <v>15</v>
      </c>
      <c r="D91" s="62">
        <v>14.0</v>
      </c>
      <c r="E91" s="44">
        <f t="shared" si="4"/>
        <v>2</v>
      </c>
      <c r="F91" s="39">
        <f t="shared" si="3"/>
        <v>0.05363984674</v>
      </c>
      <c r="G91" s="74" t="s">
        <v>20</v>
      </c>
      <c r="H91" s="74">
        <v>32.0</v>
      </c>
      <c r="I91" s="55" t="str">
        <f>HYPERLINK("https://lefaso.net/spip.php?article95868","Source")</f>
        <v>Source</v>
      </c>
      <c r="J91" s="63"/>
      <c r="K91" s="31"/>
      <c r="L91" s="62">
        <v>246.0</v>
      </c>
      <c r="M91" s="62">
        <v>12.0</v>
      </c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30.0" customHeight="1">
      <c r="A92" s="36" t="s">
        <v>236</v>
      </c>
      <c r="B92" s="62">
        <v>259.0</v>
      </c>
      <c r="C92" s="42">
        <f t="shared" si="1"/>
        <v>16</v>
      </c>
      <c r="D92" s="62">
        <v>15.0</v>
      </c>
      <c r="E92" s="44">
        <f t="shared" si="4"/>
        <v>0</v>
      </c>
      <c r="F92" s="39">
        <f t="shared" si="3"/>
        <v>0.05791505792</v>
      </c>
      <c r="G92" s="74">
        <v>8.0</v>
      </c>
      <c r="H92" s="74">
        <v>67.0</v>
      </c>
      <c r="I92" s="55" t="str">
        <f>HYPERLINK("https://shendetesia.gov.al/covid-19-ministria-e-shendetesise-16-raste-te-reja-shkon-ne-259-numri-i-te-prekurve/","Source")</f>
        <v>Source</v>
      </c>
      <c r="J92" s="63"/>
      <c r="K92" s="68"/>
      <c r="L92" s="62">
        <v>243.0</v>
      </c>
      <c r="M92" s="62">
        <v>15.0</v>
      </c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30.0" customHeight="1">
      <c r="A93" s="36" t="s">
        <v>237</v>
      </c>
      <c r="B93" s="62">
        <v>239.0</v>
      </c>
      <c r="C93" s="42">
        <f t="shared" si="1"/>
        <v>94</v>
      </c>
      <c r="D93" s="62">
        <v>5.0</v>
      </c>
      <c r="E93" s="44">
        <f t="shared" si="4"/>
        <v>1</v>
      </c>
      <c r="F93" s="54">
        <f t="shared" si="3"/>
        <v>0.02092050209</v>
      </c>
      <c r="G93" s="74" t="s">
        <v>20</v>
      </c>
      <c r="H93" s="74">
        <v>10.0</v>
      </c>
      <c r="I93" s="55" t="str">
        <f>HYPERLINK("https://uneplive.maps.arcgis.com/apps/opsdashboard/index.html#/4c8ca6b1d9bc44d6bde5e2fd54afc180","Source")</f>
        <v>Source</v>
      </c>
      <c r="J93" s="63"/>
      <c r="K93" s="31"/>
      <c r="L93" s="62">
        <v>145.0</v>
      </c>
      <c r="M93" s="62">
        <v>4.0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30.0" customHeight="1">
      <c r="A94" s="36" t="s">
        <v>238</v>
      </c>
      <c r="B94" s="62">
        <v>236.0</v>
      </c>
      <c r="C94" s="42">
        <f t="shared" si="1"/>
        <v>0</v>
      </c>
      <c r="D94" s="62">
        <v>28.0</v>
      </c>
      <c r="E94" s="44">
        <f t="shared" si="4"/>
        <v>2</v>
      </c>
      <c r="F94" s="54">
        <f t="shared" si="3"/>
        <v>0.1186440678</v>
      </c>
      <c r="G94" s="74">
        <v>16.0</v>
      </c>
      <c r="H94" s="74">
        <v>13.0</v>
      </c>
      <c r="I94" s="55" t="str">
        <f>HYPERLINK("http://www.iss.sm/on-line/home/articolo49014204.html","Source")</f>
        <v>Source</v>
      </c>
      <c r="J94" s="111"/>
      <c r="K94" s="31"/>
      <c r="L94" s="62">
        <v>236.0</v>
      </c>
      <c r="M94" s="62">
        <v>26.0</v>
      </c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27.75" customHeight="1">
      <c r="A95" s="36" t="s">
        <v>239</v>
      </c>
      <c r="B95" s="62">
        <v>233.0</v>
      </c>
      <c r="C95" s="42">
        <f t="shared" si="1"/>
        <v>91</v>
      </c>
      <c r="D95" s="62">
        <v>6.0</v>
      </c>
      <c r="E95" s="44">
        <f t="shared" si="4"/>
        <v>0</v>
      </c>
      <c r="F95" s="39">
        <f t="shared" si="3"/>
        <v>0.02575107296</v>
      </c>
      <c r="G95" s="74" t="s">
        <v>20</v>
      </c>
      <c r="H95" s="74">
        <v>5.0</v>
      </c>
      <c r="I95" s="55" t="str">
        <f>HYPERLINK("https://twitter.com/DrManaouda/status/1245235669296918528","Source")</f>
        <v>Source</v>
      </c>
      <c r="J95" s="63"/>
      <c r="K95" s="31"/>
      <c r="L95" s="62">
        <v>142.0</v>
      </c>
      <c r="M95" s="62">
        <v>6.0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30.0" customHeight="1">
      <c r="A96" s="36" t="s">
        <v>240</v>
      </c>
      <c r="B96" s="62">
        <v>222.0</v>
      </c>
      <c r="C96" s="42">
        <f t="shared" si="1"/>
        <v>10</v>
      </c>
      <c r="D96" s="62">
        <v>0.0</v>
      </c>
      <c r="E96" s="44">
        <f t="shared" si="4"/>
        <v>0</v>
      </c>
      <c r="F96" s="54">
        <f t="shared" si="3"/>
        <v>0</v>
      </c>
      <c r="G96" s="74" t="s">
        <v>20</v>
      </c>
      <c r="H96" s="74">
        <v>63.0</v>
      </c>
      <c r="I96" s="55" t="str">
        <f>HYPERLINK("https://twitter.com/VNGovtPortal/status/1245513284628840453","Source")</f>
        <v>Source</v>
      </c>
      <c r="J96" s="63"/>
      <c r="K96" s="31"/>
      <c r="L96" s="62">
        <v>212.0</v>
      </c>
      <c r="M96" s="62">
        <v>0.0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30.0" customHeight="1">
      <c r="A97" s="36" t="s">
        <v>241</v>
      </c>
      <c r="B97" s="62">
        <v>217.0</v>
      </c>
      <c r="C97" s="42">
        <f t="shared" si="1"/>
        <v>65</v>
      </c>
      <c r="D97" s="62">
        <v>2.0</v>
      </c>
      <c r="E97" s="44">
        <f t="shared" si="4"/>
        <v>1</v>
      </c>
      <c r="F97" s="39">
        <f t="shared" si="3"/>
        <v>0.009216589862</v>
      </c>
      <c r="G97" s="74" t="s">
        <v>20</v>
      </c>
      <c r="H97" s="74">
        <v>58.0</v>
      </c>
      <c r="I97" s="55" t="str">
        <f>HYPERLINK("https://people.onliner.by/2020/04/01/koronavirus-59","Source")</f>
        <v>Source</v>
      </c>
      <c r="J97" s="63"/>
      <c r="K97" s="31"/>
      <c r="L97" s="62">
        <v>152.0</v>
      </c>
      <c r="M97" s="62">
        <v>1.0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27.75" customHeight="1">
      <c r="A98" s="36" t="s">
        <v>192</v>
      </c>
      <c r="B98" s="62">
        <v>212.0</v>
      </c>
      <c r="C98" s="42">
        <f t="shared" si="1"/>
        <v>26</v>
      </c>
      <c r="D98" s="62">
        <v>6.0</v>
      </c>
      <c r="E98" s="44">
        <f t="shared" si="4"/>
        <v>0</v>
      </c>
      <c r="F98" s="39">
        <f t="shared" si="3"/>
        <v>0.02830188679</v>
      </c>
      <c r="G98" s="74">
        <v>8.0</v>
      </c>
      <c r="H98" s="74">
        <v>12.0</v>
      </c>
      <c r="I98" s="55" t="str">
        <f>HYPERLINK("https://salud.msp.gob.cu/?p=4473","Source")</f>
        <v>Source</v>
      </c>
      <c r="J98" s="72"/>
      <c r="K98" s="31"/>
      <c r="L98" s="62">
        <v>186.0</v>
      </c>
      <c r="M98" s="62">
        <v>6.0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30.0" customHeight="1">
      <c r="A99" s="36" t="s">
        <v>242</v>
      </c>
      <c r="B99" s="62">
        <v>210.0</v>
      </c>
      <c r="C99" s="42">
        <f t="shared" si="1"/>
        <v>18</v>
      </c>
      <c r="D99" s="62">
        <v>1.0</v>
      </c>
      <c r="E99" s="44">
        <f t="shared" si="4"/>
        <v>0</v>
      </c>
      <c r="F99" s="39">
        <f t="shared" si="3"/>
        <v>0.004761904762</v>
      </c>
      <c r="G99" s="74">
        <v>0.0</v>
      </c>
      <c r="H99" s="74">
        <v>34.0</v>
      </c>
      <c r="I99" s="55" t="str">
        <f>HYPERLINK("https://twitter.com/OmaniMOH/status/1245245360613855232","Source")</f>
        <v>Source</v>
      </c>
      <c r="J99" s="91"/>
      <c r="K99" s="31"/>
      <c r="L99" s="62">
        <v>192.0</v>
      </c>
      <c r="M99" s="62">
        <v>1.0</v>
      </c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30.0" customHeight="1">
      <c r="A100" s="36" t="s">
        <v>243</v>
      </c>
      <c r="B100" s="62">
        <v>195.0</v>
      </c>
      <c r="C100" s="42">
        <f t="shared" si="1"/>
        <v>34</v>
      </c>
      <c r="D100" s="62">
        <v>5.0</v>
      </c>
      <c r="E100" s="44">
        <f t="shared" si="4"/>
        <v>0</v>
      </c>
      <c r="F100" s="54">
        <f t="shared" si="3"/>
        <v>0.02564102564</v>
      </c>
      <c r="G100" s="74">
        <v>0.0</v>
      </c>
      <c r="H100" s="74">
        <v>3.0</v>
      </c>
      <c r="I100" s="55" t="str">
        <f>HYPERLINK("https://www.ghanahealthservice.org/covid19/","Source")</f>
        <v>Source</v>
      </c>
      <c r="J100" s="63"/>
      <c r="K100" s="31"/>
      <c r="L100" s="62">
        <v>161.0</v>
      </c>
      <c r="M100" s="62">
        <v>5.0</v>
      </c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30.0" customHeight="1">
      <c r="A101" s="36" t="s">
        <v>244</v>
      </c>
      <c r="B101" s="62">
        <v>190.0</v>
      </c>
      <c r="C101" s="42">
        <f t="shared" si="1"/>
        <v>15</v>
      </c>
      <c r="D101" s="62">
        <v>1.0</v>
      </c>
      <c r="E101" s="44">
        <f t="shared" si="4"/>
        <v>0</v>
      </c>
      <c r="F101" s="39">
        <f t="shared" si="3"/>
        <v>0.005263157895</v>
      </c>
      <c r="G101" s="74" t="s">
        <v>20</v>
      </c>
      <c r="H101" s="74">
        <v>45.0</v>
      </c>
      <c r="I101" s="55" t="str">
        <f>HYPERLINK("http://www.sante.gouv.sn/","Source")</f>
        <v>Source</v>
      </c>
      <c r="J101" s="110"/>
      <c r="K101" s="31"/>
      <c r="L101" s="62">
        <v>175.0</v>
      </c>
      <c r="M101" s="62">
        <v>1.0</v>
      </c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27.75" customHeight="1">
      <c r="A102" s="36" t="s">
        <v>245</v>
      </c>
      <c r="B102" s="62">
        <v>188.0</v>
      </c>
      <c r="C102" s="42">
        <f t="shared" si="1"/>
        <v>19</v>
      </c>
      <c r="D102" s="62">
        <v>0.0</v>
      </c>
      <c r="E102" s="44">
        <f t="shared" si="4"/>
        <v>0</v>
      </c>
      <c r="F102" s="39">
        <f t="shared" si="3"/>
        <v>0</v>
      </c>
      <c r="G102" s="74">
        <v>2.0</v>
      </c>
      <c r="H102" s="74">
        <v>2.0</v>
      </c>
      <c r="I102" s="55" t="str">
        <f>HYPERLINK("https://timesofmalta.com/articles/view/watch-briefing-on-latest-coronavirus-developments.782516","Source")</f>
        <v>Source</v>
      </c>
      <c r="J102" s="63"/>
      <c r="K102" s="31"/>
      <c r="L102" s="62">
        <v>169.0</v>
      </c>
      <c r="M102" s="62">
        <v>0.0</v>
      </c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30.0" customHeight="1">
      <c r="A103" s="36" t="s">
        <v>246</v>
      </c>
      <c r="B103" s="62">
        <v>181.0</v>
      </c>
      <c r="C103" s="42">
        <f t="shared" si="1"/>
        <v>9</v>
      </c>
      <c r="D103" s="62">
        <v>2.0</v>
      </c>
      <c r="E103" s="44">
        <f t="shared" si="4"/>
        <v>0</v>
      </c>
      <c r="F103" s="39">
        <f t="shared" si="3"/>
        <v>0.01104972376</v>
      </c>
      <c r="G103" s="74">
        <v>5.0</v>
      </c>
      <c r="H103" s="74">
        <v>8.0</v>
      </c>
      <c r="I103" s="55" t="str">
        <f>HYPERLINK("https://akipress.com/news:638580:Total_number_of_COVID-19_cases_in_Uzbekistan_rises_to_173/?place=main2","Source")</f>
        <v>Source</v>
      </c>
      <c r="J103" s="63"/>
      <c r="K103" s="68" t="s">
        <v>118</v>
      </c>
      <c r="L103" s="62">
        <v>172.0</v>
      </c>
      <c r="M103" s="62">
        <v>2.0</v>
      </c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27.75" customHeight="1">
      <c r="A104" s="36" t="s">
        <v>247</v>
      </c>
      <c r="B104" s="62">
        <v>179.0</v>
      </c>
      <c r="C104" s="42">
        <f t="shared" si="1"/>
        <v>10</v>
      </c>
      <c r="D104" s="62">
        <v>1.0</v>
      </c>
      <c r="E104" s="44">
        <f t="shared" si="4"/>
        <v>1</v>
      </c>
      <c r="F104" s="39">
        <f t="shared" si="3"/>
        <v>0.005586592179</v>
      </c>
      <c r="G104" s="74" t="s">
        <v>20</v>
      </c>
      <c r="H104" s="74">
        <v>7.0</v>
      </c>
      <c r="I104" s="55" t="str">
        <f>HYPERLINK("https://twitter.com/OmsCotedivoire/status/1245093312001957888","Source")</f>
        <v>Source</v>
      </c>
      <c r="J104" s="63"/>
      <c r="K104" s="31"/>
      <c r="L104" s="62">
        <v>169.0</v>
      </c>
      <c r="M104" s="62">
        <v>0.0</v>
      </c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30.0" customHeight="1">
      <c r="A105" s="36" t="s">
        <v>248</v>
      </c>
      <c r="B105" s="62">
        <v>174.0</v>
      </c>
      <c r="C105" s="42">
        <f t="shared" si="1"/>
        <v>35</v>
      </c>
      <c r="D105" s="62">
        <v>2.0</v>
      </c>
      <c r="E105" s="44">
        <f t="shared" si="4"/>
        <v>0</v>
      </c>
      <c r="F105" s="54">
        <f t="shared" si="3"/>
        <v>0.01149425287</v>
      </c>
      <c r="G105" s="74" t="s">
        <v>20</v>
      </c>
      <c r="H105" s="74">
        <v>9.0</v>
      </c>
      <c r="I105" s="55" t="str">
        <f>HYPERLINK("https://twitter.com/NCDCgov/status/1245312493599297536","Source")</f>
        <v>Source</v>
      </c>
      <c r="J105" s="63"/>
      <c r="K105" s="31"/>
      <c r="L105" s="62">
        <v>139.0</v>
      </c>
      <c r="M105" s="62">
        <v>2.0</v>
      </c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27.75" customHeight="1">
      <c r="A106" s="36" t="s">
        <v>191</v>
      </c>
      <c r="B106" s="62">
        <v>172.0</v>
      </c>
      <c r="C106" s="42">
        <f t="shared" si="1"/>
        <v>31</v>
      </c>
      <c r="D106" s="62">
        <v>10.0</v>
      </c>
      <c r="E106" s="44">
        <f t="shared" si="4"/>
        <v>3</v>
      </c>
      <c r="F106" s="54">
        <f t="shared" si="3"/>
        <v>0.05813953488</v>
      </c>
      <c r="G106" s="74" t="s">
        <v>20</v>
      </c>
      <c r="H106" s="74">
        <v>3.0</v>
      </c>
      <c r="I106" s="55" t="str">
        <f>HYPERLINK("https://covid19honduras.org/","Source")</f>
        <v>Source</v>
      </c>
      <c r="J106" s="63"/>
      <c r="K106" s="31"/>
      <c r="L106" s="62">
        <v>141.0</v>
      </c>
      <c r="M106" s="62">
        <v>7.0</v>
      </c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30.0" customHeight="1">
      <c r="A107" s="36" t="s">
        <v>249</v>
      </c>
      <c r="B107" s="62">
        <v>161.0</v>
      </c>
      <c r="C107" s="42">
        <f t="shared" si="1"/>
        <v>18</v>
      </c>
      <c r="D107" s="62">
        <v>6.0</v>
      </c>
      <c r="E107" s="44">
        <f t="shared" si="4"/>
        <v>2</v>
      </c>
      <c r="F107" s="54">
        <f t="shared" si="3"/>
        <v>0.03726708075</v>
      </c>
      <c r="G107" s="74" t="s">
        <v>20</v>
      </c>
      <c r="H107" s="74" t="s">
        <v>20</v>
      </c>
      <c r="I107" s="55" t="str">
        <f>HYPERLINK("https://www.lemauricien.com/covid19/","Source")</f>
        <v>Source</v>
      </c>
      <c r="J107" s="63"/>
      <c r="K107" s="31"/>
      <c r="L107" s="62">
        <v>143.0</v>
      </c>
      <c r="M107" s="62">
        <v>4.0</v>
      </c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30.0" customHeight="1">
      <c r="A108" s="36" t="s">
        <v>250</v>
      </c>
      <c r="B108" s="62">
        <v>146.0</v>
      </c>
      <c r="C108" s="42">
        <f t="shared" si="1"/>
        <v>3</v>
      </c>
      <c r="D108" s="62">
        <v>3.0</v>
      </c>
      <c r="E108" s="44">
        <f t="shared" si="4"/>
        <v>1</v>
      </c>
      <c r="F108" s="54">
        <f t="shared" si="3"/>
        <v>0.02054794521</v>
      </c>
      <c r="G108" s="74" t="s">
        <v>20</v>
      </c>
      <c r="H108" s="74">
        <v>21.0</v>
      </c>
      <c r="I108" s="55" t="str">
        <f>HYPERLINK("http://www.dailynews.lk/covid-19","Source")</f>
        <v>Source</v>
      </c>
      <c r="J108" s="63"/>
      <c r="K108" s="31"/>
      <c r="L108" s="62">
        <v>143.0</v>
      </c>
      <c r="M108" s="62">
        <v>2.0</v>
      </c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30.0" customHeight="1">
      <c r="A109" s="36" t="s">
        <v>251</v>
      </c>
      <c r="B109" s="62">
        <v>144.0</v>
      </c>
      <c r="C109" s="42">
        <f t="shared" si="1"/>
        <v>15</v>
      </c>
      <c r="D109" s="62">
        <v>3.0</v>
      </c>
      <c r="E109" s="44">
        <f t="shared" si="4"/>
        <v>0</v>
      </c>
      <c r="F109" s="39">
        <f t="shared" si="3"/>
        <v>0.02083333333</v>
      </c>
      <c r="G109" s="74">
        <v>2.0</v>
      </c>
      <c r="H109" s="74">
        <v>43.0</v>
      </c>
      <c r="I109" s="55" t="str">
        <f>HYPERLINK("https://twitter.com/VPITV/status/1245490095764975617","Source")</f>
        <v>Source</v>
      </c>
      <c r="J109" s="63"/>
      <c r="K109" s="68" t="s">
        <v>34</v>
      </c>
      <c r="L109" s="62">
        <v>129.0</v>
      </c>
      <c r="M109" s="62">
        <v>3.0</v>
      </c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30.0" customHeight="1">
      <c r="A110" s="36" t="s">
        <v>252</v>
      </c>
      <c r="B110" s="62">
        <v>134.0</v>
      </c>
      <c r="C110" s="42">
        <f t="shared" si="1"/>
        <v>17</v>
      </c>
      <c r="D110" s="62">
        <v>1.0</v>
      </c>
      <c r="E110" s="44">
        <f t="shared" si="4"/>
        <v>0</v>
      </c>
      <c r="F110" s="54">
        <f t="shared" si="3"/>
        <v>0.007462686567</v>
      </c>
      <c r="G110" s="74">
        <v>0.0</v>
      </c>
      <c r="H110" s="74">
        <v>18.0</v>
      </c>
      <c r="I110" s="55" t="str">
        <f>HYPERLINK("https://www.facebook.com/mohps/photos/pb.269187066540512.-2207520000../2719499291509265/?type=3&amp;theater","Source")</f>
        <v>Source</v>
      </c>
      <c r="J110" s="63"/>
      <c r="K110" s="68" t="s">
        <v>34</v>
      </c>
      <c r="L110" s="62">
        <v>117.0</v>
      </c>
      <c r="M110" s="62">
        <v>1.0</v>
      </c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30.0" customHeight="1">
      <c r="A111" s="36" t="s">
        <v>253</v>
      </c>
      <c r="B111" s="62">
        <v>131.0</v>
      </c>
      <c r="C111" s="42">
        <f t="shared" si="1"/>
        <v>2</v>
      </c>
      <c r="D111" s="62">
        <v>1.0</v>
      </c>
      <c r="E111" s="44">
        <f t="shared" si="4"/>
        <v>0</v>
      </c>
      <c r="F111" s="54">
        <f t="shared" si="3"/>
        <v>0.007633587786</v>
      </c>
      <c r="G111" s="74" t="s">
        <v>20</v>
      </c>
      <c r="H111" s="74">
        <v>52.0</v>
      </c>
      <c r="I111" s="55" t="str">
        <f>HYPERLINK("https://www.healthinfo.gov.bn/covid19/#/home","Source")</f>
        <v>Source</v>
      </c>
      <c r="J111" s="63"/>
      <c r="K111" s="68" t="s">
        <v>34</v>
      </c>
      <c r="L111" s="62">
        <v>129.0</v>
      </c>
      <c r="M111" s="62">
        <v>1.0</v>
      </c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30.0" customHeight="1">
      <c r="A112" s="36" t="s">
        <v>254</v>
      </c>
      <c r="B112" s="62">
        <v>125.0</v>
      </c>
      <c r="C112" s="42">
        <f t="shared" si="1"/>
        <v>13</v>
      </c>
      <c r="D112" s="62">
        <v>1.0</v>
      </c>
      <c r="E112" s="44">
        <f t="shared" si="4"/>
        <v>0</v>
      </c>
      <c r="F112" s="54">
        <f t="shared" si="3"/>
        <v>0.008</v>
      </c>
      <c r="G112" s="74" t="s">
        <v>20</v>
      </c>
      <c r="H112" s="74">
        <v>10.0</v>
      </c>
      <c r="I112" s="55" t="str">
        <f>HYPERLINK("https://kosova.health/en/","Source")</f>
        <v>Source</v>
      </c>
      <c r="J112" s="63"/>
      <c r="K112" s="31"/>
      <c r="L112" s="62">
        <v>112.0</v>
      </c>
      <c r="M112" s="62">
        <v>1.0</v>
      </c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30.0" customHeight="1">
      <c r="A113" s="36" t="s">
        <v>48</v>
      </c>
      <c r="B113" s="62">
        <v>117.0</v>
      </c>
      <c r="C113" s="42">
        <f t="shared" si="1"/>
        <v>7</v>
      </c>
      <c r="D113" s="62">
        <v>0.0</v>
      </c>
      <c r="E113" s="44">
        <f t="shared" si="4"/>
        <v>0</v>
      </c>
      <c r="F113" s="39">
        <f t="shared" si="3"/>
        <v>0</v>
      </c>
      <c r="G113" s="74">
        <v>1.0</v>
      </c>
      <c r="H113" s="74">
        <v>23.0</v>
      </c>
      <c r="I113" s="55" t="str">
        <f>HYPERLINK("https://stopcov.ge/en","Source")</f>
        <v>Source</v>
      </c>
      <c r="J113" s="63"/>
      <c r="K113" s="31"/>
      <c r="L113" s="62">
        <v>110.0</v>
      </c>
      <c r="M113" s="62">
        <v>0.0</v>
      </c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30.0" customHeight="1">
      <c r="A114" s="36" t="s">
        <v>193</v>
      </c>
      <c r="B114" s="62">
        <v>117.0</v>
      </c>
      <c r="C114" s="42">
        <f t="shared" si="1"/>
        <v>10</v>
      </c>
      <c r="D114" s="62">
        <v>7.0</v>
      </c>
      <c r="E114" s="44">
        <f t="shared" si="4"/>
        <v>1</v>
      </c>
      <c r="F114" s="54">
        <f t="shared" si="3"/>
        <v>0.05982905983</v>
      </c>
      <c r="G114" s="74" t="s">
        <v>20</v>
      </c>
      <c r="H114" s="74">
        <v>0.0</v>
      </c>
      <c r="I114" s="55" t="str">
        <f>HYPERLINK("https://twitter.com/MinSaludBolivia/status/1245156471387688960","Source")</f>
        <v>Source</v>
      </c>
      <c r="J114" s="63"/>
      <c r="K114" s="68" t="s">
        <v>34</v>
      </c>
      <c r="L114" s="62">
        <v>107.0</v>
      </c>
      <c r="M114" s="62">
        <v>6.0</v>
      </c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30.0" customHeight="1">
      <c r="A115" s="36" t="s">
        <v>255</v>
      </c>
      <c r="B115" s="62">
        <v>111.0</v>
      </c>
      <c r="C115" s="42">
        <f t="shared" si="1"/>
        <v>17</v>
      </c>
      <c r="D115" s="62">
        <v>0.0</v>
      </c>
      <c r="E115" s="44">
        <f t="shared" si="4"/>
        <v>0</v>
      </c>
      <c r="F115" s="39">
        <f t="shared" si="3"/>
        <v>0</v>
      </c>
      <c r="G115" s="74" t="s">
        <v>20</v>
      </c>
      <c r="H115" s="74">
        <v>3.0</v>
      </c>
      <c r="I115" s="55" t="str">
        <f>HYPERLINK("https://akipress.com/news:638574:4_new_coronavirus_cases_confirmed_in_Kyrgyzstan_on_April_1,_111_in_total/","Source")</f>
        <v>Source</v>
      </c>
      <c r="J115" s="63"/>
      <c r="K115" s="31"/>
      <c r="L115" s="62">
        <v>94.0</v>
      </c>
      <c r="M115" s="62">
        <v>0.0</v>
      </c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30.0" customHeight="1">
      <c r="A116" s="36" t="s">
        <v>256</v>
      </c>
      <c r="B116" s="62">
        <v>109.0</v>
      </c>
      <c r="C116" s="42">
        <f t="shared" si="1"/>
        <v>11</v>
      </c>
      <c r="D116" s="62">
        <v>8.0</v>
      </c>
      <c r="E116" s="44">
        <f t="shared" si="4"/>
        <v>0</v>
      </c>
      <c r="F116" s="54">
        <f t="shared" si="3"/>
        <v>0.07339449541</v>
      </c>
      <c r="G116" s="74" t="s">
        <v>20</v>
      </c>
      <c r="H116" s="74">
        <v>3.0</v>
      </c>
      <c r="I116" s="55" t="str">
        <f>HYPERLINK("https://pbs.twimg.com/media/EUgyzjeWAAA36dw.jpg","Source")</f>
        <v>Source</v>
      </c>
      <c r="J116" s="63"/>
      <c r="K116" s="31"/>
      <c r="L116" s="62">
        <v>98.0</v>
      </c>
      <c r="M116" s="62">
        <v>8.0</v>
      </c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30.0" customHeight="1">
      <c r="A117" s="36" t="s">
        <v>257</v>
      </c>
      <c r="B117" s="62">
        <v>109.0</v>
      </c>
      <c r="C117" s="42">
        <f t="shared" si="1"/>
        <v>18</v>
      </c>
      <c r="D117" s="62">
        <v>2.0</v>
      </c>
      <c r="E117" s="44">
        <f t="shared" si="4"/>
        <v>0</v>
      </c>
      <c r="F117" s="54">
        <f t="shared" si="3"/>
        <v>0.01834862385</v>
      </c>
      <c r="G117" s="74" t="s">
        <v>20</v>
      </c>
      <c r="H117" s="74" t="s">
        <v>20</v>
      </c>
      <c r="I117" s="55" t="str">
        <f>HYPERLINK("https://www.ijzcg.me/me/novosti/presjek-situacije-u-crnoj-gori-u-utorak-3132020-u-1800h","Source")</f>
        <v>Source</v>
      </c>
      <c r="J117" s="63"/>
      <c r="K117" s="31"/>
      <c r="L117" s="62">
        <v>91.0</v>
      </c>
      <c r="M117" s="62">
        <v>2.0</v>
      </c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30.0" customHeight="1">
      <c r="A118" s="36" t="s">
        <v>258</v>
      </c>
      <c r="B118" s="62">
        <v>109.0</v>
      </c>
      <c r="C118" s="42">
        <f t="shared" si="1"/>
        <v>0</v>
      </c>
      <c r="D118" s="62">
        <v>0.0</v>
      </c>
      <c r="E118" s="44">
        <f t="shared" si="4"/>
        <v>0</v>
      </c>
      <c r="F118" s="54">
        <f t="shared" si="3"/>
        <v>0</v>
      </c>
      <c r="G118" s="74" t="s">
        <v>20</v>
      </c>
      <c r="H118" s="74">
        <v>25.0</v>
      </c>
      <c r="I118" s="55" t="str">
        <f>HYPERLINK("https://www.voacambodia.com/a/more-than-5000-tested-for-virus-in-cambodia-national-tally-reaches-109-cases/5353258.html","Source")</f>
        <v>Source</v>
      </c>
      <c r="J118" s="72"/>
      <c r="K118" s="31"/>
      <c r="L118" s="62">
        <v>109.0</v>
      </c>
      <c r="M118" s="62">
        <v>0.0</v>
      </c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30.0" customHeight="1">
      <c r="A119" s="36" t="s">
        <v>259</v>
      </c>
      <c r="B119" s="62">
        <v>91.0</v>
      </c>
      <c r="C119" s="42">
        <f t="shared" si="1"/>
        <v>13</v>
      </c>
      <c r="D119" s="62">
        <v>1.0</v>
      </c>
      <c r="E119" s="44">
        <f t="shared" si="4"/>
        <v>0</v>
      </c>
      <c r="F119" s="54">
        <f t="shared" si="3"/>
        <v>0.01098901099</v>
      </c>
      <c r="G119" s="74" t="s">
        <v>20</v>
      </c>
      <c r="H119" s="74" t="s">
        <v>20</v>
      </c>
      <c r="I119" s="55" t="str">
        <f>HYPERLINK("https://www.gov.gg/covid19testresults","Source")</f>
        <v>Source</v>
      </c>
      <c r="J119" s="63"/>
      <c r="K119" s="31"/>
      <c r="L119" s="62">
        <v>78.0</v>
      </c>
      <c r="M119" s="62">
        <v>1.0</v>
      </c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30.0" customHeight="1">
      <c r="A120" s="36" t="s">
        <v>260</v>
      </c>
      <c r="B120" s="62">
        <v>87.0</v>
      </c>
      <c r="C120" s="42">
        <f t="shared" si="1"/>
        <v>0</v>
      </c>
      <c r="D120" s="62">
        <v>5.0</v>
      </c>
      <c r="E120" s="44">
        <f t="shared" si="4"/>
        <v>2</v>
      </c>
      <c r="F120" s="39">
        <f t="shared" si="3"/>
        <v>0.05747126437</v>
      </c>
      <c r="G120" s="74">
        <v>2.0</v>
      </c>
      <c r="H120" s="74">
        <v>1.0</v>
      </c>
      <c r="I120" s="55" t="str">
        <f>HYPERLINK("https://twitter.com/MOH_TT/status/1245369982483038210","Source")</f>
        <v>Source</v>
      </c>
      <c r="J120" s="72"/>
      <c r="K120" s="31"/>
      <c r="L120" s="62">
        <v>87.0</v>
      </c>
      <c r="M120" s="62">
        <v>3.0</v>
      </c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30.0" customHeight="1">
      <c r="A121" s="36" t="s">
        <v>261</v>
      </c>
      <c r="B121" s="62">
        <v>82.0</v>
      </c>
      <c r="C121" s="42">
        <f t="shared" si="1"/>
        <v>7</v>
      </c>
      <c r="D121" s="62">
        <v>0.0</v>
      </c>
      <c r="E121" s="44">
        <f t="shared" si="4"/>
        <v>0</v>
      </c>
      <c r="F121" s="39">
        <f t="shared" si="3"/>
        <v>0</v>
      </c>
      <c r="G121" s="74">
        <v>0.0</v>
      </c>
      <c r="H121" s="74">
        <v>0.0</v>
      </c>
      <c r="I121" s="55" t="str">
        <f>HYPERLINK("https://twitter.com/RwandaHealth/status/1245406564846108672","Source")</f>
        <v>Source</v>
      </c>
      <c r="J121" s="63"/>
      <c r="K121" s="31"/>
      <c r="L121" s="62">
        <v>75.0</v>
      </c>
      <c r="M121" s="62">
        <v>0.0</v>
      </c>
      <c r="N121" s="30"/>
      <c r="O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30.0" customHeight="1">
      <c r="A122" s="36" t="s">
        <v>262</v>
      </c>
      <c r="B122" s="62">
        <v>81.0</v>
      </c>
      <c r="C122" s="42">
        <f t="shared" si="1"/>
        <v>0</v>
      </c>
      <c r="D122" s="62">
        <v>2.0</v>
      </c>
      <c r="E122" s="44">
        <f t="shared" si="4"/>
        <v>0</v>
      </c>
      <c r="F122" s="54">
        <f t="shared" si="3"/>
        <v>0.02469135802</v>
      </c>
      <c r="G122" s="74" t="s">
        <v>20</v>
      </c>
      <c r="H122" s="74" t="s">
        <v>20</v>
      </c>
      <c r="I122" s="55" t="str">
        <f>HYPERLINK("https://www.gov.je/Health/Coronavirus/Pages/CoronavirusCases.aspx","Source")</f>
        <v>Source</v>
      </c>
      <c r="J122" s="72"/>
      <c r="K122" s="31"/>
      <c r="L122" s="62">
        <v>81.0</v>
      </c>
      <c r="M122" s="62">
        <v>2.0</v>
      </c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30.0" customHeight="1">
      <c r="A123" s="36" t="s">
        <v>263</v>
      </c>
      <c r="B123" s="62">
        <v>81.0</v>
      </c>
      <c r="C123" s="42">
        <f t="shared" si="1"/>
        <v>22</v>
      </c>
      <c r="D123" s="62">
        <v>1.0</v>
      </c>
      <c r="E123" s="44">
        <f t="shared" si="4"/>
        <v>0</v>
      </c>
      <c r="F123" s="39">
        <f t="shared" si="3"/>
        <v>0.01234567901</v>
      </c>
      <c r="G123" s="74">
        <v>0.0</v>
      </c>
      <c r="H123" s="74">
        <v>2.0</v>
      </c>
      <c r="I123" s="55" t="str">
        <f>HYPERLINK("https://www.nation.co.ke/","Source")</f>
        <v>Source</v>
      </c>
      <c r="J123" s="63"/>
      <c r="K123" s="31"/>
      <c r="L123" s="62">
        <v>59.0</v>
      </c>
      <c r="M123" s="62">
        <v>1.0</v>
      </c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27.75" customHeight="1">
      <c r="A124" s="36" t="s">
        <v>264</v>
      </c>
      <c r="B124" s="62">
        <v>81.0</v>
      </c>
      <c r="C124" s="42">
        <f t="shared" si="1"/>
        <v>12</v>
      </c>
      <c r="D124" s="62">
        <v>0.0</v>
      </c>
      <c r="E124" s="44">
        <f t="shared" si="4"/>
        <v>0</v>
      </c>
      <c r="F124" s="39">
        <f t="shared" si="3"/>
        <v>0</v>
      </c>
      <c r="G124" s="74" t="s">
        <v>20</v>
      </c>
      <c r="H124" s="74">
        <v>34.0</v>
      </c>
      <c r="I124" s="55" t="str">
        <f>HYPERLINK("https://www.gibraltar.gov.gi/covid19","Source")</f>
        <v>Source</v>
      </c>
      <c r="J124" s="63"/>
      <c r="K124" s="31"/>
      <c r="L124" s="62">
        <v>69.0</v>
      </c>
      <c r="M124" s="62">
        <v>0.0</v>
      </c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27.75" customHeight="1">
      <c r="A125" s="36" t="s">
        <v>265</v>
      </c>
      <c r="B125" s="62">
        <v>70.0</v>
      </c>
      <c r="C125" s="42">
        <f t="shared" si="1"/>
        <v>1</v>
      </c>
      <c r="D125" s="62">
        <v>2.0</v>
      </c>
      <c r="E125" s="44">
        <f t="shared" si="4"/>
        <v>2</v>
      </c>
      <c r="F125" s="54">
        <f t="shared" si="3"/>
        <v>0.02857142857</v>
      </c>
      <c r="G125" s="74" t="s">
        <v>20</v>
      </c>
      <c r="H125" s="74">
        <v>3.0</v>
      </c>
      <c r="I125" s="55" t="str">
        <f>HYPERLINK("https://in-cyprus.philenews.com/2nd-covid-19-death-reported-in-turkish-held-north/","Source")</f>
        <v>Source</v>
      </c>
      <c r="J125" s="63"/>
      <c r="K125" s="31"/>
      <c r="L125" s="62">
        <v>69.0</v>
      </c>
      <c r="M125" s="62">
        <v>0.0</v>
      </c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27.75" customHeight="1">
      <c r="A126" s="36" t="s">
        <v>194</v>
      </c>
      <c r="B126" s="62">
        <v>69.0</v>
      </c>
      <c r="C126" s="42">
        <f t="shared" si="1"/>
        <v>0</v>
      </c>
      <c r="D126" s="62">
        <v>3.0</v>
      </c>
      <c r="E126" s="44">
        <f t="shared" si="4"/>
        <v>0</v>
      </c>
      <c r="F126" s="39">
        <f t="shared" si="3"/>
        <v>0.04347826087</v>
      </c>
      <c r="G126" s="74" t="s">
        <v>20</v>
      </c>
      <c r="H126" s="74" t="s">
        <v>20</v>
      </c>
      <c r="I126" s="55" t="str">
        <f>HYPERLINK("https://twitter.com/MazzoleniJulio/status/1245163731698495490","Source")</f>
        <v>Source</v>
      </c>
      <c r="J126" s="72"/>
      <c r="K126" s="31"/>
      <c r="L126" s="62">
        <v>69.0</v>
      </c>
      <c r="M126" s="62">
        <v>3.0</v>
      </c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27.75" customHeight="1">
      <c r="A127" s="36" t="s">
        <v>266</v>
      </c>
      <c r="B127" s="62">
        <v>68.0</v>
      </c>
      <c r="C127" s="42">
        <f t="shared" si="1"/>
        <v>6</v>
      </c>
      <c r="D127" s="62">
        <v>0.0</v>
      </c>
      <c r="E127" s="44">
        <f t="shared" si="4"/>
        <v>0</v>
      </c>
      <c r="F127" s="39">
        <f t="shared" si="3"/>
        <v>0</v>
      </c>
      <c r="G127" s="74" t="s">
        <v>20</v>
      </c>
      <c r="H127" s="74" t="s">
        <v>20</v>
      </c>
      <c r="I127" s="55" t="str">
        <f>HYPERLINK("https://www.regierung.li/media/attachments/160-coronavirus-68-personen-positiv.pdf?t=637213478796485400","Source")</f>
        <v>Source</v>
      </c>
      <c r="J127" s="63"/>
      <c r="K127" s="31"/>
      <c r="L127" s="62">
        <v>62.0</v>
      </c>
      <c r="M127" s="62">
        <v>0.0</v>
      </c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30.0" customHeight="1">
      <c r="A128" s="36" t="s">
        <v>267</v>
      </c>
      <c r="B128" s="62">
        <v>68.0</v>
      </c>
      <c r="C128" s="42">
        <f t="shared" si="1"/>
        <v>8</v>
      </c>
      <c r="D128" s="62">
        <v>1.0</v>
      </c>
      <c r="E128" s="44">
        <f t="shared" si="4"/>
        <v>1</v>
      </c>
      <c r="F128" s="54">
        <f t="shared" si="3"/>
        <v>0.01470588235</v>
      </c>
      <c r="G128" s="74" t="s">
        <v>20</v>
      </c>
      <c r="H128" s="74" t="s">
        <v>20</v>
      </c>
      <c r="I128" s="55" t="str">
        <f>HYPERLINK("https://covid19.gov.im/general-information/latest-updates/","Source")</f>
        <v>Source</v>
      </c>
      <c r="J128" s="63"/>
      <c r="K128" s="31"/>
      <c r="L128" s="62">
        <v>60.0</v>
      </c>
      <c r="M128" s="62">
        <v>0.0</v>
      </c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30.0" customHeight="1">
      <c r="A129" s="36" t="s">
        <v>268</v>
      </c>
      <c r="B129" s="62">
        <v>55.0</v>
      </c>
      <c r="C129" s="42">
        <f t="shared" si="1"/>
        <v>0</v>
      </c>
      <c r="D129" s="62">
        <v>0.0</v>
      </c>
      <c r="E129" s="44">
        <f t="shared" si="4"/>
        <v>0</v>
      </c>
      <c r="F129" s="39">
        <f t="shared" si="3"/>
        <v>0</v>
      </c>
      <c r="G129" s="74" t="s">
        <v>20</v>
      </c>
      <c r="H129" s="74">
        <v>1.0</v>
      </c>
      <c r="I129" s="55" t="str">
        <f>HYPERLINK("https://www.arubacovid19.org/","Source")</f>
        <v>Source</v>
      </c>
      <c r="J129" s="72"/>
      <c r="K129" s="31"/>
      <c r="L129" s="62">
        <v>55.0</v>
      </c>
      <c r="M129" s="62">
        <v>0.0</v>
      </c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27.75" customHeight="1">
      <c r="A130" s="36" t="s">
        <v>269</v>
      </c>
      <c r="B130" s="62">
        <v>54.0</v>
      </c>
      <c r="C130" s="42">
        <f t="shared" si="1"/>
        <v>3</v>
      </c>
      <c r="D130" s="62">
        <v>6.0</v>
      </c>
      <c r="E130" s="44">
        <f t="shared" si="4"/>
        <v>1</v>
      </c>
      <c r="F130" s="54">
        <f t="shared" si="3"/>
        <v>0.1111111111</v>
      </c>
      <c r="G130" s="74" t="s">
        <v>20</v>
      </c>
      <c r="H130" s="74">
        <v>11.0</v>
      </c>
      <c r="I130" s="55" t="str">
        <f>HYPERLINK("https://www.thedailystar.net/coronavirus-update-in-bangladesh-1-more-dies-3-new-cases-confirmed-1888420","Source")</f>
        <v>Source</v>
      </c>
      <c r="J130" s="72"/>
      <c r="K130" s="31"/>
      <c r="L130" s="62">
        <v>51.0</v>
      </c>
      <c r="M130" s="62">
        <v>5.0</v>
      </c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30.0" customHeight="1">
      <c r="A131" s="36" t="s">
        <v>270</v>
      </c>
      <c r="B131" s="62">
        <v>52.0</v>
      </c>
      <c r="C131" s="42">
        <f t="shared" si="1"/>
        <v>6</v>
      </c>
      <c r="D131" s="62">
        <v>1.0</v>
      </c>
      <c r="E131" s="44">
        <f t="shared" si="4"/>
        <v>0</v>
      </c>
      <c r="F131" s="39">
        <f t="shared" si="3"/>
        <v>0.01923076923</v>
      </c>
      <c r="G131" s="74">
        <v>2.0</v>
      </c>
      <c r="H131" s="74">
        <v>2.0</v>
      </c>
      <c r="I131" s="55" t="str">
        <f>HYPERLINK("https://en.gouv.mc/Policy-Practice/Coronavirus-Covid-2019/Actualites/CORONAVIRUS-trois-nouveaux-cas-positifs-reveles-a-Monaco3","Source")</f>
        <v>Source</v>
      </c>
      <c r="J131" s="63"/>
      <c r="K131" s="31"/>
      <c r="L131" s="62">
        <v>46.0</v>
      </c>
      <c r="M131" s="62">
        <v>1.0</v>
      </c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30.0" customHeight="1">
      <c r="A132" s="36" t="s">
        <v>271</v>
      </c>
      <c r="B132" s="62">
        <v>50.0</v>
      </c>
      <c r="C132" s="42">
        <f t="shared" si="1"/>
        <v>4</v>
      </c>
      <c r="D132" s="62">
        <v>0.0</v>
      </c>
      <c r="E132" s="44">
        <f t="shared" si="4"/>
        <v>0</v>
      </c>
      <c r="F132" s="54">
        <f t="shared" si="3"/>
        <v>0</v>
      </c>
      <c r="G132" s="74">
        <v>1.0</v>
      </c>
      <c r="H132" s="74">
        <v>0.0</v>
      </c>
      <c r="I132" s="55" t="str">
        <f>HYPERLINK("https://www.madagascar-tribune.com/Le-bilan-commence-a-s-alourdir-avec-une-cinquantaine-de-cas-confirmes-hier.html","Source")</f>
        <v>Source</v>
      </c>
      <c r="J132" s="63"/>
      <c r="K132" s="31"/>
      <c r="L132" s="62">
        <v>46.0</v>
      </c>
      <c r="M132" s="62">
        <v>0.0</v>
      </c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30.0" customHeight="1">
      <c r="A133" s="36" t="s">
        <v>272</v>
      </c>
      <c r="B133" s="62">
        <v>44.0</v>
      </c>
      <c r="C133" s="42">
        <f t="shared" si="1"/>
        <v>0</v>
      </c>
      <c r="D133" s="62">
        <v>0.0</v>
      </c>
      <c r="E133" s="44">
        <f t="shared" si="4"/>
        <v>0</v>
      </c>
      <c r="F133" s="39">
        <f t="shared" si="3"/>
        <v>0</v>
      </c>
      <c r="G133" s="74" t="s">
        <v>20</v>
      </c>
      <c r="H133" s="74" t="s">
        <v>20</v>
      </c>
      <c r="I133" s="55" t="str">
        <f>HYPERLINK("https://covid19.gou.go.ug/","Source")</f>
        <v>Source</v>
      </c>
      <c r="J133" s="72"/>
      <c r="K133" s="31"/>
      <c r="L133" s="62">
        <v>44.0</v>
      </c>
      <c r="M133" s="62">
        <v>0.0</v>
      </c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30.0" customHeight="1">
      <c r="A134" s="36" t="s">
        <v>273</v>
      </c>
      <c r="B134" s="62">
        <v>41.0</v>
      </c>
      <c r="C134" s="42">
        <f t="shared" si="1"/>
        <v>3</v>
      </c>
      <c r="D134" s="62">
        <v>0.0</v>
      </c>
      <c r="E134" s="44">
        <f t="shared" si="4"/>
        <v>0</v>
      </c>
      <c r="F134" s="54">
        <f t="shared" si="3"/>
        <v>0</v>
      </c>
      <c r="G134" s="74" t="s">
        <v>20</v>
      </c>
      <c r="H134" s="74">
        <v>10.0</v>
      </c>
      <c r="I134" s="55" t="str">
        <f>HYPERLINK("https://www.ssm.gov.mo/docs/17774/17774_fadeeb5386fc4a4c805c00129fb23bf3_000.pdf","Source")</f>
        <v>Source</v>
      </c>
      <c r="J134" s="63"/>
      <c r="K134" s="31"/>
      <c r="L134" s="62">
        <v>38.0</v>
      </c>
      <c r="M134" s="62">
        <v>0.0</v>
      </c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27.75" customHeight="1">
      <c r="A135" s="36" t="s">
        <v>196</v>
      </c>
      <c r="B135" s="62">
        <v>39.0</v>
      </c>
      <c r="C135" s="42">
        <f t="shared" si="1"/>
        <v>1</v>
      </c>
      <c r="D135" s="62">
        <v>1.0</v>
      </c>
      <c r="E135" s="44">
        <f t="shared" si="4"/>
        <v>0</v>
      </c>
      <c r="F135" s="39">
        <f t="shared" si="3"/>
        <v>0.02564102564</v>
      </c>
      <c r="G135" s="74" t="s">
        <v>20</v>
      </c>
      <c r="H135" s="74">
        <v>12.0</v>
      </c>
      <c r="I135" s="55" t="str">
        <f>HYPERLINK("https://www.mspas.gob.gt/index.php/noticias/coronavirus-2019-ncov","Source")</f>
        <v>Source</v>
      </c>
      <c r="J135" s="63"/>
      <c r="K135" s="31"/>
      <c r="L135" s="62">
        <v>38.0</v>
      </c>
      <c r="M135" s="62">
        <v>1.0</v>
      </c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30.0" customHeight="1">
      <c r="A136" s="36" t="s">
        <v>274</v>
      </c>
      <c r="B136" s="62">
        <v>38.0</v>
      </c>
      <c r="C136" s="42">
        <f t="shared" si="1"/>
        <v>0</v>
      </c>
      <c r="D136" s="62">
        <v>1.0</v>
      </c>
      <c r="E136" s="44">
        <f t="shared" si="4"/>
        <v>0</v>
      </c>
      <c r="F136" s="54">
        <f t="shared" si="3"/>
        <v>0.02631578947</v>
      </c>
      <c r="G136" s="74" t="s">
        <v>20</v>
      </c>
      <c r="H136" s="74">
        <v>2.0</v>
      </c>
      <c r="I136" s="55" t="str">
        <f>HYPERLINK("https://twitter.com/themohwgovjm/status/1245179484187365379","Source")</f>
        <v>Source</v>
      </c>
      <c r="J136" s="72"/>
      <c r="K136" s="31"/>
      <c r="L136" s="62">
        <v>38.0</v>
      </c>
      <c r="M136" s="62">
        <v>1.0</v>
      </c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30.0" customHeight="1">
      <c r="A137" s="36" t="s">
        <v>275</v>
      </c>
      <c r="B137" s="62">
        <v>37.0</v>
      </c>
      <c r="C137" s="42">
        <f t="shared" si="1"/>
        <v>0</v>
      </c>
      <c r="D137" s="62">
        <v>0.0</v>
      </c>
      <c r="E137" s="44">
        <f t="shared" si="4"/>
        <v>0</v>
      </c>
      <c r="F137" s="39">
        <f t="shared" si="3"/>
        <v>0</v>
      </c>
      <c r="G137" s="74" t="s">
        <v>20</v>
      </c>
      <c r="H137" s="74" t="s">
        <v>20</v>
      </c>
      <c r="I137" s="55" t="str">
        <f>HYPERLINK("https://www.presidence.pf/coronavirus-situation-pour-la-polynesie-francaise-a-16h-6-2/","Source")</f>
        <v>Source</v>
      </c>
      <c r="J137" s="63"/>
      <c r="K137" s="31"/>
      <c r="L137" s="62">
        <v>37.0</v>
      </c>
      <c r="M137" s="62">
        <v>0.0</v>
      </c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27.75" customHeight="1">
      <c r="A138" s="36" t="s">
        <v>276</v>
      </c>
      <c r="B138" s="62">
        <v>36.0</v>
      </c>
      <c r="C138" s="42">
        <f t="shared" si="1"/>
        <v>2</v>
      </c>
      <c r="D138" s="62">
        <v>2.0</v>
      </c>
      <c r="E138" s="44">
        <f t="shared" si="4"/>
        <v>1</v>
      </c>
      <c r="F138" s="54">
        <f t="shared" si="3"/>
        <v>0.05555555556</v>
      </c>
      <c r="G138" s="74" t="s">
        <v>20</v>
      </c>
      <c r="H138" s="74">
        <v>10.0</v>
      </c>
      <c r="I138" s="55" t="str">
        <f>HYPERLINK("https://covid19.gouv.tg/","Source")</f>
        <v>Source</v>
      </c>
      <c r="J138" s="63"/>
      <c r="K138" s="31"/>
      <c r="L138" s="62">
        <v>34.0</v>
      </c>
      <c r="M138" s="62">
        <v>1.0</v>
      </c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30.0" customHeight="1">
      <c r="A139" s="36" t="s">
        <v>277</v>
      </c>
      <c r="B139" s="62">
        <v>36.0</v>
      </c>
      <c r="C139" s="42">
        <f t="shared" si="1"/>
        <v>1</v>
      </c>
      <c r="D139" s="62">
        <v>0.0</v>
      </c>
      <c r="E139" s="44">
        <f t="shared" si="4"/>
        <v>0</v>
      </c>
      <c r="F139" s="39">
        <f t="shared" si="3"/>
        <v>0</v>
      </c>
      <c r="G139" s="74" t="s">
        <v>20</v>
      </c>
      <c r="H139" s="74">
        <v>0.0</v>
      </c>
      <c r="I139" s="55" t="str">
        <f>HYPERLINK("https://www.facebook.com/EdgarChagwaLungu/posts/2970117273044478?__tn__=-R","Source")</f>
        <v>Source</v>
      </c>
      <c r="J139" s="63"/>
      <c r="K139" s="31"/>
      <c r="L139" s="62">
        <v>35.0</v>
      </c>
      <c r="M139" s="62">
        <v>0.0</v>
      </c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30.0" customHeight="1">
      <c r="A140" s="36" t="s">
        <v>278</v>
      </c>
      <c r="B140" s="62">
        <v>34.0</v>
      </c>
      <c r="C140" s="42">
        <f t="shared" si="1"/>
        <v>1</v>
      </c>
      <c r="D140" s="62">
        <v>0.0</v>
      </c>
      <c r="E140" s="44">
        <f t="shared" si="4"/>
        <v>0</v>
      </c>
      <c r="F140" s="39">
        <f t="shared" si="3"/>
        <v>0</v>
      </c>
      <c r="G140" s="74">
        <v>2.0</v>
      </c>
      <c r="H140" s="74">
        <v>0.0</v>
      </c>
      <c r="I140" s="55" t="str">
        <f>HYPERLINK("http://www.loopnewsbarbados.com/content/covid-19-34-cases-confirmed-island-march-302020","Source")</f>
        <v>Source</v>
      </c>
      <c r="J140" s="63"/>
      <c r="K140" s="31"/>
      <c r="L140" s="62">
        <v>33.0</v>
      </c>
      <c r="M140" s="62">
        <v>0.0</v>
      </c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30.0" customHeight="1">
      <c r="A141" s="36" t="s">
        <v>197</v>
      </c>
      <c r="B141" s="62">
        <v>32.0</v>
      </c>
      <c r="C141" s="42">
        <f t="shared" si="1"/>
        <v>2</v>
      </c>
      <c r="D141" s="62">
        <v>1.0</v>
      </c>
      <c r="E141" s="44">
        <f t="shared" si="4"/>
        <v>1</v>
      </c>
      <c r="F141" s="39">
        <f t="shared" si="3"/>
        <v>0.03125</v>
      </c>
      <c r="G141" s="74">
        <v>5.0</v>
      </c>
      <c r="H141" s="74" t="s">
        <v>20</v>
      </c>
      <c r="I141" s="55" t="str">
        <f>HYPERLINK("https://www.elsalvador.com/eldiariodehoy/coronavirus-primera-muerte-hospital-saldana-el-salvador/701682/2020/","Source")</f>
        <v>Source</v>
      </c>
      <c r="J141" s="63"/>
      <c r="K141" s="31"/>
      <c r="L141" s="62">
        <v>30.0</v>
      </c>
      <c r="M141" s="62">
        <v>0.0</v>
      </c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30.0" customHeight="1">
      <c r="A142" s="36" t="s">
        <v>279</v>
      </c>
      <c r="B142" s="62">
        <v>32.0</v>
      </c>
      <c r="C142" s="42">
        <f t="shared" si="1"/>
        <v>0</v>
      </c>
      <c r="D142" s="62">
        <v>0.0</v>
      </c>
      <c r="E142" s="44">
        <f t="shared" si="4"/>
        <v>0</v>
      </c>
      <c r="F142" s="39">
        <f t="shared" si="3"/>
        <v>0</v>
      </c>
      <c r="G142" s="74" t="s">
        <v>20</v>
      </c>
      <c r="H142" s="74">
        <v>10.0</v>
      </c>
      <c r="I142" s="55" t="str">
        <f>HYPERLINK("https://www.gov.bm/articles/covid-19-update-premier-david-burt-26-march-2020","Source")</f>
        <v>Source</v>
      </c>
      <c r="J142" s="72"/>
      <c r="K142" s="31"/>
      <c r="L142" s="62">
        <v>32.0</v>
      </c>
      <c r="M142" s="62">
        <v>0.0</v>
      </c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30.0" customHeight="1">
      <c r="A143" s="36" t="s">
        <v>280</v>
      </c>
      <c r="B143" s="62">
        <v>31.0</v>
      </c>
      <c r="C143" s="42">
        <f t="shared" si="1"/>
        <v>5</v>
      </c>
      <c r="D143" s="62">
        <v>3.0</v>
      </c>
      <c r="E143" s="44">
        <f t="shared" si="4"/>
        <v>1</v>
      </c>
      <c r="F143" s="54">
        <f t="shared" si="3"/>
        <v>0.09677419355</v>
      </c>
      <c r="G143" s="74" t="s">
        <v>20</v>
      </c>
      <c r="H143" s="74">
        <v>0.0</v>
      </c>
      <c r="I143" s="55" t="str">
        <f>HYPERLINK("https://www.maliweb.net/sante/covid-19-31-cas-confirmes-03-morts-au-mali-2865604.html","Source")</f>
        <v>Source</v>
      </c>
      <c r="J143" s="63"/>
      <c r="K143" s="31"/>
      <c r="L143" s="62">
        <v>26.0</v>
      </c>
      <c r="M143" s="62">
        <v>2.0</v>
      </c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30.0" customHeight="1">
      <c r="A144" s="36" t="s">
        <v>281</v>
      </c>
      <c r="B144" s="62">
        <v>31.0</v>
      </c>
      <c r="C144" s="42">
        <f t="shared" si="1"/>
        <v>5</v>
      </c>
      <c r="D144" s="62">
        <v>0.0</v>
      </c>
      <c r="E144" s="44">
        <f t="shared" si="4"/>
        <v>0</v>
      </c>
      <c r="F144" s="54">
        <f t="shared" si="3"/>
        <v>0</v>
      </c>
      <c r="G144" s="74">
        <v>0.0</v>
      </c>
      <c r="H144" s="74">
        <v>0.0</v>
      </c>
      <c r="I144" s="55" t="str">
        <f>HYPERLINK("https://www.facebook.com/minister.sante.dj/posts/2974967512542163?__xts__[0]=68.ARAR9Jx6BLHVAY4SwANIKhcxYa6rxZ29ouXwjIEIAo6ESNxuewXViNG4wkmR4ESAu8iYnQu732ukwv_bwbq-VK4ztsgGZNaGkzaPiU-Q4B9ubRBKrSm4grybnaXaigYXzW01dUs--e1Mby390_BMxibFPs0skJ0fd5BqcN2uyCqb6Ta"&amp;"T_yZ4lXTfJF3g58UZO4uN3JbDJxIXBw4j1E_Cn9AzRKKx6An557NgmvbnOaZi__afDSXLbo1vFvU1nSEUKEow7XbarOkfka_kw1aLBkgSvjx9fj8E_GTF_IL0sNwoN9fTzZ9dq_RpSsqQmkZEqqK9xoSJhZikdm6-bO7WDgJYMyyjkgr0lmb5iJn1LzG1M4AGHQ-EsgDRSjJnIHE5egQfgIiYGsq626Vmq5GlZHuZ3Rr0jXiYAVsuOkqpfZnCQH"&amp;"AjHwWNKsKjIe7ORuFeyV7ZZxZunF2dDJRQiPg4iUt0M_CBlwL-d5oVea0kYc997Izfw9cEefL9oA&amp;__tn__=-R","Source")</f>
        <v>Source</v>
      </c>
      <c r="J144" s="63"/>
      <c r="K144" s="31"/>
      <c r="L144" s="62">
        <v>26.0</v>
      </c>
      <c r="M144" s="62">
        <v>0.0</v>
      </c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30.0" customHeight="1">
      <c r="A145" s="36" t="s">
        <v>282</v>
      </c>
      <c r="B145" s="62">
        <v>30.0</v>
      </c>
      <c r="C145" s="42">
        <f t="shared" si="1"/>
        <v>8</v>
      </c>
      <c r="D145" s="62">
        <v>1.0</v>
      </c>
      <c r="E145" s="44">
        <f t="shared" si="4"/>
        <v>0</v>
      </c>
      <c r="F145" s="39">
        <f t="shared" si="3"/>
        <v>0.03333333333</v>
      </c>
      <c r="G145" s="74" t="s">
        <v>20</v>
      </c>
      <c r="H145" s="74">
        <v>1.0</v>
      </c>
      <c r="I145" s="55" t="str">
        <f>HYPERLINK("https://www.facebook.com/Sanitaire.net/photos/a.203541090096324/884414065342353/?type=3&amp;theater","Source")</f>
        <v>Source</v>
      </c>
      <c r="J145" s="63"/>
      <c r="K145" s="31"/>
      <c r="L145" s="62">
        <v>22.0</v>
      </c>
      <c r="M145" s="62">
        <v>1.0</v>
      </c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30.0" customHeight="1">
      <c r="A146" s="36" t="s">
        <v>283</v>
      </c>
      <c r="B146" s="62">
        <v>26.0</v>
      </c>
      <c r="C146" s="42">
        <f t="shared" si="1"/>
        <v>1</v>
      </c>
      <c r="D146" s="62">
        <v>0.0</v>
      </c>
      <c r="E146" s="44">
        <f t="shared" si="4"/>
        <v>0</v>
      </c>
      <c r="F146" s="54">
        <f t="shared" si="3"/>
        <v>0</v>
      </c>
      <c r="G146" s="74">
        <v>2.0</v>
      </c>
      <c r="H146" s="74">
        <v>2.0</v>
      </c>
      <c r="I146" s="55" t="str">
        <f>HYPERLINK("https://twitter.com/lia_tadesse/status/1245035159071723523","Source")</f>
        <v>Source</v>
      </c>
      <c r="J146" s="63"/>
      <c r="K146" s="31"/>
      <c r="L146" s="62">
        <v>25.0</v>
      </c>
      <c r="M146" s="62">
        <v>0.0</v>
      </c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30.0" customHeight="1">
      <c r="A147" s="36" t="s">
        <v>284</v>
      </c>
      <c r="B147" s="62">
        <v>21.0</v>
      </c>
      <c r="C147" s="42">
        <f t="shared" si="1"/>
        <v>7</v>
      </c>
      <c r="D147" s="62">
        <v>1.0</v>
      </c>
      <c r="E147" s="44">
        <f t="shared" si="4"/>
        <v>1</v>
      </c>
      <c r="F147" s="54">
        <f t="shared" si="3"/>
        <v>0.04761904762</v>
      </c>
      <c r="G147" s="74">
        <v>0.0</v>
      </c>
      <c r="H147" s="74">
        <v>1.0</v>
      </c>
      <c r="I147" s="55" t="str">
        <f>HYPERLINK("https://opm.gov.bs/press-conference-remarks-update-on-covid-19-1-april/","Source")</f>
        <v>Source</v>
      </c>
      <c r="J147" s="63"/>
      <c r="K147" s="31"/>
      <c r="L147" s="62">
        <v>14.0</v>
      </c>
      <c r="M147" s="62">
        <v>0.0</v>
      </c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30.0" customHeight="1">
      <c r="A148" s="36" t="s">
        <v>285</v>
      </c>
      <c r="B148" s="62">
        <v>20.0</v>
      </c>
      <c r="C148" s="42">
        <f t="shared" si="1"/>
        <v>0</v>
      </c>
      <c r="D148" s="62">
        <v>3.0</v>
      </c>
      <c r="E148" s="44">
        <f t="shared" si="4"/>
        <v>0</v>
      </c>
      <c r="F148" s="54">
        <f t="shared" si="3"/>
        <v>0.15</v>
      </c>
      <c r="G148" s="74" t="s">
        <v>20</v>
      </c>
      <c r="H148" s="74" t="s">
        <v>20</v>
      </c>
      <c r="I148" s="55" t="str">
        <f>HYPERLINK("https://pbs.twimg.com/media/EUcCECeWAAAlSsJ?format=jpg&amp;name=large","Source")</f>
        <v>Source</v>
      </c>
      <c r="J148" s="72"/>
      <c r="K148" s="31"/>
      <c r="L148" s="62">
        <v>20.0</v>
      </c>
      <c r="M148" s="62">
        <v>3.0</v>
      </c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30.0" customHeight="1">
      <c r="A149" s="36" t="s">
        <v>286</v>
      </c>
      <c r="B149" s="62">
        <v>19.0</v>
      </c>
      <c r="C149" s="42">
        <f t="shared" si="1"/>
        <v>0</v>
      </c>
      <c r="D149" s="62">
        <v>0.0</v>
      </c>
      <c r="E149" s="44">
        <f t="shared" si="4"/>
        <v>0</v>
      </c>
      <c r="F149" s="54">
        <f t="shared" si="3"/>
        <v>0</v>
      </c>
      <c r="G149" s="74" t="s">
        <v>20</v>
      </c>
      <c r="H149" s="74" t="s">
        <v>20</v>
      </c>
      <c r="I149" s="55" t="str">
        <f>HYPERLINK("https://pbs.twimg.com/media/EURl4NAWAAMe0Cd?format=jpg&amp;name=4096x4096","Source")</f>
        <v>Source</v>
      </c>
      <c r="J149" s="72"/>
      <c r="K149" s="31"/>
      <c r="L149" s="62">
        <v>19.0</v>
      </c>
      <c r="M149" s="62">
        <v>0.0</v>
      </c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30.0" customHeight="1">
      <c r="A150" s="36" t="s">
        <v>287</v>
      </c>
      <c r="B150" s="62">
        <v>19.0</v>
      </c>
      <c r="C150" s="42">
        <f t="shared" si="1"/>
        <v>0</v>
      </c>
      <c r="D150" s="62">
        <v>1.0</v>
      </c>
      <c r="E150" s="44">
        <f t="shared" si="4"/>
        <v>0</v>
      </c>
      <c r="F150" s="54">
        <f t="shared" si="3"/>
        <v>0.05263157895</v>
      </c>
      <c r="G150" s="74" t="s">
        <v>20</v>
      </c>
      <c r="H150" s="74">
        <v>1.0</v>
      </c>
      <c r="I150" s="55" t="str">
        <f>HYPERLINK("https://www.thecitizen.co.tz/news/Tanzania-records-first-Covid-19-death/1840340-5509582-e6v2lk/index.html","Source")</f>
        <v>Source</v>
      </c>
      <c r="J150" s="72"/>
      <c r="K150" s="31"/>
      <c r="L150" s="62">
        <v>19.0</v>
      </c>
      <c r="M150" s="62">
        <v>1.0</v>
      </c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27.75" customHeight="1">
      <c r="A151" s="36" t="s">
        <v>288</v>
      </c>
      <c r="B151" s="62">
        <v>19.0</v>
      </c>
      <c r="C151" s="42">
        <f t="shared" si="1"/>
        <v>1</v>
      </c>
      <c r="D151" s="62">
        <v>0.0</v>
      </c>
      <c r="E151" s="44">
        <f t="shared" si="4"/>
        <v>0</v>
      </c>
      <c r="F151" s="54">
        <f t="shared" si="3"/>
        <v>0</v>
      </c>
      <c r="G151" s="74" t="s">
        <v>20</v>
      </c>
      <c r="H151" s="74">
        <v>13.0</v>
      </c>
      <c r="I151" s="55" t="str">
        <f>HYPERLINK("https://covid19.health.gov.mv/en/","Source")</f>
        <v>Source</v>
      </c>
      <c r="J151" s="63"/>
      <c r="K151" s="31"/>
      <c r="L151" s="62">
        <v>18.0</v>
      </c>
      <c r="M151" s="62">
        <v>0.0</v>
      </c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30.0" customHeight="1">
      <c r="A152" s="36" t="s">
        <v>289</v>
      </c>
      <c r="B152" s="62">
        <v>18.0</v>
      </c>
      <c r="C152" s="42">
        <f t="shared" si="1"/>
        <v>11</v>
      </c>
      <c r="D152" s="62">
        <v>1.0</v>
      </c>
      <c r="E152" s="44">
        <f t="shared" si="4"/>
        <v>0</v>
      </c>
      <c r="F152" s="54">
        <f t="shared" si="3"/>
        <v>0.05555555556</v>
      </c>
      <c r="G152" s="74" t="s">
        <v>20</v>
      </c>
      <c r="H152" s="74" t="s">
        <v>20</v>
      </c>
      <c r="I152" s="55" t="str">
        <f>HYPERLINK("https://www.gabonreview.com/coronavirus-deja-18-personnes-infectees-au-gabon/","Source")</f>
        <v>Source</v>
      </c>
      <c r="J152" s="63"/>
      <c r="K152" s="31"/>
      <c r="L152" s="62">
        <v>7.0</v>
      </c>
      <c r="M152" s="62">
        <v>1.0</v>
      </c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30.0" customHeight="1">
      <c r="A153" s="36" t="s">
        <v>290</v>
      </c>
      <c r="B153" s="62">
        <v>16.0</v>
      </c>
      <c r="C153" s="42">
        <f t="shared" si="1"/>
        <v>10</v>
      </c>
      <c r="D153" s="62">
        <v>1.0</v>
      </c>
      <c r="E153" s="44">
        <f t="shared" si="4"/>
        <v>1</v>
      </c>
      <c r="F153" s="39">
        <f t="shared" si="3"/>
        <v>0.0625</v>
      </c>
      <c r="G153" s="74" t="s">
        <v>20</v>
      </c>
      <c r="H153" s="74">
        <v>0.0</v>
      </c>
      <c r="I153" s="55" t="str">
        <f>HYPERLINK("https://www.facebook.com/SXMGOV/videos/1164346547233270/?__tn__=kC-R&amp;eid=ARBEhFrQsT7cn9NoHbmQmi3YbLxCjPSPQ1TQpS1SDlfD7HTHchWqDaStuxD96CxkOK7CXr1pDbYI7Nzp&amp;hc_ref=ARTVb6AFW7gMZKo2HBC2-Unl_DOACnZWF2kQRLNpP3Q-y36CBKQCKaxphtsLEzS08PU&amp;fref=nf&amp;__xts__[0]=68.ARDN"&amp;"NQICovBCGYyxSt7ZOlVoSfv6xSsPbkKzgIyeIHq62tgrd7UCpZZFI4nJAxH5hQil1je2OyMayB8N_GCVAdlq6PfRfD7B1T_HXD1vOoc3CDwdgydgek_Fl3tyk-zSOkd3OiH78NAOCy34MQmr0F2ZY5Jntt7QbV_vK0cDo8CisazLEruMVt4UYHRapulF9TpfaWh2VMJFGWvGz_AyMIuuD7nBO70B0sIbLKxqC5UrYbpwfwGcA8X2AY3XDWeHdGe"&amp;"rJdoifwkpZkX9G8BtANaTtsAjwtOqulzBHYBog0Mt1yO2BeYKHh39Dr3Ah2Zm_zObi7J-SuqD5ZA9cxEX1kX9Qg","Source")</f>
        <v>Source</v>
      </c>
      <c r="J153" s="63"/>
      <c r="K153" s="31"/>
      <c r="L153" s="62">
        <v>6.0</v>
      </c>
      <c r="M153" s="62">
        <v>0.0</v>
      </c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30.0" customHeight="1">
      <c r="A154" s="36" t="s">
        <v>291</v>
      </c>
      <c r="B154" s="62">
        <v>16.0</v>
      </c>
      <c r="C154" s="42">
        <f t="shared" si="1"/>
        <v>1</v>
      </c>
      <c r="D154" s="62">
        <v>0.0</v>
      </c>
      <c r="E154" s="44">
        <f t="shared" si="4"/>
        <v>0</v>
      </c>
      <c r="F154" s="39">
        <f t="shared" si="3"/>
        <v>0</v>
      </c>
      <c r="G154" s="74" t="s">
        <v>20</v>
      </c>
      <c r="H154" s="74" t="s">
        <v>20</v>
      </c>
      <c r="I154" s="55" t="str">
        <f>HYPERLINK("https://twitter.com/MsppOfficiel/status/1245195710238281733","Source")</f>
        <v>Source</v>
      </c>
      <c r="J154" s="63"/>
      <c r="K154" s="31"/>
      <c r="L154" s="62">
        <v>15.0</v>
      </c>
      <c r="M154" s="62">
        <v>0.0</v>
      </c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30.0" customHeight="1">
      <c r="A155" s="36" t="s">
        <v>292</v>
      </c>
      <c r="B155" s="62">
        <v>16.0</v>
      </c>
      <c r="C155" s="42">
        <f t="shared" si="1"/>
        <v>1</v>
      </c>
      <c r="D155" s="62">
        <v>0.0</v>
      </c>
      <c r="E155" s="44">
        <f t="shared" si="4"/>
        <v>0</v>
      </c>
      <c r="F155" s="54">
        <f t="shared" si="3"/>
        <v>0</v>
      </c>
      <c r="G155" s="74" t="s">
        <v>20</v>
      </c>
      <c r="H155" s="74">
        <v>1.0</v>
      </c>
      <c r="I155" s="55" t="str">
        <f>HYPERLINK("https://gouv.nc/coronavirus","Source")</f>
        <v>Source</v>
      </c>
      <c r="J155" s="63"/>
      <c r="K155" s="31"/>
      <c r="L155" s="62">
        <v>15.0</v>
      </c>
      <c r="M155" s="62">
        <v>0.0</v>
      </c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30.0" customHeight="1">
      <c r="A156" s="36" t="s">
        <v>293</v>
      </c>
      <c r="B156" s="62">
        <v>15.0</v>
      </c>
      <c r="C156" s="42">
        <f t="shared" si="1"/>
        <v>1</v>
      </c>
      <c r="D156" s="62">
        <v>1.0</v>
      </c>
      <c r="E156" s="44">
        <f t="shared" si="4"/>
        <v>0</v>
      </c>
      <c r="F156" s="39">
        <f t="shared" si="3"/>
        <v>0.06666666667</v>
      </c>
      <c r="G156" s="74" t="s">
        <v>20</v>
      </c>
      <c r="H156" s="74">
        <v>0.0</v>
      </c>
      <c r="I156" s="55" t="str">
        <f>HYPERLINK("https://www.facebook.com/MinistryOfHealthAndSportsMyanmar/posts/3291164387579510?__xts__[0]=68.ARCt1CU8jFONyMNPg3j2afllf-DA4em5YSpw6RVTh-2NgdKgp_Upk6VY9bosyf16ZThxEJ_0utYfohtAkY2o96Q6Jjky4mmqCiTW0Xr6Pdxe1TLsSp8FGcPgUDpgYALvKIA9IDkIPYdPwkzoj75UXo8vRAKXyPh3"&amp;"RwlQb5PjLyGORn1y84TZb4jZX3HeZkkx7zc6-eNuQqyAZkYy0ZnQyvksjguIz5S9doi274PuOOcKpzegABuN7k3Q20LAOBcyOYz6x4dwos1ux3yPMALl8ye3A_0mN6DDosMwih3Pj2VM5GAFMywfAHMA-9t1lwkKeQQHfPlodolwx29stZ4hTsNFDA&amp;__tn__=-R","Source")</f>
        <v>Source</v>
      </c>
      <c r="J156" s="63"/>
      <c r="K156" s="31"/>
      <c r="L156" s="62">
        <v>14.0</v>
      </c>
      <c r="M156" s="62">
        <v>1.0</v>
      </c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30.0" customHeight="1">
      <c r="A157" s="36" t="s">
        <v>294</v>
      </c>
      <c r="B157" s="62">
        <v>15.0</v>
      </c>
      <c r="C157" s="42">
        <f t="shared" si="1"/>
        <v>3</v>
      </c>
      <c r="D157" s="62">
        <v>0.0</v>
      </c>
      <c r="E157" s="44">
        <f t="shared" si="4"/>
        <v>0</v>
      </c>
      <c r="F157" s="39">
        <f t="shared" si="3"/>
        <v>0</v>
      </c>
      <c r="G157" s="74" t="s">
        <v>20</v>
      </c>
      <c r="H157" s="74">
        <v>0.0</v>
      </c>
      <c r="I157" s="55" t="str">
        <f>HYPERLINK("https://www.africanews.com/2020/03/26/eritrea-s-coronavirus-rules-chinese-italians-iranians-to-be-quarantined/","Source")</f>
        <v>Source</v>
      </c>
      <c r="J157" s="63"/>
      <c r="K157" s="31"/>
      <c r="L157" s="62">
        <v>12.0</v>
      </c>
      <c r="M157" s="62">
        <v>0.0</v>
      </c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30.0" customHeight="1">
      <c r="A158" s="36" t="s">
        <v>295</v>
      </c>
      <c r="B158" s="62">
        <v>15.0</v>
      </c>
      <c r="C158" s="42">
        <f t="shared" si="1"/>
        <v>1</v>
      </c>
      <c r="D158" s="62">
        <v>0.0</v>
      </c>
      <c r="E158" s="44">
        <f t="shared" si="4"/>
        <v>0</v>
      </c>
      <c r="F158" s="39">
        <f t="shared" si="3"/>
        <v>0</v>
      </c>
      <c r="G158" s="74" t="s">
        <v>20</v>
      </c>
      <c r="H158" s="74" t="s">
        <v>20</v>
      </c>
      <c r="I158" s="55" t="str">
        <f>HYPERLINK("https://www.guineaecuatorialpress.com/noticia.php?id=15207","Source")</f>
        <v>Source</v>
      </c>
      <c r="J158" s="63"/>
      <c r="K158" s="31"/>
      <c r="L158" s="62">
        <v>14.0</v>
      </c>
      <c r="M158" s="62">
        <v>0.0</v>
      </c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30.0" customHeight="1">
      <c r="A159" s="36" t="s">
        <v>296</v>
      </c>
      <c r="B159" s="62">
        <v>14.0</v>
      </c>
      <c r="C159" s="42">
        <f t="shared" si="1"/>
        <v>0</v>
      </c>
      <c r="D159" s="62">
        <v>1.0</v>
      </c>
      <c r="E159" s="44">
        <f t="shared" si="4"/>
        <v>0</v>
      </c>
      <c r="F159" s="39">
        <f t="shared" si="3"/>
        <v>0.07142857143</v>
      </c>
      <c r="G159" s="74" t="s">
        <v>20</v>
      </c>
      <c r="H159" s="74" t="s">
        <v>20</v>
      </c>
      <c r="I159" s="55" t="str">
        <f>HYPERLINK("http://www.gov.ky/portal/page/portal/cighome/pressroom/archive/March%202020/31-march-covid-update","Source")</f>
        <v>Source</v>
      </c>
      <c r="J159" s="72"/>
      <c r="K159" s="31"/>
      <c r="L159" s="62">
        <v>14.0</v>
      </c>
      <c r="M159" s="62">
        <v>1.0</v>
      </c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30.0" customHeight="1">
      <c r="A160" s="36" t="s">
        <v>297</v>
      </c>
      <c r="B160" s="62">
        <v>14.0</v>
      </c>
      <c r="C160" s="42">
        <f t="shared" si="1"/>
        <v>2</v>
      </c>
      <c r="D160" s="62">
        <v>0.0</v>
      </c>
      <c r="E160" s="44">
        <f t="shared" si="4"/>
        <v>0</v>
      </c>
      <c r="F160" s="39">
        <f t="shared" si="3"/>
        <v>0</v>
      </c>
      <c r="G160" s="74" t="s">
        <v>20</v>
      </c>
      <c r="H160" s="74">
        <v>2.0</v>
      </c>
      <c r="I160" s="55" t="str">
        <f>HYPERLINK("https://montsame.mn/en/read/220720","Source")</f>
        <v>Source</v>
      </c>
      <c r="J160" s="63"/>
      <c r="K160" s="31"/>
      <c r="L160" s="62">
        <v>12.0</v>
      </c>
      <c r="M160" s="62">
        <v>0.0</v>
      </c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30.0" customHeight="1">
      <c r="A161" s="36" t="s">
        <v>298</v>
      </c>
      <c r="B161" s="62">
        <v>13.0</v>
      </c>
      <c r="C161" s="42">
        <f t="shared" si="1"/>
        <v>5</v>
      </c>
      <c r="D161" s="62">
        <v>0.0</v>
      </c>
      <c r="E161" s="44">
        <f t="shared" si="4"/>
        <v>0</v>
      </c>
      <c r="F161" s="54">
        <f t="shared" si="3"/>
        <v>0</v>
      </c>
      <c r="G161" s="74" t="s">
        <v>20</v>
      </c>
      <c r="H161" s="74">
        <v>1.0</v>
      </c>
      <c r="I161" s="55" t="str">
        <f>HYPERLINK("https://pbs.twimg.com/media/EUgyzjeWAAA36dw.jpg","Source")</f>
        <v>Source</v>
      </c>
      <c r="J161" s="63"/>
      <c r="K161" s="31"/>
      <c r="L161" s="62">
        <v>8.0</v>
      </c>
      <c r="M161" s="62">
        <v>0.0</v>
      </c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30.0" customHeight="1">
      <c r="A162" s="36" t="s">
        <v>299</v>
      </c>
      <c r="B162" s="62">
        <v>13.0</v>
      </c>
      <c r="C162" s="42">
        <f t="shared" si="1"/>
        <v>4</v>
      </c>
      <c r="D162" s="62">
        <v>0.0</v>
      </c>
      <c r="E162" s="44">
        <f t="shared" si="4"/>
        <v>0</v>
      </c>
      <c r="F162" s="39">
        <f t="shared" si="3"/>
        <v>0</v>
      </c>
      <c r="G162" s="74">
        <v>0.0</v>
      </c>
      <c r="H162" s="74">
        <v>1.0</v>
      </c>
      <c r="I162" s="55" t="str">
        <f>HYPERLINK("https://www.stlucianewsonline.com/saint-lucia-records-four-new-cases-of-covid-19/","Source")</f>
        <v>Source</v>
      </c>
      <c r="J162" s="63"/>
      <c r="K162" s="31"/>
      <c r="L162" s="62">
        <v>9.0</v>
      </c>
      <c r="M162" s="62">
        <v>0.0</v>
      </c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30.0" customHeight="1">
      <c r="A163" s="36" t="s">
        <v>300</v>
      </c>
      <c r="B163" s="62">
        <v>12.0</v>
      </c>
      <c r="C163" s="42">
        <f t="shared" si="1"/>
        <v>0</v>
      </c>
      <c r="D163" s="62">
        <v>2.0</v>
      </c>
      <c r="E163" s="44">
        <f t="shared" si="4"/>
        <v>0</v>
      </c>
      <c r="F163" s="54">
        <f t="shared" si="3"/>
        <v>0.1666666667</v>
      </c>
      <c r="G163" s="74">
        <v>0.0</v>
      </c>
      <c r="H163" s="74" t="s">
        <v>20</v>
      </c>
      <c r="I163" s="55" t="str">
        <f>HYPERLINK("https://dpi.gov.gy/covid19/","Source")</f>
        <v>Source</v>
      </c>
      <c r="J163" s="63"/>
      <c r="K163" s="31"/>
      <c r="L163" s="62">
        <v>12.0</v>
      </c>
      <c r="M163" s="62">
        <v>2.0</v>
      </c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30.0" customHeight="1">
      <c r="A164" s="36" t="s">
        <v>301</v>
      </c>
      <c r="B164" s="62">
        <v>11.0</v>
      </c>
      <c r="C164" s="42">
        <f t="shared" si="1"/>
        <v>0</v>
      </c>
      <c r="D164" s="62">
        <v>1.0</v>
      </c>
      <c r="E164" s="44">
        <f t="shared" si="4"/>
        <v>0</v>
      </c>
      <c r="F164" s="39">
        <f t="shared" si="3"/>
        <v>0.09090909091</v>
      </c>
      <c r="G164" s="74" t="s">
        <v>20</v>
      </c>
      <c r="H164" s="74">
        <v>3.0</v>
      </c>
      <c r="I164" s="55" t="str">
        <f>HYPERLINK("https://www.curacaochronicle.com/post/main/update-covid-19-145-tested-confirmed-cases-remain-at-11-3-are-now-safe/","Source")</f>
        <v>Source</v>
      </c>
      <c r="J164" s="63"/>
      <c r="K164" s="68" t="s">
        <v>34</v>
      </c>
      <c r="L164" s="62">
        <v>11.0</v>
      </c>
      <c r="M164" s="62">
        <v>1.0</v>
      </c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30.0" customHeight="1">
      <c r="A165" s="36" t="s">
        <v>302</v>
      </c>
      <c r="B165" s="62">
        <v>11.0</v>
      </c>
      <c r="C165" s="42">
        <f t="shared" si="1"/>
        <v>0</v>
      </c>
      <c r="D165" s="62">
        <v>0.0</v>
      </c>
      <c r="E165" s="44">
        <f t="shared" si="4"/>
        <v>0</v>
      </c>
      <c r="F165" s="54">
        <f t="shared" si="3"/>
        <v>0</v>
      </c>
      <c r="G165" s="74">
        <v>0.0</v>
      </c>
      <c r="H165" s="74">
        <v>0.0</v>
      </c>
      <c r="I165" s="55" t="str">
        <f>HYPERLINK("https://live.namibian.com.na/update-namibia-confirms-11-covid-19-infections/","Source")</f>
        <v>Source</v>
      </c>
      <c r="J165" s="72"/>
      <c r="K165" s="31"/>
      <c r="L165" s="62">
        <v>11.0</v>
      </c>
      <c r="M165" s="62">
        <v>0.0</v>
      </c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30.0" customHeight="1">
      <c r="A166" s="36" t="s">
        <v>303</v>
      </c>
      <c r="B166" s="62">
        <v>10.0</v>
      </c>
      <c r="C166" s="42">
        <f t="shared" si="1"/>
        <v>0</v>
      </c>
      <c r="D166" s="62">
        <v>2.0</v>
      </c>
      <c r="E166" s="44">
        <f t="shared" si="4"/>
        <v>0</v>
      </c>
      <c r="F166" s="39">
        <f t="shared" si="3"/>
        <v>0.2</v>
      </c>
      <c r="G166" s="74">
        <v>0.0</v>
      </c>
      <c r="H166" s="74">
        <v>0.0</v>
      </c>
      <c r="I166" s="55" t="str">
        <f>HYPERLINK("https://sana.sy/en/?p=189153","Source")</f>
        <v>Source</v>
      </c>
      <c r="J166" s="72"/>
      <c r="K166" s="31"/>
      <c r="L166" s="62">
        <v>10.0</v>
      </c>
      <c r="M166" s="62">
        <v>2.0</v>
      </c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30.0" customHeight="1">
      <c r="A167" s="36" t="s">
        <v>304</v>
      </c>
      <c r="B167" s="62">
        <v>10.0</v>
      </c>
      <c r="C167" s="42">
        <f t="shared" si="1"/>
        <v>0</v>
      </c>
      <c r="D167" s="62">
        <v>0.0</v>
      </c>
      <c r="E167" s="44">
        <f t="shared" si="4"/>
        <v>0</v>
      </c>
      <c r="F167" s="54">
        <f t="shared" si="3"/>
        <v>0</v>
      </c>
      <c r="G167" s="74" t="s">
        <v>20</v>
      </c>
      <c r="H167" s="74">
        <v>2.0</v>
      </c>
      <c r="I167" s="55" t="str">
        <f>HYPERLINK("https://nun.gl/Emner/Borgere/Coronavirus_emne/Foelg_smittespredningen?sc_lang=da","Source")</f>
        <v>Source</v>
      </c>
      <c r="J167" s="72"/>
      <c r="K167" s="31"/>
      <c r="L167" s="62">
        <v>10.0</v>
      </c>
      <c r="M167" s="62">
        <v>0.0</v>
      </c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30.0" customHeight="1">
      <c r="A168" s="36" t="s">
        <v>305</v>
      </c>
      <c r="B168" s="62">
        <v>10.0</v>
      </c>
      <c r="C168" s="42">
        <f t="shared" si="1"/>
        <v>0</v>
      </c>
      <c r="D168" s="62">
        <v>0.0</v>
      </c>
      <c r="E168" s="44">
        <f t="shared" si="4"/>
        <v>0</v>
      </c>
      <c r="F168" s="54">
        <f t="shared" si="3"/>
        <v>0</v>
      </c>
      <c r="G168" s="74">
        <v>1.0</v>
      </c>
      <c r="H168" s="74">
        <v>0.0</v>
      </c>
      <c r="I168" s="55" t="str">
        <f>HYPERLINK("http://www.health.gov.sc/index.php/2020/03/28/new-case-of-covid-19-detected/","Source")</f>
        <v>Source</v>
      </c>
      <c r="J168" s="72"/>
      <c r="K168" s="31"/>
      <c r="L168" s="62">
        <v>10.0</v>
      </c>
      <c r="M168" s="62">
        <v>0.0</v>
      </c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30.0" customHeight="1">
      <c r="A169" s="36" t="s">
        <v>306</v>
      </c>
      <c r="B169" s="62">
        <v>10.0</v>
      </c>
      <c r="C169" s="42">
        <f t="shared" si="1"/>
        <v>2</v>
      </c>
      <c r="D169" s="62">
        <v>0.0</v>
      </c>
      <c r="E169" s="44">
        <f t="shared" si="4"/>
        <v>0</v>
      </c>
      <c r="F169" s="39">
        <f t="shared" si="3"/>
        <v>0</v>
      </c>
      <c r="G169" s="74" t="s">
        <v>20</v>
      </c>
      <c r="H169" s="74">
        <v>0.0</v>
      </c>
      <c r="I169" s="55" t="str">
        <f>HYPERLINK("https://www.aa.com.tr/en/africa/covid-19-infections-in-war-torn-libya-rise-to-10-/1787520","Source")</f>
        <v>Source</v>
      </c>
      <c r="J169" s="63"/>
      <c r="K169" s="31"/>
      <c r="L169" s="62">
        <v>8.0</v>
      </c>
      <c r="M169" s="62">
        <v>0.0</v>
      </c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30.0" customHeight="1">
      <c r="A170" s="36" t="s">
        <v>307</v>
      </c>
      <c r="B170" s="62">
        <v>10.0</v>
      </c>
      <c r="C170" s="42">
        <f t="shared" si="1"/>
        <v>2</v>
      </c>
      <c r="D170" s="62">
        <v>0.0</v>
      </c>
      <c r="E170" s="44">
        <f t="shared" si="4"/>
        <v>0</v>
      </c>
      <c r="F170" s="39">
        <f t="shared" si="3"/>
        <v>0</v>
      </c>
      <c r="G170" s="74" t="s">
        <v>20</v>
      </c>
      <c r="H170" s="74" t="s">
        <v>20</v>
      </c>
      <c r="I170" s="55" t="str">
        <f>HYPERLINK("https://covid-19.sr/","Source")</f>
        <v>Source</v>
      </c>
      <c r="J170" s="63"/>
      <c r="K170" s="31"/>
      <c r="L170" s="62">
        <v>8.0</v>
      </c>
      <c r="M170" s="62">
        <v>0.0</v>
      </c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30.0" customHeight="1">
      <c r="A171" s="36" t="s">
        <v>308</v>
      </c>
      <c r="B171" s="62">
        <v>9.0</v>
      </c>
      <c r="C171" s="42">
        <f t="shared" si="1"/>
        <v>0</v>
      </c>
      <c r="D171" s="62">
        <v>0.0</v>
      </c>
      <c r="E171" s="44">
        <f t="shared" si="4"/>
        <v>0</v>
      </c>
      <c r="F171" s="39">
        <f t="shared" si="3"/>
        <v>0</v>
      </c>
      <c r="G171" s="74">
        <v>0.0</v>
      </c>
      <c r="H171" s="74">
        <v>1.0</v>
      </c>
      <c r="I171" s="55" t="str">
        <f>HYPERLINK("https://twitter.com/EswatiniGovern1/status/1245032304554229760","Source")</f>
        <v>Source</v>
      </c>
      <c r="J171" s="63"/>
      <c r="K171" s="31"/>
      <c r="L171" s="62">
        <v>9.0</v>
      </c>
      <c r="M171" s="62">
        <v>0.0</v>
      </c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30.0" customHeight="1">
      <c r="A172" s="36" t="s">
        <v>309</v>
      </c>
      <c r="B172" s="62">
        <v>9.0</v>
      </c>
      <c r="C172" s="42">
        <f t="shared" si="1"/>
        <v>0</v>
      </c>
      <c r="D172" s="62">
        <v>0.0</v>
      </c>
      <c r="E172" s="44">
        <f t="shared" si="4"/>
        <v>0</v>
      </c>
      <c r="F172" s="39">
        <f t="shared" si="3"/>
        <v>0</v>
      </c>
      <c r="G172" s="74">
        <v>1.0</v>
      </c>
      <c r="H172" s="74">
        <v>0.0</v>
      </c>
      <c r="I172" s="55" t="str">
        <f>HYPERLINK("https://covid19.gov.gd/","Source")</f>
        <v>Source</v>
      </c>
      <c r="J172" s="72"/>
      <c r="K172" s="31"/>
      <c r="L172" s="62">
        <v>9.0</v>
      </c>
      <c r="M172" s="62">
        <v>0.0</v>
      </c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30.0" customHeight="1">
      <c r="A173" s="36" t="s">
        <v>310</v>
      </c>
      <c r="B173" s="62">
        <v>9.0</v>
      </c>
      <c r="C173" s="42">
        <f t="shared" si="1"/>
        <v>0</v>
      </c>
      <c r="D173" s="62">
        <v>0.0</v>
      </c>
      <c r="E173" s="44">
        <f t="shared" si="4"/>
        <v>0</v>
      </c>
      <c r="F173" s="39">
        <f t="shared" si="3"/>
        <v>0</v>
      </c>
      <c r="G173" s="74" t="s">
        <v>20</v>
      </c>
      <c r="H173" s="74" t="s">
        <v>20</v>
      </c>
      <c r="I173" s="55" t="str">
        <f>HYPERLINK("https://twitter.com/WHOWPRO/status/1245191579565875200","Source")</f>
        <v>Source</v>
      </c>
      <c r="J173" s="72"/>
      <c r="K173" s="31"/>
      <c r="L173" s="62">
        <v>9.0</v>
      </c>
      <c r="M173" s="62">
        <v>0.0</v>
      </c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30.0" customHeight="1">
      <c r="A174" s="36" t="s">
        <v>311</v>
      </c>
      <c r="B174" s="62">
        <v>8.0</v>
      </c>
      <c r="C174" s="42">
        <f t="shared" si="1"/>
        <v>1</v>
      </c>
      <c r="D174" s="62">
        <v>1.0</v>
      </c>
      <c r="E174" s="44">
        <f t="shared" si="4"/>
        <v>0</v>
      </c>
      <c r="F174" s="54">
        <f t="shared" si="3"/>
        <v>0.125</v>
      </c>
      <c r="G174" s="74">
        <v>0.0</v>
      </c>
      <c r="H174" s="74">
        <v>0.0</v>
      </c>
      <c r="I174" s="55" t="str">
        <f>HYPERLINK("https://twitter.com/MoHCCZim/status/1245239810274603008","Source")</f>
        <v>Source</v>
      </c>
      <c r="J174" s="63"/>
      <c r="K174" s="31"/>
      <c r="L174" s="62">
        <v>7.0</v>
      </c>
      <c r="M174" s="62">
        <v>1.0</v>
      </c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30.0" customHeight="1">
      <c r="A175" s="36" t="s">
        <v>312</v>
      </c>
      <c r="B175" s="62">
        <v>8.0</v>
      </c>
      <c r="C175" s="42">
        <f t="shared" si="1"/>
        <v>0</v>
      </c>
      <c r="D175" s="62">
        <v>0.0</v>
      </c>
      <c r="E175" s="44">
        <f t="shared" si="4"/>
        <v>0</v>
      </c>
      <c r="F175" s="39">
        <f t="shared" si="3"/>
        <v>0</v>
      </c>
      <c r="G175" s="74" t="s">
        <v>20</v>
      </c>
      <c r="H175" s="74">
        <v>0.0</v>
      </c>
      <c r="I175" s="55" t="str">
        <f>HYPERLINK("https://pbs.twimg.com/media/EURl4NAWAAMe0Cd?format=jpg&amp;name=4096x4096","Source")</f>
        <v>Source</v>
      </c>
      <c r="J175" s="72"/>
      <c r="K175" s="31"/>
      <c r="L175" s="62">
        <v>8.0</v>
      </c>
      <c r="M175" s="62">
        <v>0.0</v>
      </c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30.0" customHeight="1">
      <c r="A176" s="36" t="s">
        <v>313</v>
      </c>
      <c r="B176" s="62">
        <v>8.0</v>
      </c>
      <c r="C176" s="42">
        <f t="shared" si="1"/>
        <v>6</v>
      </c>
      <c r="D176" s="62">
        <v>0.0</v>
      </c>
      <c r="E176" s="44">
        <f t="shared" si="4"/>
        <v>0</v>
      </c>
      <c r="F176" s="54">
        <f t="shared" si="3"/>
        <v>0</v>
      </c>
      <c r="G176" s="74" t="s">
        <v>20</v>
      </c>
      <c r="H176" s="74">
        <v>0.0</v>
      </c>
      <c r="I176" s="55" t="str">
        <f>HYPERLINK("https://menafn.com/1099942760/Total-of-confirmed-coronavirus-cases-8-in-Guinea-Bissau","Source")</f>
        <v>Source</v>
      </c>
      <c r="J176" s="63"/>
      <c r="K176" s="31"/>
      <c r="L176" s="62">
        <v>2.0</v>
      </c>
      <c r="M176" s="62">
        <v>0.0</v>
      </c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30.0" customHeight="1">
      <c r="A177" s="36" t="s">
        <v>314</v>
      </c>
      <c r="B177" s="62">
        <v>8.0</v>
      </c>
      <c r="C177" s="42">
        <f t="shared" si="1"/>
        <v>1</v>
      </c>
      <c r="D177" s="62">
        <v>0.0</v>
      </c>
      <c r="E177" s="44">
        <f t="shared" si="4"/>
        <v>0</v>
      </c>
      <c r="F177" s="54">
        <f t="shared" si="3"/>
        <v>0</v>
      </c>
      <c r="G177" s="74" t="s">
        <v>20</v>
      </c>
      <c r="H177" s="74">
        <v>0.0</v>
      </c>
      <c r="I177" s="55" t="str">
        <f>HYPERLINK("https://www.thestkittsnevisobserver.com/the-new-emergency-powers-covid-19-regulations-2020/","Source")</f>
        <v>Source</v>
      </c>
      <c r="J177" s="63"/>
      <c r="K177" s="31"/>
      <c r="L177" s="62">
        <v>7.0</v>
      </c>
      <c r="M177" s="62">
        <v>0.0</v>
      </c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30.0" customHeight="1">
      <c r="A178" s="36" t="s">
        <v>315</v>
      </c>
      <c r="B178" s="62">
        <v>7.0</v>
      </c>
      <c r="C178" s="42">
        <f t="shared" si="1"/>
        <v>0</v>
      </c>
      <c r="D178" s="62">
        <v>2.0</v>
      </c>
      <c r="E178" s="44">
        <f t="shared" si="4"/>
        <v>0</v>
      </c>
      <c r="F178" s="54">
        <f t="shared" si="3"/>
        <v>0.2857142857</v>
      </c>
      <c r="G178" s="74">
        <v>0.0</v>
      </c>
      <c r="H178" s="74">
        <v>0.0</v>
      </c>
      <c r="I178" s="55" t="str">
        <f>HYPERLINK("http://www.angop.ao/angola/en_us/noticias/saude/2020/3/14/COVID-Angola-without-new-cases-two-days,99065855-1730-4c25-b203-d5922082090c.html","Source")</f>
        <v>Source</v>
      </c>
      <c r="J178" s="72"/>
      <c r="K178" s="31"/>
      <c r="L178" s="62">
        <v>7.0</v>
      </c>
      <c r="M178" s="62">
        <v>2.0</v>
      </c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30.0" customHeight="1">
      <c r="A179" s="36" t="s">
        <v>316</v>
      </c>
      <c r="B179" s="62">
        <v>7.0</v>
      </c>
      <c r="C179" s="42">
        <f t="shared" si="1"/>
        <v>1</v>
      </c>
      <c r="D179" s="62">
        <v>2.0</v>
      </c>
      <c r="E179" s="44">
        <f t="shared" si="4"/>
        <v>0</v>
      </c>
      <c r="F179" s="39">
        <f t="shared" si="3"/>
        <v>0.2857142857</v>
      </c>
      <c r="G179" s="74" t="s">
        <v>20</v>
      </c>
      <c r="H179" s="74" t="s">
        <v>20</v>
      </c>
      <c r="I179" s="55" t="str">
        <f>HYPERLINK("https://www.suna-sd.net/ar/single?id=635763","Source")</f>
        <v>Source</v>
      </c>
      <c r="J179" s="63"/>
      <c r="K179" s="31"/>
      <c r="L179" s="62">
        <v>6.0</v>
      </c>
      <c r="M179" s="62">
        <v>2.0</v>
      </c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30.0" customHeight="1">
      <c r="A180" s="36" t="s">
        <v>317</v>
      </c>
      <c r="B180" s="62">
        <v>7.0</v>
      </c>
      <c r="C180" s="42">
        <f t="shared" si="1"/>
        <v>0</v>
      </c>
      <c r="D180" s="62">
        <v>0.0</v>
      </c>
      <c r="E180" s="44">
        <f t="shared" si="4"/>
        <v>0</v>
      </c>
      <c r="F180" s="54">
        <f t="shared" si="3"/>
        <v>0</v>
      </c>
      <c r="G180" s="74">
        <v>0.0</v>
      </c>
      <c r="H180" s="74">
        <v>0.0</v>
      </c>
      <c r="I180" s="55" t="str">
        <f>HYPERLINK("https://antiguaobserver.com/health-system-faces-being-overwhelmed-govt-warns/","Source")</f>
        <v>Source</v>
      </c>
      <c r="J180" s="72"/>
      <c r="K180" s="31"/>
      <c r="L180" s="62">
        <v>7.0</v>
      </c>
      <c r="M180" s="62">
        <v>0.0</v>
      </c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30.0" customHeight="1">
      <c r="A181" s="36" t="s">
        <v>318</v>
      </c>
      <c r="B181" s="62">
        <v>7.0</v>
      </c>
      <c r="C181" s="42">
        <f t="shared" si="1"/>
        <v>2</v>
      </c>
      <c r="D181" s="62">
        <v>0.0</v>
      </c>
      <c r="E181" s="44">
        <f t="shared" si="4"/>
        <v>0</v>
      </c>
      <c r="F181" s="54">
        <f t="shared" si="3"/>
        <v>0</v>
      </c>
      <c r="G181" s="74" t="s">
        <v>20</v>
      </c>
      <c r="H181" s="74" t="s">
        <v>20</v>
      </c>
      <c r="I181" s="55" t="str">
        <f>HYPERLINK("https://pbs.twimg.com/media/EUgyzjeWAAA36dw.jpg","Source")</f>
        <v>Source</v>
      </c>
      <c r="J181" s="63"/>
      <c r="K181" s="31"/>
      <c r="L181" s="62">
        <v>5.0</v>
      </c>
      <c r="M181" s="62">
        <v>0.0</v>
      </c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30.0" customHeight="1">
      <c r="A182" s="36" t="s">
        <v>319</v>
      </c>
      <c r="B182" s="62">
        <v>6.0</v>
      </c>
      <c r="C182" s="42">
        <v>0.0</v>
      </c>
      <c r="D182" s="62">
        <v>0.0</v>
      </c>
      <c r="E182" s="44">
        <f t="shared" si="4"/>
        <v>0</v>
      </c>
      <c r="F182" s="54">
        <f t="shared" si="3"/>
        <v>0</v>
      </c>
      <c r="G182" s="74" t="s">
        <v>20</v>
      </c>
      <c r="H182" s="74">
        <v>1.0</v>
      </c>
      <c r="I182" s="55" t="str">
        <f>HYPERLINK("https://www.journaldesaintbarth.com/actualites/sante/le-coronavirus-chez-nos-voisins-et-ailleurs-202003312049.html","Source")</f>
        <v>Source</v>
      </c>
      <c r="J182" s="72"/>
      <c r="K182" s="31"/>
      <c r="L182" s="62"/>
      <c r="M182" s="62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30.0" customHeight="1">
      <c r="A183" s="36" t="s">
        <v>320</v>
      </c>
      <c r="B183" s="62">
        <v>6.0</v>
      </c>
      <c r="C183" s="42">
        <f t="shared" ref="C183:C204" si="5">MINUS(B183,L183)</f>
        <v>0</v>
      </c>
      <c r="D183" s="62">
        <v>1.0</v>
      </c>
      <c r="E183" s="44">
        <f t="shared" si="4"/>
        <v>0</v>
      </c>
      <c r="F183" s="39">
        <f t="shared" si="3"/>
        <v>0.1666666667</v>
      </c>
      <c r="G183" s="74" t="s">
        <v>20</v>
      </c>
      <c r="H183" s="74" t="s">
        <v>20</v>
      </c>
      <c r="I183" s="55" t="str">
        <f>HYPERLINK("https://www.asemana.publ.cv/?Covid-19-Vao-aparecer-proximamente-mais-casos-importados-de-Cabo-Verde-noutros&amp;ak=1","Source")</f>
        <v>Source</v>
      </c>
      <c r="J183" s="72"/>
      <c r="K183" s="31"/>
      <c r="L183" s="62">
        <v>6.0</v>
      </c>
      <c r="M183" s="62">
        <v>1.0</v>
      </c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30.0" customHeight="1">
      <c r="A184" s="36" t="s">
        <v>321</v>
      </c>
      <c r="B184" s="62">
        <v>6.0</v>
      </c>
      <c r="C184" s="42">
        <f t="shared" si="5"/>
        <v>1</v>
      </c>
      <c r="D184" s="62">
        <v>1.0</v>
      </c>
      <c r="E184" s="44">
        <f t="shared" si="4"/>
        <v>1</v>
      </c>
      <c r="F184" s="54">
        <f t="shared" si="3"/>
        <v>0.1666666667</v>
      </c>
      <c r="G184" s="74">
        <v>0.0</v>
      </c>
      <c r="H184" s="74">
        <v>2.0</v>
      </c>
      <c r="I184" s="55" t="str">
        <f>HYPERLINK("http://www.sante.gov.mr/?p=3872","Source")</f>
        <v>Source</v>
      </c>
      <c r="J184" s="63"/>
      <c r="K184" s="31"/>
      <c r="L184" s="62">
        <v>5.0</v>
      </c>
      <c r="M184" s="62">
        <v>0.0</v>
      </c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30.0" customHeight="1">
      <c r="A185" s="36" t="s">
        <v>322</v>
      </c>
      <c r="B185" s="62">
        <v>6.0</v>
      </c>
      <c r="C185" s="42">
        <f t="shared" si="5"/>
        <v>0</v>
      </c>
      <c r="D185" s="62">
        <v>0.0</v>
      </c>
      <c r="E185" s="44">
        <f t="shared" si="4"/>
        <v>0</v>
      </c>
      <c r="F185" s="54">
        <f t="shared" si="3"/>
        <v>0</v>
      </c>
      <c r="G185" s="74" t="s">
        <v>20</v>
      </c>
      <c r="H185" s="74">
        <v>3.0</v>
      </c>
      <c r="I185" s="55" t="str">
        <f>HYPERLINK("https://pbs.twimg.com/media/EUgyzjeWAAA36dw.jpg","Source")</f>
        <v>Source</v>
      </c>
      <c r="J185" s="72"/>
      <c r="K185" s="31"/>
      <c r="L185" s="62">
        <v>6.0</v>
      </c>
      <c r="M185" s="62">
        <v>0.0</v>
      </c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27.75" customHeight="1">
      <c r="A186" s="36" t="s">
        <v>323</v>
      </c>
      <c r="B186" s="133">
        <v>6.0</v>
      </c>
      <c r="C186" s="134">
        <f t="shared" si="5"/>
        <v>0</v>
      </c>
      <c r="D186" s="135">
        <v>0.0</v>
      </c>
      <c r="E186" s="136">
        <f t="shared" si="4"/>
        <v>0</v>
      </c>
      <c r="F186" s="39">
        <f t="shared" si="3"/>
        <v>0</v>
      </c>
      <c r="G186" s="74" t="s">
        <v>20</v>
      </c>
      <c r="H186" s="74" t="s">
        <v>20</v>
      </c>
      <c r="I186" s="55" t="str">
        <f>HYPERLINK("https://www.ilmessaggero.it/vaticano/papa_francesco_santa_marta_vaticano_covid_19_coronavirus_contagio_positivi-5138763.html","Source")</f>
        <v>Source</v>
      </c>
      <c r="J186" s="72"/>
      <c r="K186" s="31"/>
      <c r="L186" s="133">
        <v>6.0</v>
      </c>
      <c r="M186" s="135">
        <v>0.0</v>
      </c>
      <c r="N186" s="30"/>
      <c r="O186" s="34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30.0" customHeight="1">
      <c r="A187" s="36" t="s">
        <v>324</v>
      </c>
      <c r="B187" s="62">
        <v>5.0</v>
      </c>
      <c r="C187" s="42">
        <f t="shared" si="5"/>
        <v>0</v>
      </c>
      <c r="D187" s="62">
        <v>0.0</v>
      </c>
      <c r="E187" s="44">
        <f t="shared" si="4"/>
        <v>0</v>
      </c>
      <c r="F187" s="54">
        <f t="shared" si="3"/>
        <v>0</v>
      </c>
      <c r="G187" s="74" t="s">
        <v>20</v>
      </c>
      <c r="H187" s="74">
        <v>0.0</v>
      </c>
      <c r="I187" s="55" t="str">
        <f>HYPERLINK("https://twitter.com/Nadokoulu/status/1242676427218026498","Source")</f>
        <v>Source</v>
      </c>
      <c r="J187" s="72"/>
      <c r="K187" s="31"/>
      <c r="L187" s="62">
        <v>5.0</v>
      </c>
      <c r="M187" s="62">
        <v>0.0</v>
      </c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30.0" customHeight="1">
      <c r="A188" s="36" t="s">
        <v>325</v>
      </c>
      <c r="B188" s="62">
        <v>5.0</v>
      </c>
      <c r="C188" s="42">
        <f t="shared" si="5"/>
        <v>0</v>
      </c>
      <c r="D188" s="62">
        <v>0.0</v>
      </c>
      <c r="E188" s="44">
        <f t="shared" si="4"/>
        <v>0</v>
      </c>
      <c r="F188" s="54">
        <f t="shared" si="3"/>
        <v>0</v>
      </c>
      <c r="G188" s="74" t="s">
        <v>20</v>
      </c>
      <c r="H188" s="74" t="s">
        <v>20</v>
      </c>
      <c r="I188" s="55" t="str">
        <f>HYPERLINK("http://www.gov.ms/statement-by-minister-of-health-social-services-hon-charles-t-kirnon/","Source")</f>
        <v>Source</v>
      </c>
      <c r="J188" s="72"/>
      <c r="K188" s="31"/>
      <c r="L188" s="62">
        <v>5.0</v>
      </c>
      <c r="M188" s="62">
        <v>0.0</v>
      </c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30.0" customHeight="1">
      <c r="A189" s="36" t="s">
        <v>326</v>
      </c>
      <c r="B189" s="62">
        <v>5.0</v>
      </c>
      <c r="C189" s="42">
        <f t="shared" si="5"/>
        <v>0</v>
      </c>
      <c r="D189" s="62">
        <v>0.0</v>
      </c>
      <c r="E189" s="44">
        <f t="shared" si="4"/>
        <v>0</v>
      </c>
      <c r="F189" s="54">
        <f t="shared" si="3"/>
        <v>0</v>
      </c>
      <c r="G189" s="74" t="s">
        <v>20</v>
      </c>
      <c r="H189" s="74">
        <v>1.0</v>
      </c>
      <c r="I189" s="55" t="str">
        <f>HYPERLINK("https://twitter.com/kathmandupost/status/1243851483063259136","Source")</f>
        <v>Source</v>
      </c>
      <c r="J189" s="72"/>
      <c r="K189" s="31"/>
      <c r="L189" s="62">
        <v>5.0</v>
      </c>
      <c r="M189" s="62">
        <v>0.0</v>
      </c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30.0" customHeight="1">
      <c r="A190" s="36" t="s">
        <v>327</v>
      </c>
      <c r="B190" s="62">
        <v>5.0</v>
      </c>
      <c r="C190" s="42">
        <f t="shared" si="5"/>
        <v>0</v>
      </c>
      <c r="D190" s="62">
        <v>0.0</v>
      </c>
      <c r="E190" s="44">
        <f t="shared" si="4"/>
        <v>0</v>
      </c>
      <c r="F190" s="54">
        <f t="shared" si="3"/>
        <v>0</v>
      </c>
      <c r="G190" s="74" t="s">
        <v>20</v>
      </c>
      <c r="H190" s="74">
        <v>0.0</v>
      </c>
      <c r="I190" s="55" t="str">
        <f>HYPERLINK("https://gov.tc/moh/coronavirus/covid-dashboard","Source")</f>
        <v>Source</v>
      </c>
      <c r="J190" s="72"/>
      <c r="K190" s="68" t="s">
        <v>34</v>
      </c>
      <c r="L190" s="62">
        <v>5.0</v>
      </c>
      <c r="M190" s="62">
        <v>0.0</v>
      </c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30.0" customHeight="1">
      <c r="A191" s="36" t="s">
        <v>328</v>
      </c>
      <c r="B191" s="62">
        <v>5.0</v>
      </c>
      <c r="C191" s="42">
        <f t="shared" si="5"/>
        <v>2</v>
      </c>
      <c r="D191" s="62">
        <v>0.0</v>
      </c>
      <c r="E191" s="44">
        <f t="shared" si="4"/>
        <v>0</v>
      </c>
      <c r="F191" s="39">
        <f t="shared" si="3"/>
        <v>0</v>
      </c>
      <c r="G191" s="74" t="s">
        <v>20</v>
      </c>
      <c r="H191" s="74" t="s">
        <v>20</v>
      </c>
      <c r="I191" s="55" t="str">
        <f>HYPERLINK("https://app.powerbi.com/view?r=eyJrIjoiN2ExNWI3ZGQtZDk3My00YzE2LWFjYmQtNGMwZjk0OWQ1MjFhIiwidCI6ImY2MTBjMGI3LWJkMjQtNGIzOS04MTBiLTNkYzI4MGFmYjU5MCIsImMiOjh9","Source")</f>
        <v>Source</v>
      </c>
      <c r="J191" s="63"/>
      <c r="K191" s="31"/>
      <c r="L191" s="62">
        <v>3.0</v>
      </c>
      <c r="M191" s="62">
        <v>0.0</v>
      </c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30.0" customHeight="1">
      <c r="A192" s="36" t="s">
        <v>198</v>
      </c>
      <c r="B192" s="62">
        <v>5.0</v>
      </c>
      <c r="C192" s="42">
        <f t="shared" si="5"/>
        <v>1</v>
      </c>
      <c r="D192" s="62">
        <v>1.0</v>
      </c>
      <c r="E192" s="44">
        <f t="shared" si="4"/>
        <v>0</v>
      </c>
      <c r="F192" s="39">
        <f t="shared" si="3"/>
        <v>0.2</v>
      </c>
      <c r="G192" s="74">
        <v>0.0</v>
      </c>
      <c r="H192" s="74">
        <v>1.0</v>
      </c>
      <c r="I192" s="55" t="str">
        <f>HYPERLINK("https://www.laprensa.com.ni/2020/03/31/nacionales/2657516-nicaragua-reporta-quinto-caso-positivo-de-covid-19","Source")</f>
        <v>Source</v>
      </c>
      <c r="J192" s="63"/>
      <c r="K192" s="31"/>
      <c r="L192" s="62">
        <v>4.0</v>
      </c>
      <c r="M192" s="62">
        <v>1.0</v>
      </c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30.0" customHeight="1">
      <c r="A193" s="36" t="s">
        <v>329</v>
      </c>
      <c r="B193" s="62">
        <v>4.0</v>
      </c>
      <c r="C193" s="42">
        <f t="shared" si="5"/>
        <v>0</v>
      </c>
      <c r="D193" s="62">
        <v>1.0</v>
      </c>
      <c r="E193" s="44">
        <f t="shared" si="4"/>
        <v>0</v>
      </c>
      <c r="F193" s="39">
        <f t="shared" si="3"/>
        <v>0.25</v>
      </c>
      <c r="G193" s="74" t="s">
        <v>20</v>
      </c>
      <c r="H193" s="74" t="s">
        <v>20</v>
      </c>
      <c r="I193" s="55" t="str">
        <f>HYPERLINK("https://twitter.com/MohGambia/status/1243253543001350145","Source")</f>
        <v>Source</v>
      </c>
      <c r="J193" s="72"/>
      <c r="K193" s="68" t="s">
        <v>34</v>
      </c>
      <c r="L193" s="62">
        <v>4.0</v>
      </c>
      <c r="M193" s="62">
        <v>1.0</v>
      </c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27.75" customHeight="1">
      <c r="A194" s="36" t="s">
        <v>330</v>
      </c>
      <c r="B194" s="62">
        <v>4.0</v>
      </c>
      <c r="C194" s="134">
        <f t="shared" si="5"/>
        <v>0</v>
      </c>
      <c r="D194" s="62">
        <v>0.0</v>
      </c>
      <c r="E194" s="44">
        <f t="shared" si="4"/>
        <v>0</v>
      </c>
      <c r="F194" s="54">
        <f t="shared" si="3"/>
        <v>0</v>
      </c>
      <c r="G194" s="74" t="s">
        <v>20</v>
      </c>
      <c r="H194" s="74" t="s">
        <v>20</v>
      </c>
      <c r="I194" s="55" t="str">
        <f>HYPERLINK("http://www.moh.gov.bt/national-situational-update-on-covid-19-2/","Source")</f>
        <v>Source</v>
      </c>
      <c r="J194" s="72"/>
      <c r="K194" s="31"/>
      <c r="L194" s="62">
        <v>4.0</v>
      </c>
      <c r="M194" s="62">
        <v>0.0</v>
      </c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30.0" customHeight="1">
      <c r="A195" s="36" t="s">
        <v>331</v>
      </c>
      <c r="B195" s="62">
        <v>3.0</v>
      </c>
      <c r="C195" s="42">
        <f t="shared" si="5"/>
        <v>0</v>
      </c>
      <c r="D195" s="62">
        <v>0.0</v>
      </c>
      <c r="E195" s="44">
        <f t="shared" si="4"/>
        <v>0</v>
      </c>
      <c r="F195" s="39">
        <f t="shared" si="3"/>
        <v>0</v>
      </c>
      <c r="G195" s="74" t="s">
        <v>20</v>
      </c>
      <c r="H195" s="74" t="s">
        <v>20</v>
      </c>
      <c r="I195" s="55" t="str">
        <f>HYPERLINK("https://pbs.twimg.com/media/ETyT5dFXsAUzuj3?format=jpg&amp;name=large","Source")</f>
        <v>Source</v>
      </c>
      <c r="J195" s="72"/>
      <c r="K195" s="31"/>
      <c r="L195" s="62">
        <v>3.0</v>
      </c>
      <c r="M195" s="62">
        <v>0.0</v>
      </c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30.0" customHeight="1">
      <c r="A196" s="36" t="s">
        <v>332</v>
      </c>
      <c r="B196" s="62">
        <v>3.0</v>
      </c>
      <c r="C196" s="42">
        <f t="shared" si="5"/>
        <v>0</v>
      </c>
      <c r="D196" s="62">
        <v>0.0</v>
      </c>
      <c r="E196" s="44">
        <f t="shared" si="4"/>
        <v>0</v>
      </c>
      <c r="F196" s="39">
        <f t="shared" si="3"/>
        <v>0</v>
      </c>
      <c r="G196" s="74" t="s">
        <v>20</v>
      </c>
      <c r="H196" s="74">
        <v>0.0</v>
      </c>
      <c r="I196" s="55" t="str">
        <f>HYPERLINK("https://www.breakingbelizenews.com/2020/03/29/minister-of-health-confirms-third-covid-19-case-is-in-belize-city-and-imported-from-new-york/","Source")</f>
        <v>Source</v>
      </c>
      <c r="J196" s="72"/>
      <c r="K196" s="31"/>
      <c r="L196" s="62">
        <v>3.0</v>
      </c>
      <c r="M196" s="62">
        <v>0.0</v>
      </c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30.0" customHeight="1">
      <c r="A197" s="36" t="s">
        <v>333</v>
      </c>
      <c r="B197" s="62">
        <v>3.0</v>
      </c>
      <c r="C197" s="42">
        <f t="shared" si="5"/>
        <v>1</v>
      </c>
      <c r="D197" s="62">
        <v>0.0</v>
      </c>
      <c r="E197" s="44">
        <f t="shared" si="4"/>
        <v>0</v>
      </c>
      <c r="F197" s="39">
        <f t="shared" si="3"/>
        <v>0</v>
      </c>
      <c r="G197" s="74" t="s">
        <v>20</v>
      </c>
      <c r="H197" s="74">
        <v>0.0</v>
      </c>
      <c r="I197" s="55" t="str">
        <f>HYPERLINK("https://bvi.gov.vg/media-centre/ministerio-de-salud-y-desarrollo-social-honorable-carvin-malone-enfermedad-del","Source")</f>
        <v>Source</v>
      </c>
      <c r="J197" s="63"/>
      <c r="K197" s="31"/>
      <c r="L197" s="62">
        <v>2.0</v>
      </c>
      <c r="M197" s="62">
        <v>0.0</v>
      </c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30.0" customHeight="1">
      <c r="A198" s="36" t="s">
        <v>334</v>
      </c>
      <c r="B198" s="62">
        <v>2.0</v>
      </c>
      <c r="C198" s="42">
        <f t="shared" si="5"/>
        <v>2</v>
      </c>
      <c r="D198" s="62">
        <v>0.0</v>
      </c>
      <c r="E198" s="44">
        <f t="shared" si="4"/>
        <v>0</v>
      </c>
      <c r="F198" s="39">
        <f t="shared" si="3"/>
        <v>0</v>
      </c>
      <c r="G198" s="74" t="s">
        <v>20</v>
      </c>
      <c r="H198" s="74" t="s">
        <v>20</v>
      </c>
      <c r="I198" s="55" t="str">
        <f>HYPERLINK("https://www.aa.com.tr/en/africa/burundi-confirms-first-2-covid-19-cases/1787083","Source")</f>
        <v>Source</v>
      </c>
      <c r="J198" s="72"/>
      <c r="K198" s="31"/>
      <c r="L198" s="62"/>
      <c r="M198" s="62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30.0" customHeight="1">
      <c r="A199" s="36" t="s">
        <v>335</v>
      </c>
      <c r="B199" s="62">
        <v>2.0</v>
      </c>
      <c r="C199" s="42">
        <f t="shared" si="5"/>
        <v>2</v>
      </c>
      <c r="D199" s="62">
        <v>0.0</v>
      </c>
      <c r="E199" s="44">
        <f t="shared" si="4"/>
        <v>0</v>
      </c>
      <c r="F199" s="39">
        <f t="shared" si="3"/>
        <v>0</v>
      </c>
      <c r="G199" s="74" t="s">
        <v>20</v>
      </c>
      <c r="H199" s="74" t="s">
        <v>20</v>
      </c>
      <c r="I199" s="55" t="str">
        <f>HYPERLINK("https://beatcovid19.ai/","Source")</f>
        <v>Source</v>
      </c>
      <c r="J199" s="72"/>
      <c r="K199" s="31"/>
      <c r="L199" s="62"/>
      <c r="M199" s="62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30.0" customHeight="1">
      <c r="A200" s="36" t="s">
        <v>336</v>
      </c>
      <c r="B200" s="62">
        <v>1.0</v>
      </c>
      <c r="C200" s="42">
        <f t="shared" si="5"/>
        <v>0</v>
      </c>
      <c r="D200" s="62">
        <v>0.0</v>
      </c>
      <c r="E200" s="44">
        <f t="shared" si="4"/>
        <v>0</v>
      </c>
      <c r="F200" s="39">
        <f t="shared" si="3"/>
        <v>0</v>
      </c>
      <c r="G200" s="74" t="s">
        <v>20</v>
      </c>
      <c r="H200" s="74" t="s">
        <v>20</v>
      </c>
      <c r="I200" s="55" t="str">
        <f>HYPERLINK("https://www.reuters.com/article/us-health-coronavirus-leone/sierra-leone-has-confirmed-its-first-case-of-coronavirus-president-says-idUSKBN21I1MY","Source")</f>
        <v>Source</v>
      </c>
      <c r="J200" s="72"/>
      <c r="K200" s="31"/>
      <c r="L200" s="62">
        <v>1.0</v>
      </c>
      <c r="M200" s="62">
        <v>0.0</v>
      </c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30.0" customHeight="1">
      <c r="A201" s="36" t="s">
        <v>337</v>
      </c>
      <c r="B201" s="62">
        <v>1.0</v>
      </c>
      <c r="C201" s="42">
        <f t="shared" si="5"/>
        <v>0</v>
      </c>
      <c r="D201" s="62">
        <v>0.0</v>
      </c>
      <c r="E201" s="44">
        <f t="shared" si="4"/>
        <v>0</v>
      </c>
      <c r="F201" s="54">
        <f t="shared" si="3"/>
        <v>0</v>
      </c>
      <c r="G201" s="74" t="s">
        <v>20</v>
      </c>
      <c r="H201" s="74" t="s">
        <v>20</v>
      </c>
      <c r="I201" s="55" t="str">
        <f>HYPERLINK("https://asiapacificreport.nz/2020/03/22/timor-leste-health-ministry-urges-calm-over-first-positive-covid-19-case/","Source")</f>
        <v>Source</v>
      </c>
      <c r="J201" s="72"/>
      <c r="K201" s="31"/>
      <c r="L201" s="62">
        <v>1.0</v>
      </c>
      <c r="M201" s="62">
        <v>0.0</v>
      </c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30.0" customHeight="1">
      <c r="A202" s="36" t="s">
        <v>338</v>
      </c>
      <c r="B202" s="62">
        <v>1.0</v>
      </c>
      <c r="C202" s="42">
        <f t="shared" si="5"/>
        <v>0</v>
      </c>
      <c r="D202" s="62">
        <v>0.0</v>
      </c>
      <c r="E202" s="44">
        <f t="shared" si="4"/>
        <v>0</v>
      </c>
      <c r="F202" s="54">
        <f t="shared" si="3"/>
        <v>0</v>
      </c>
      <c r="G202" s="74" t="s">
        <v>20</v>
      </c>
      <c r="H202" s="74">
        <v>0.0</v>
      </c>
      <c r="I202" s="55" t="str">
        <f>HYPERLINK("https://postcourier.com.pg/passenger-who-came-in-contact-with-covid-19-patient-is-doing-well/","Source")</f>
        <v>Source</v>
      </c>
      <c r="J202" s="72"/>
      <c r="K202" s="31"/>
      <c r="L202" s="62">
        <v>1.0</v>
      </c>
      <c r="M202" s="62">
        <v>0.0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30.0" customHeight="1">
      <c r="A203" s="36" t="s">
        <v>339</v>
      </c>
      <c r="B203" s="62">
        <v>1.0</v>
      </c>
      <c r="C203" s="42">
        <f t="shared" si="5"/>
        <v>0</v>
      </c>
      <c r="D203" s="62">
        <v>0.0</v>
      </c>
      <c r="E203" s="44">
        <f t="shared" si="4"/>
        <v>0</v>
      </c>
      <c r="F203" s="39">
        <f t="shared" si="3"/>
        <v>0</v>
      </c>
      <c r="G203" s="74" t="s">
        <v>20</v>
      </c>
      <c r="H203" s="74" t="s">
        <v>20</v>
      </c>
      <c r="I203" s="55" t="str">
        <f>HYPERLINK("http://health.gov.vc/health/index.php/c/832-mission-critical-in-fight-against-covid-19","Source")</f>
        <v>Source</v>
      </c>
      <c r="J203" s="72"/>
      <c r="K203" s="31"/>
      <c r="L203" s="62">
        <v>1.0</v>
      </c>
      <c r="M203" s="62">
        <v>0.0</v>
      </c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2.75" customHeight="1">
      <c r="A204" s="137" t="s">
        <v>182</v>
      </c>
      <c r="B204" s="138"/>
      <c r="C204" s="139">
        <f t="shared" si="5"/>
        <v>0</v>
      </c>
      <c r="D204" s="138"/>
      <c r="E204" s="140">
        <f t="shared" si="4"/>
        <v>0</v>
      </c>
      <c r="F204" s="141"/>
      <c r="G204" s="141"/>
      <c r="H204" s="141"/>
      <c r="I204" s="142"/>
      <c r="J204" s="143"/>
      <c r="K204" s="144"/>
      <c r="L204" s="138"/>
      <c r="M204" s="138"/>
      <c r="N204" s="121"/>
      <c r="O204" s="138">
        <v>5852.0</v>
      </c>
      <c r="P204" s="138">
        <v>120.0</v>
      </c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ht="30.0" customHeight="1">
      <c r="A205" s="145" t="s">
        <v>51</v>
      </c>
      <c r="B205" s="146">
        <f>sum(B7:B204, O204)</f>
        <v>939181</v>
      </c>
      <c r="C205" s="147">
        <f>SUM(C7:C204)</f>
        <v>78215</v>
      </c>
      <c r="D205" s="148">
        <f>sum(D7:D204, P204)</f>
        <v>47118</v>
      </c>
      <c r="E205" s="149">
        <f>SUM(E7:E204)</f>
        <v>4884</v>
      </c>
      <c r="F205" s="150">
        <f>DIVIDE(D205, B205)</f>
        <v>0.0501692432</v>
      </c>
      <c r="G205" s="151">
        <f t="shared" ref="G205:H205" si="6">sum(G7:G203)</f>
        <v>31627</v>
      </c>
      <c r="H205" s="152">
        <f t="shared" si="6"/>
        <v>190816</v>
      </c>
      <c r="I205" s="153"/>
      <c r="J205" s="30"/>
      <c r="K205" s="31"/>
      <c r="L205" s="146">
        <f>sum(L7:L204, Y204)</f>
        <v>855108</v>
      </c>
      <c r="M205" s="154">
        <f>sum(M7:M204, Y204)</f>
        <v>42133</v>
      </c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30.0" customHeight="1">
      <c r="A206" s="155"/>
      <c r="B206" s="156" t="s">
        <v>7</v>
      </c>
      <c r="C206" s="157" t="s">
        <v>9</v>
      </c>
      <c r="D206" s="158" t="s">
        <v>10</v>
      </c>
      <c r="E206" s="159" t="s">
        <v>11</v>
      </c>
      <c r="F206" s="159" t="s">
        <v>202</v>
      </c>
      <c r="G206" s="160" t="s">
        <v>13</v>
      </c>
      <c r="H206" s="161" t="s">
        <v>14</v>
      </c>
      <c r="I206" s="156"/>
      <c r="J206" s="90"/>
      <c r="K206" s="162"/>
      <c r="L206" s="156" t="s">
        <v>7</v>
      </c>
      <c r="M206" s="158" t="s">
        <v>10</v>
      </c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</cols>
  <sheetData>
    <row r="1" ht="27.75" customHeight="1">
      <c r="A1" s="1" t="s">
        <v>0</v>
      </c>
      <c r="I1" s="1"/>
      <c r="J1" s="5"/>
      <c r="K1" s="5"/>
    </row>
    <row r="2">
      <c r="A2" s="4" t="s">
        <v>1</v>
      </c>
      <c r="B2" s="4" t="s">
        <v>2</v>
      </c>
      <c r="C2" s="6" t="s">
        <v>3</v>
      </c>
      <c r="D2" s="4"/>
      <c r="E2" s="8" t="s">
        <v>4</v>
      </c>
      <c r="H2" s="7"/>
      <c r="I2" s="9"/>
      <c r="J2" s="5"/>
      <c r="K2" s="5"/>
      <c r="L2" s="4" t="s">
        <v>2</v>
      </c>
      <c r="M2" s="4"/>
    </row>
    <row r="3">
      <c r="A3" s="13">
        <f>SUM(B66, B68)</f>
        <v>213713</v>
      </c>
      <c r="B3" s="13">
        <f>SUM(D66, D68)</f>
        <v>5005</v>
      </c>
      <c r="C3" s="14">
        <f>SUM(H66, H68)</f>
        <v>7637</v>
      </c>
      <c r="D3" s="13"/>
      <c r="E3" s="16">
        <f>MINUS(A3,B3 + C3)</f>
        <v>201071</v>
      </c>
      <c r="F3" s="16"/>
      <c r="G3" s="6"/>
      <c r="H3" s="7"/>
      <c r="I3" s="9"/>
      <c r="J3" s="5"/>
      <c r="K3" s="5"/>
      <c r="L3" s="13">
        <f>SUM(N66, N68)</f>
        <v>0</v>
      </c>
      <c r="M3" s="13"/>
    </row>
    <row r="4">
      <c r="A4" s="17"/>
      <c r="B4" s="9"/>
      <c r="C4" s="9"/>
      <c r="D4" s="9"/>
      <c r="E4" s="9"/>
      <c r="F4" s="7"/>
      <c r="G4" s="7"/>
      <c r="H4" s="7"/>
      <c r="I4" s="9"/>
      <c r="J4" s="5"/>
      <c r="K4" s="5"/>
      <c r="L4" s="9"/>
      <c r="M4" s="9"/>
    </row>
    <row r="5" ht="30.0" customHeight="1">
      <c r="A5" s="20" t="s">
        <v>5</v>
      </c>
      <c r="B5" s="21" t="s">
        <v>7</v>
      </c>
      <c r="C5" s="24" t="s">
        <v>9</v>
      </c>
      <c r="D5" s="21" t="s">
        <v>10</v>
      </c>
      <c r="E5" s="25" t="s">
        <v>11</v>
      </c>
      <c r="F5" s="25" t="s">
        <v>12</v>
      </c>
      <c r="G5" s="26" t="s">
        <v>13</v>
      </c>
      <c r="H5" s="26" t="s">
        <v>14</v>
      </c>
      <c r="I5" s="21" t="s">
        <v>15</v>
      </c>
      <c r="J5" s="27"/>
      <c r="K5" s="27"/>
      <c r="L5" s="21" t="s">
        <v>7</v>
      </c>
      <c r="M5" s="21" t="s">
        <v>10</v>
      </c>
    </row>
    <row r="6" ht="30.0" customHeight="1">
      <c r="A6" s="29" t="s">
        <v>16</v>
      </c>
      <c r="B6" s="32">
        <v>83712.0</v>
      </c>
      <c r="C6" s="35">
        <f t="shared" ref="C6:C64" si="1">MINUS(B6,L6)</f>
        <v>7729</v>
      </c>
      <c r="D6" s="32">
        <v>2176.0</v>
      </c>
      <c r="E6" s="37">
        <f t="shared" ref="E6:E64" si="2">MINUS(D6,M6)</f>
        <v>462</v>
      </c>
      <c r="F6" s="39">
        <f t="shared" ref="F6:F63" si="3">DIVIDE(D6, B6)</f>
        <v>0.02599388379</v>
      </c>
      <c r="G6" s="41">
        <v>3022.0</v>
      </c>
      <c r="H6" s="41">
        <v>6142.0</v>
      </c>
      <c r="I6" s="43" t="str">
        <f>HYPERLINK("https://www1.nyc.gov/site/doh/covid/covid-19-data.page","Source")</f>
        <v>Source</v>
      </c>
      <c r="J6" s="30"/>
      <c r="K6" s="27"/>
      <c r="L6" s="32">
        <v>75983.0</v>
      </c>
      <c r="M6" s="32">
        <v>1714.0</v>
      </c>
    </row>
    <row r="7" ht="27.75" customHeight="1">
      <c r="A7" s="46" t="s">
        <v>19</v>
      </c>
      <c r="B7" s="47">
        <v>22255.0</v>
      </c>
      <c r="C7" s="35">
        <f t="shared" si="1"/>
        <v>3559</v>
      </c>
      <c r="D7" s="50">
        <v>355.0</v>
      </c>
      <c r="E7" s="52">
        <f t="shared" si="2"/>
        <v>88</v>
      </c>
      <c r="F7" s="54">
        <f t="shared" si="3"/>
        <v>0.01595147158</v>
      </c>
      <c r="G7" s="58" t="s">
        <v>20</v>
      </c>
      <c r="H7" s="58" t="s">
        <v>20</v>
      </c>
      <c r="I7" s="61" t="str">
        <f>HYPERLINK("https://www.nj.gov/health/cd/topics/covid2019_dashboard.shtml","Source")</f>
        <v>Source</v>
      </c>
      <c r="J7" s="63"/>
      <c r="K7" s="27"/>
      <c r="L7" s="47">
        <v>18696.0</v>
      </c>
      <c r="M7" s="50">
        <v>267.0</v>
      </c>
    </row>
    <row r="8" ht="27.75" customHeight="1">
      <c r="A8" s="46" t="s">
        <v>24</v>
      </c>
      <c r="B8" s="47">
        <v>9334.0</v>
      </c>
      <c r="C8" s="35">
        <f t="shared" si="1"/>
        <v>1719</v>
      </c>
      <c r="D8" s="50">
        <v>337.0</v>
      </c>
      <c r="E8" s="52">
        <f t="shared" si="2"/>
        <v>78</v>
      </c>
      <c r="F8" s="39">
        <f t="shared" si="3"/>
        <v>0.03610456396</v>
      </c>
      <c r="G8" s="58" t="s">
        <v>20</v>
      </c>
      <c r="H8" s="58" t="s">
        <v>20</v>
      </c>
      <c r="I8" s="61" t="str">
        <f>HYPERLINK("https://www.michigan.gov/coronavirus/0,9753,7-406-98163_98173---,00.html","Source")</f>
        <v>Source</v>
      </c>
      <c r="J8" s="63"/>
      <c r="K8" s="27"/>
      <c r="L8" s="47">
        <v>7615.0</v>
      </c>
      <c r="M8" s="50">
        <v>259.0</v>
      </c>
    </row>
    <row r="9" ht="30.0" customHeight="1">
      <c r="A9" s="33" t="s">
        <v>25</v>
      </c>
      <c r="B9" s="38">
        <v>9640.0</v>
      </c>
      <c r="C9" s="35">
        <f t="shared" si="1"/>
        <v>1092</v>
      </c>
      <c r="D9" s="56">
        <v>207.0</v>
      </c>
      <c r="E9" s="52">
        <f t="shared" si="2"/>
        <v>26</v>
      </c>
      <c r="F9" s="39">
        <f t="shared" si="3"/>
        <v>0.02147302905</v>
      </c>
      <c r="G9" s="58">
        <v>597.0</v>
      </c>
      <c r="H9" s="48">
        <v>1.0</v>
      </c>
      <c r="I9" s="51" t="str">
        <f>HYPERLINK("https://www.latimes.com/projects/california-coronavirus-cases-tracking-outbreak/","Source")</f>
        <v>Source</v>
      </c>
      <c r="J9" s="30"/>
      <c r="K9" s="68" t="s">
        <v>28</v>
      </c>
      <c r="L9" s="38">
        <v>8548.0</v>
      </c>
      <c r="M9" s="56">
        <v>181.0</v>
      </c>
    </row>
    <row r="10" ht="30.0" customHeight="1">
      <c r="A10" s="33" t="s">
        <v>29</v>
      </c>
      <c r="B10" s="38">
        <v>7773.0</v>
      </c>
      <c r="C10" s="35">
        <f t="shared" si="1"/>
        <v>1032</v>
      </c>
      <c r="D10" s="56">
        <v>101.0</v>
      </c>
      <c r="E10" s="52">
        <f t="shared" si="2"/>
        <v>14</v>
      </c>
      <c r="F10" s="39">
        <f t="shared" si="3"/>
        <v>0.01299369613</v>
      </c>
      <c r="G10" s="58" t="s">
        <v>20</v>
      </c>
      <c r="H10" s="58" t="s">
        <v>20</v>
      </c>
      <c r="I10" s="51" t="str">
        <f>HYPERLINK("https://experience.arcgis.com/experience/96dd742462124fa0b38ddedb9b25e429","Source")</f>
        <v>Source</v>
      </c>
      <c r="J10" s="63"/>
      <c r="K10" s="68" t="s">
        <v>28</v>
      </c>
      <c r="L10" s="38">
        <v>6741.0</v>
      </c>
      <c r="M10" s="56">
        <v>87.0</v>
      </c>
    </row>
    <row r="11" ht="27.75" customHeight="1">
      <c r="A11" s="46" t="s">
        <v>32</v>
      </c>
      <c r="B11" s="47">
        <v>7738.0</v>
      </c>
      <c r="C11" s="35">
        <f t="shared" si="1"/>
        <v>1118</v>
      </c>
      <c r="D11" s="50">
        <v>122.0</v>
      </c>
      <c r="E11" s="52">
        <f t="shared" si="2"/>
        <v>33</v>
      </c>
      <c r="F11" s="54">
        <f t="shared" si="3"/>
        <v>0.01576634789</v>
      </c>
      <c r="G11" s="58" t="s">
        <v>20</v>
      </c>
      <c r="H11" s="58" t="s">
        <v>20</v>
      </c>
      <c r="I11" s="61" t="str">
        <f>HYPERLINK("https://www.mass.gov/doc/covid-19-cases-in-massachusetts-as-of-april-1-2020/download","Source")</f>
        <v>Source</v>
      </c>
      <c r="J11" s="63"/>
      <c r="K11" s="68" t="s">
        <v>34</v>
      </c>
      <c r="L11" s="47">
        <v>6620.0</v>
      </c>
      <c r="M11" s="50">
        <v>89.0</v>
      </c>
    </row>
    <row r="12" ht="27.75" customHeight="1">
      <c r="A12" s="46" t="s">
        <v>37</v>
      </c>
      <c r="B12" s="47">
        <v>6980.0</v>
      </c>
      <c r="C12" s="35">
        <f t="shared" si="1"/>
        <v>986</v>
      </c>
      <c r="D12" s="50">
        <v>141.0</v>
      </c>
      <c r="E12" s="52">
        <f t="shared" si="2"/>
        <v>42</v>
      </c>
      <c r="F12" s="54">
        <f t="shared" si="3"/>
        <v>0.02020057307</v>
      </c>
      <c r="G12" s="58" t="s">
        <v>20</v>
      </c>
      <c r="H12" s="58">
        <v>2.0</v>
      </c>
      <c r="I12" s="61" t="str">
        <f>HYPERLINK("https://twitter.com/IDPH/status/1245438416130576386","Source")</f>
        <v>Source</v>
      </c>
      <c r="J12" s="63"/>
      <c r="K12" s="27"/>
      <c r="L12" s="47">
        <v>5994.0</v>
      </c>
      <c r="M12" s="50">
        <v>99.0</v>
      </c>
    </row>
    <row r="13" ht="27.75" customHeight="1">
      <c r="A13" s="46" t="s">
        <v>40</v>
      </c>
      <c r="B13" s="47">
        <v>6424.0</v>
      </c>
      <c r="C13" s="35">
        <f t="shared" si="1"/>
        <v>1187</v>
      </c>
      <c r="D13" s="50">
        <v>273.0</v>
      </c>
      <c r="E13" s="52">
        <f t="shared" si="2"/>
        <v>34</v>
      </c>
      <c r="F13" s="39">
        <f t="shared" si="3"/>
        <v>0.04249688667</v>
      </c>
      <c r="G13" s="58">
        <v>438.0</v>
      </c>
      <c r="H13" s="58" t="s">
        <v>20</v>
      </c>
      <c r="I13" s="61" t="str">
        <f>HYPERLINK("http://ldh.la.gov/coronavirus/","Source")</f>
        <v>Source</v>
      </c>
      <c r="J13" s="63"/>
      <c r="K13" s="27"/>
      <c r="L13" s="47">
        <v>5237.0</v>
      </c>
      <c r="M13" s="50">
        <v>239.0</v>
      </c>
    </row>
    <row r="14" ht="27.75" customHeight="1">
      <c r="A14" s="46" t="s">
        <v>42</v>
      </c>
      <c r="B14" s="47">
        <v>6002.0</v>
      </c>
      <c r="C14" s="35">
        <f t="shared" si="1"/>
        <v>1041</v>
      </c>
      <c r="D14" s="50">
        <v>79.0</v>
      </c>
      <c r="E14" s="52">
        <f t="shared" si="2"/>
        <v>12</v>
      </c>
      <c r="F14" s="54">
        <f t="shared" si="3"/>
        <v>0.01316227924</v>
      </c>
      <c r="G14" s="58">
        <v>1.0</v>
      </c>
      <c r="H14" s="58" t="s">
        <v>20</v>
      </c>
      <c r="I14" s="61" t="str">
        <f>HYPERLINK("https://whyy.org/articles/krasner-defends-himself-from-soft-on-guns-criticism-philly-orchestra-musicians-take-pay-cut/","Source")</f>
        <v>Source</v>
      </c>
      <c r="J14" s="63"/>
      <c r="K14" s="27"/>
      <c r="L14" s="47">
        <v>4961.0</v>
      </c>
      <c r="M14" s="50">
        <v>67.0</v>
      </c>
    </row>
    <row r="15" ht="30.0" customHeight="1">
      <c r="A15" s="46" t="s">
        <v>46</v>
      </c>
      <c r="B15" s="47">
        <v>5984.0</v>
      </c>
      <c r="C15" s="35">
        <f t="shared" si="1"/>
        <v>682</v>
      </c>
      <c r="D15" s="50">
        <v>247.0</v>
      </c>
      <c r="E15" s="52">
        <f t="shared" si="2"/>
        <v>36</v>
      </c>
      <c r="F15" s="54">
        <f t="shared" si="3"/>
        <v>0.04127673797</v>
      </c>
      <c r="G15" s="58" t="s">
        <v>20</v>
      </c>
      <c r="H15" s="58">
        <v>510.0</v>
      </c>
      <c r="I15" s="61" t="str">
        <f>HYPERLINK("https://kingcounty.gov/depts/health/communicable-diseases/disease-control/novel-coronavirus.aspx","Source")</f>
        <v>Source</v>
      </c>
      <c r="J15" s="63"/>
      <c r="K15" s="27"/>
      <c r="L15" s="47">
        <v>5302.0</v>
      </c>
      <c r="M15" s="50">
        <v>211.0</v>
      </c>
    </row>
    <row r="16" ht="30.0" customHeight="1">
      <c r="A16" s="46" t="s">
        <v>48</v>
      </c>
      <c r="B16" s="47">
        <v>4638.0</v>
      </c>
      <c r="C16" s="35">
        <f t="shared" si="1"/>
        <v>521</v>
      </c>
      <c r="D16" s="50">
        <v>139.0</v>
      </c>
      <c r="E16" s="52">
        <f t="shared" si="2"/>
        <v>14</v>
      </c>
      <c r="F16" s="39">
        <f t="shared" si="3"/>
        <v>0.02996981458</v>
      </c>
      <c r="G16" s="58" t="s">
        <v>20</v>
      </c>
      <c r="H16" s="58" t="s">
        <v>20</v>
      </c>
      <c r="I16" s="61" t="str">
        <f>HYPERLINK("https://dph.georgia.gov/covid-19-daily-status-report","Source")</f>
        <v>Source</v>
      </c>
      <c r="J16" s="63"/>
      <c r="K16" s="27"/>
      <c r="L16" s="47">
        <v>4117.0</v>
      </c>
      <c r="M16" s="50">
        <v>125.0</v>
      </c>
    </row>
    <row r="17" ht="30.0" customHeight="1">
      <c r="A17" s="33" t="s">
        <v>50</v>
      </c>
      <c r="B17" s="38">
        <v>3720.0</v>
      </c>
      <c r="C17" s="35">
        <f t="shared" si="1"/>
        <v>5</v>
      </c>
      <c r="D17" s="56">
        <v>56.0</v>
      </c>
      <c r="E17" s="52">
        <f t="shared" si="2"/>
        <v>0</v>
      </c>
      <c r="F17" s="54">
        <f t="shared" si="3"/>
        <v>0.01505376344</v>
      </c>
      <c r="G17" s="48">
        <v>1.0</v>
      </c>
      <c r="H17" s="58" t="s">
        <v>20</v>
      </c>
      <c r="I17" s="51" t="str">
        <f>HYPERLINK("https://www.houstonchronicle.com/coronavirus/article/texas-coronavirus-map-cases-houston-covid-19-15137466.php","Source")</f>
        <v>Source</v>
      </c>
      <c r="J17" s="30"/>
      <c r="K17" s="27"/>
      <c r="L17" s="38">
        <v>3715.0</v>
      </c>
      <c r="M17" s="56">
        <v>56.0</v>
      </c>
    </row>
    <row r="18" ht="27.75" customHeight="1">
      <c r="A18" s="46" t="s">
        <v>52</v>
      </c>
      <c r="B18" s="47">
        <v>3557.0</v>
      </c>
      <c r="C18" s="35">
        <f t="shared" si="1"/>
        <v>429</v>
      </c>
      <c r="D18" s="50">
        <v>85.0</v>
      </c>
      <c r="E18" s="52">
        <f t="shared" si="2"/>
        <v>16</v>
      </c>
      <c r="F18" s="54">
        <f t="shared" si="3"/>
        <v>0.02389654203</v>
      </c>
      <c r="G18" s="58" t="s">
        <v>20</v>
      </c>
      <c r="H18" s="58" t="s">
        <v>20</v>
      </c>
      <c r="I18" s="61" t="str">
        <f>HYPERLINK("https://portal.ct.gov/-/media/Coronavirus/CTDPHCOVID19summary3312020.pdf?la=en","Source")</f>
        <v>Source</v>
      </c>
      <c r="J18" s="30"/>
      <c r="K18" s="27"/>
      <c r="L18" s="47">
        <v>3128.0</v>
      </c>
      <c r="M18" s="50">
        <v>69.0</v>
      </c>
    </row>
    <row r="19" ht="27.75" customHeight="1">
      <c r="A19" s="46" t="s">
        <v>54</v>
      </c>
      <c r="B19" s="47">
        <v>3342.0</v>
      </c>
      <c r="C19" s="35">
        <f t="shared" si="1"/>
        <v>376</v>
      </c>
      <c r="D19" s="50">
        <v>80.0</v>
      </c>
      <c r="E19" s="52">
        <f t="shared" si="2"/>
        <v>11</v>
      </c>
      <c r="F19" s="39">
        <f t="shared" si="3"/>
        <v>0.02393776182</v>
      </c>
      <c r="G19" s="58" t="s">
        <v>20</v>
      </c>
      <c r="H19" s="58" t="s">
        <v>20</v>
      </c>
      <c r="I19" s="61" t="str">
        <f>HYPERLINK("https://covid19.colorado.gov/case-data","Source")</f>
        <v>Source</v>
      </c>
      <c r="J19" s="63"/>
      <c r="K19" s="27"/>
      <c r="L19" s="47">
        <v>2966.0</v>
      </c>
      <c r="M19" s="50">
        <v>69.0</v>
      </c>
    </row>
    <row r="20" ht="27.75" customHeight="1">
      <c r="A20" s="46" t="s">
        <v>56</v>
      </c>
      <c r="B20" s="47">
        <v>2683.0</v>
      </c>
      <c r="C20" s="35">
        <f t="shared" si="1"/>
        <v>294</v>
      </c>
      <c r="D20" s="50">
        <v>24.0</v>
      </c>
      <c r="E20" s="52">
        <f t="shared" si="2"/>
        <v>1</v>
      </c>
      <c r="F20" s="39">
        <f t="shared" si="3"/>
        <v>0.008945210585</v>
      </c>
      <c r="G20" s="58" t="s">
        <v>20</v>
      </c>
      <c r="H20" s="58">
        <v>121.0</v>
      </c>
      <c r="I20" s="61" t="str">
        <f>HYPERLINK("https://www.tn.gov/health/cedep/ncov.html","Source")</f>
        <v>Source</v>
      </c>
      <c r="J20" s="63"/>
      <c r="K20" s="27"/>
      <c r="L20" s="47">
        <v>2389.0</v>
      </c>
      <c r="M20" s="50">
        <v>23.0</v>
      </c>
    </row>
    <row r="21" ht="30.0" customHeight="1">
      <c r="A21" s="33" t="s">
        <v>58</v>
      </c>
      <c r="B21" s="38">
        <v>2565.0</v>
      </c>
      <c r="C21" s="35">
        <f t="shared" si="1"/>
        <v>406</v>
      </c>
      <c r="D21" s="38">
        <v>65.0</v>
      </c>
      <c r="E21" s="37">
        <f t="shared" si="2"/>
        <v>16</v>
      </c>
      <c r="F21" s="39">
        <f t="shared" si="3"/>
        <v>0.0253411306</v>
      </c>
      <c r="G21" s="45" t="s">
        <v>20</v>
      </c>
      <c r="H21" s="58" t="s">
        <v>20</v>
      </c>
      <c r="I21" s="51" t="str">
        <f>HYPERLINK("https://twitter.com/StateHealthIN/status/1245350237939605505","Source")</f>
        <v>Source</v>
      </c>
      <c r="J21" s="63"/>
      <c r="K21" s="27"/>
      <c r="L21" s="38">
        <v>2159.0</v>
      </c>
      <c r="M21" s="38">
        <v>49.0</v>
      </c>
    </row>
    <row r="22" ht="27.75" customHeight="1">
      <c r="A22" s="46" t="s">
        <v>60</v>
      </c>
      <c r="B22" s="47">
        <v>2547.0</v>
      </c>
      <c r="C22" s="35">
        <f t="shared" si="1"/>
        <v>348</v>
      </c>
      <c r="D22" s="50">
        <v>65.0</v>
      </c>
      <c r="E22" s="52">
        <f t="shared" si="2"/>
        <v>10</v>
      </c>
      <c r="F22" s="54">
        <f t="shared" si="3"/>
        <v>0.02552021987</v>
      </c>
      <c r="G22" s="58">
        <v>222.0</v>
      </c>
      <c r="H22" s="58" t="s">
        <v>20</v>
      </c>
      <c r="I22" s="61" t="str">
        <f>HYPERLINK("https://coronavirus.ohio.gov/wps/portal/gov/covid-19/","Source")</f>
        <v>Source</v>
      </c>
      <c r="J22" s="63"/>
      <c r="K22" s="27"/>
      <c r="L22" s="47">
        <v>2199.0</v>
      </c>
      <c r="M22" s="50">
        <v>55.0</v>
      </c>
    </row>
    <row r="23" ht="27.75" customHeight="1">
      <c r="A23" s="46" t="s">
        <v>63</v>
      </c>
      <c r="B23" s="47">
        <v>1985.0</v>
      </c>
      <c r="C23" s="35">
        <f t="shared" si="1"/>
        <v>325</v>
      </c>
      <c r="D23" s="50">
        <v>31.0</v>
      </c>
      <c r="E23" s="52">
        <f t="shared" si="2"/>
        <v>13</v>
      </c>
      <c r="F23" s="54">
        <f t="shared" si="3"/>
        <v>0.01561712846</v>
      </c>
      <c r="G23" s="45" t="s">
        <v>20</v>
      </c>
      <c r="H23" s="58">
        <v>69.0</v>
      </c>
      <c r="I23" s="61" t="str">
        <f>HYPERLINK("https://coronavirus.maryland.gov/","Source")</f>
        <v>Source</v>
      </c>
      <c r="J23" s="63"/>
      <c r="K23" s="27"/>
      <c r="L23" s="47">
        <v>1660.0</v>
      </c>
      <c r="M23" s="50">
        <v>18.0</v>
      </c>
    </row>
    <row r="24" ht="30.0" customHeight="1">
      <c r="A24" s="33" t="s">
        <v>65</v>
      </c>
      <c r="B24" s="38">
        <v>1584.0</v>
      </c>
      <c r="C24" s="35">
        <f t="shared" si="1"/>
        <v>48</v>
      </c>
      <c r="D24" s="38">
        <v>10.0</v>
      </c>
      <c r="E24" s="37">
        <f t="shared" si="2"/>
        <v>0</v>
      </c>
      <c r="F24" s="54">
        <f t="shared" si="3"/>
        <v>0.006313131313</v>
      </c>
      <c r="G24" s="45" t="s">
        <v>20</v>
      </c>
      <c r="H24" s="58" t="s">
        <v>20</v>
      </c>
      <c r="I24" s="51" t="str">
        <f>HYPERLINK("https://www.newsobserver.com/news/local/article241168731.html","Source")</f>
        <v>Source</v>
      </c>
      <c r="J24" s="30"/>
      <c r="K24" s="27"/>
      <c r="L24" s="38">
        <v>1536.0</v>
      </c>
      <c r="M24" s="38">
        <v>10.0</v>
      </c>
    </row>
    <row r="25" ht="30.0" customHeight="1">
      <c r="A25" s="33" t="s">
        <v>66</v>
      </c>
      <c r="B25" s="38">
        <v>1581.0</v>
      </c>
      <c r="C25" s="35">
        <f t="shared" si="1"/>
        <v>254</v>
      </c>
      <c r="D25" s="38">
        <v>18.0</v>
      </c>
      <c r="E25" s="37">
        <f t="shared" si="2"/>
        <v>4</v>
      </c>
      <c r="F25" s="39">
        <f t="shared" si="3"/>
        <v>0.01138519924</v>
      </c>
      <c r="G25" s="45" t="s">
        <v>20</v>
      </c>
      <c r="H25" s="58" t="s">
        <v>20</v>
      </c>
      <c r="I25" s="51" t="str">
        <f>HYPERLINK("https://health.mo.gov/living/healthcondiseases/communicable/novel-coronavirus/","Source")</f>
        <v>Source</v>
      </c>
      <c r="J25" s="63"/>
      <c r="K25" s="27"/>
      <c r="L25" s="38">
        <v>1327.0</v>
      </c>
      <c r="M25" s="38">
        <v>14.0</v>
      </c>
    </row>
    <row r="26" ht="27.75" customHeight="1">
      <c r="A26" s="46" t="s">
        <v>68</v>
      </c>
      <c r="B26" s="47">
        <v>1550.0</v>
      </c>
      <c r="C26" s="35">
        <f t="shared" si="1"/>
        <v>199</v>
      </c>
      <c r="D26" s="50">
        <v>24.0</v>
      </c>
      <c r="E26" s="52">
        <f t="shared" si="2"/>
        <v>6</v>
      </c>
      <c r="F26" s="39">
        <f t="shared" si="3"/>
        <v>0.01548387097</v>
      </c>
      <c r="G26" s="45" t="s">
        <v>20</v>
      </c>
      <c r="H26" s="58">
        <v>16.0</v>
      </c>
      <c r="I26" s="61" t="str">
        <f>HYPERLINK("https://www.dhs.wisconsin.gov/outbreaks/index.htm","Source")</f>
        <v>Source</v>
      </c>
      <c r="J26" s="30"/>
      <c r="K26" s="27"/>
      <c r="L26" s="47">
        <v>1351.0</v>
      </c>
      <c r="M26" s="50">
        <v>18.0</v>
      </c>
    </row>
    <row r="27" ht="27.75" customHeight="1">
      <c r="A27" s="46" t="s">
        <v>69</v>
      </c>
      <c r="B27" s="47">
        <v>1413.0</v>
      </c>
      <c r="C27" s="35">
        <f t="shared" si="1"/>
        <v>124</v>
      </c>
      <c r="D27" s="50">
        <v>29.0</v>
      </c>
      <c r="E27" s="52">
        <f t="shared" si="2"/>
        <v>5</v>
      </c>
      <c r="F27" s="54">
        <f t="shared" si="3"/>
        <v>0.02052370842</v>
      </c>
      <c r="G27" s="45" t="s">
        <v>20</v>
      </c>
      <c r="H27" s="58" t="s">
        <v>20</v>
      </c>
      <c r="I27" s="61" t="str">
        <f>HYPERLINK("https://www.azdhs.gov/preparedness/epidemiology-disease-control/infectious-disease-epidemiology/index.php#novel-coronavirus-home","Source")</f>
        <v>Source</v>
      </c>
      <c r="J27" s="63"/>
      <c r="K27" s="27"/>
      <c r="L27" s="47">
        <v>1289.0</v>
      </c>
      <c r="M27" s="50">
        <v>24.0</v>
      </c>
    </row>
    <row r="28" ht="30.0" customHeight="1">
      <c r="A28" s="33" t="s">
        <v>72</v>
      </c>
      <c r="B28" s="38">
        <v>1484.0</v>
      </c>
      <c r="C28" s="35">
        <f t="shared" si="1"/>
        <v>234</v>
      </c>
      <c r="D28" s="38">
        <v>34.0</v>
      </c>
      <c r="E28" s="37">
        <f t="shared" si="2"/>
        <v>7</v>
      </c>
      <c r="F28" s="54">
        <f t="shared" si="3"/>
        <v>0.02291105121</v>
      </c>
      <c r="G28" s="45" t="s">
        <v>20</v>
      </c>
      <c r="H28" s="58" t="s">
        <v>20</v>
      </c>
      <c r="I28" s="51" t="str">
        <f>HYPERLINK("http://www.vdh.virginia.gov/coronavirus/","Source")</f>
        <v>Source</v>
      </c>
      <c r="J28" s="63"/>
      <c r="K28" s="27"/>
      <c r="L28" s="38">
        <v>1250.0</v>
      </c>
      <c r="M28" s="38">
        <v>27.0</v>
      </c>
    </row>
    <row r="29" ht="30.0" customHeight="1">
      <c r="A29" s="33" t="s">
        <v>74</v>
      </c>
      <c r="B29" s="38">
        <v>1293.0</v>
      </c>
      <c r="C29" s="35">
        <f t="shared" si="1"/>
        <v>210</v>
      </c>
      <c r="D29" s="38">
        <v>26.0</v>
      </c>
      <c r="E29" s="37">
        <f t="shared" si="2"/>
        <v>4</v>
      </c>
      <c r="F29" s="54">
        <f t="shared" si="3"/>
        <v>0.02010827533</v>
      </c>
      <c r="G29" s="45" t="s">
        <v>20</v>
      </c>
      <c r="H29" s="58" t="s">
        <v>20</v>
      </c>
      <c r="I29" s="51" t="str">
        <f>HYPERLINK("https://www.scdhec.gov/news-releases/south-carolina-announces-two-additional-deaths-related-covid-19-151-new-cases","Source")</f>
        <v>Source</v>
      </c>
      <c r="J29" s="63"/>
      <c r="K29" s="27"/>
      <c r="L29" s="38">
        <v>1083.0</v>
      </c>
      <c r="M29" s="38">
        <v>22.0</v>
      </c>
    </row>
    <row r="30" ht="27.75" customHeight="1">
      <c r="A30" s="46" t="s">
        <v>76</v>
      </c>
      <c r="B30" s="47">
        <v>1279.0</v>
      </c>
      <c r="C30" s="35">
        <f t="shared" si="1"/>
        <v>166</v>
      </c>
      <c r="D30" s="50">
        <v>26.0</v>
      </c>
      <c r="E30" s="52">
        <f t="shared" si="2"/>
        <v>0</v>
      </c>
      <c r="F30" s="39">
        <f t="shared" si="3"/>
        <v>0.02032838155</v>
      </c>
      <c r="G30" s="45" t="s">
        <v>20</v>
      </c>
      <c r="H30" s="58" t="s">
        <v>20</v>
      </c>
      <c r="I30" s="61" t="str">
        <f>HYPERLINK("https://app.powerbigov.us/view?r=eyJrIjoiMjA2ZThiOWUtM2FlNS00MGY5LWFmYjUtNmQwNTQ3Nzg5N2I2IiwidCI6ImU0YTM0MGU2LWI4OWUtNGU2OC04ZWFhLTE1NDRkMjcwMzk4MCJ9","Source")</f>
        <v>Source</v>
      </c>
      <c r="J30" s="30"/>
      <c r="K30" s="68" t="s">
        <v>28</v>
      </c>
      <c r="L30" s="47">
        <v>1113.0</v>
      </c>
      <c r="M30" s="50">
        <v>26.0</v>
      </c>
    </row>
    <row r="31" ht="27.75" customHeight="1">
      <c r="A31" s="46" t="s">
        <v>79</v>
      </c>
      <c r="B31" s="47">
        <v>1105.0</v>
      </c>
      <c r="C31" s="35">
        <f t="shared" si="1"/>
        <v>106</v>
      </c>
      <c r="D31" s="50">
        <v>17.0</v>
      </c>
      <c r="E31" s="52">
        <f t="shared" si="2"/>
        <v>4</v>
      </c>
      <c r="F31" s="39">
        <f t="shared" si="3"/>
        <v>0.01538461538</v>
      </c>
      <c r="G31" s="45" t="s">
        <v>20</v>
      </c>
      <c r="H31" s="58" t="s">
        <v>20</v>
      </c>
      <c r="I31" s="61" t="str">
        <f>HYPERLINK("https://alpublichealth.maps.arcgis.com/apps/opsdashboard/index.html#/6d2771faa9da4a2786a509d82c8cf0f7","Source")</f>
        <v>Source</v>
      </c>
      <c r="J31" s="63"/>
      <c r="K31" s="68" t="s">
        <v>28</v>
      </c>
      <c r="L31" s="47">
        <v>999.0</v>
      </c>
      <c r="M31" s="50">
        <v>13.0</v>
      </c>
    </row>
    <row r="32" ht="27.75" customHeight="1">
      <c r="A32" s="46" t="s">
        <v>81</v>
      </c>
      <c r="B32" s="47">
        <v>1073.0</v>
      </c>
      <c r="C32" s="35">
        <f t="shared" si="1"/>
        <v>136</v>
      </c>
      <c r="D32" s="50">
        <v>22.0</v>
      </c>
      <c r="E32" s="52">
        <f t="shared" si="2"/>
        <v>2</v>
      </c>
      <c r="F32" s="39">
        <f t="shared" si="3"/>
        <v>0.02050326188</v>
      </c>
      <c r="G32" s="45" t="s">
        <v>20</v>
      </c>
      <c r="H32" s="58" t="s">
        <v>20</v>
      </c>
      <c r="I32" s="61" t="str">
        <f>HYPERLINK("https://msdh.ms.gov/msdhsite/_static/14,21882,420,873.html","Source")</f>
        <v>Source</v>
      </c>
      <c r="J32" s="63"/>
      <c r="K32" s="27"/>
      <c r="L32" s="47">
        <v>937.0</v>
      </c>
      <c r="M32" s="50">
        <v>20.0</v>
      </c>
    </row>
    <row r="33" ht="30.0" customHeight="1">
      <c r="A33" s="33" t="s">
        <v>83</v>
      </c>
      <c r="B33" s="38">
        <v>1012.0</v>
      </c>
      <c r="C33" s="35">
        <f t="shared" si="1"/>
        <v>125</v>
      </c>
      <c r="D33" s="38">
        <v>7.0</v>
      </c>
      <c r="E33" s="37">
        <f t="shared" si="2"/>
        <v>2</v>
      </c>
      <c r="F33" s="54">
        <f t="shared" si="3"/>
        <v>0.006916996047</v>
      </c>
      <c r="G33" s="45" t="s">
        <v>20</v>
      </c>
      <c r="H33" s="58" t="s">
        <v>20</v>
      </c>
      <c r="I33" s="51" t="str">
        <f>HYPERLINK("https://coronavirus.utah.gov/case-counts/","Source")</f>
        <v>Source</v>
      </c>
      <c r="J33" s="63"/>
      <c r="K33" s="27"/>
      <c r="L33" s="38">
        <v>887.0</v>
      </c>
      <c r="M33" s="38">
        <v>5.0</v>
      </c>
    </row>
    <row r="34" ht="27.75" customHeight="1">
      <c r="A34" s="46" t="s">
        <v>86</v>
      </c>
      <c r="B34" s="47">
        <v>736.0</v>
      </c>
      <c r="C34" s="35">
        <f t="shared" si="1"/>
        <v>46</v>
      </c>
      <c r="D34" s="50">
        <v>19.0</v>
      </c>
      <c r="E34" s="52">
        <f t="shared" si="2"/>
        <v>1</v>
      </c>
      <c r="F34" s="39">
        <f t="shared" si="3"/>
        <v>0.02581521739</v>
      </c>
      <c r="G34" s="45" t="s">
        <v>20</v>
      </c>
      <c r="H34" s="58" t="s">
        <v>20</v>
      </c>
      <c r="I34" s="61" t="str">
        <f>HYPERLINK("https://govstatus.egov.com/OR-OHA-COVID-19","Source")</f>
        <v>Source</v>
      </c>
      <c r="J34" s="63"/>
      <c r="K34" s="27"/>
      <c r="L34" s="47">
        <v>690.0</v>
      </c>
      <c r="M34" s="50">
        <v>18.0</v>
      </c>
    </row>
    <row r="35" ht="30.0" customHeight="1">
      <c r="A35" s="33" t="s">
        <v>88</v>
      </c>
      <c r="B35" s="38">
        <v>719.0</v>
      </c>
      <c r="C35" s="35">
        <f t="shared" si="1"/>
        <v>154</v>
      </c>
      <c r="D35" s="38">
        <v>30.0</v>
      </c>
      <c r="E35" s="37">
        <f t="shared" si="2"/>
        <v>7</v>
      </c>
      <c r="F35" s="54">
        <f t="shared" si="3"/>
        <v>0.04172461752</v>
      </c>
      <c r="G35" s="58" t="s">
        <v>20</v>
      </c>
      <c r="H35" s="48" t="s">
        <v>20</v>
      </c>
      <c r="I35" s="51" t="str">
        <f>HYPERLINK("https://coronavirus.health.ok.gov/","Source")</f>
        <v>Source</v>
      </c>
      <c r="J35" s="63"/>
      <c r="K35" s="27"/>
      <c r="L35" s="38">
        <v>565.0</v>
      </c>
      <c r="M35" s="38">
        <v>23.0</v>
      </c>
    </row>
    <row r="36" ht="30.0" customHeight="1">
      <c r="A36" s="33" t="s">
        <v>91</v>
      </c>
      <c r="B36" s="38">
        <v>689.0</v>
      </c>
      <c r="C36" s="35">
        <f t="shared" si="1"/>
        <v>60</v>
      </c>
      <c r="D36" s="38">
        <v>17.0</v>
      </c>
      <c r="E36" s="37">
        <f t="shared" si="2"/>
        <v>5</v>
      </c>
      <c r="F36" s="54">
        <f t="shared" si="3"/>
        <v>0.02467343977</v>
      </c>
      <c r="G36" s="45">
        <v>24.0</v>
      </c>
      <c r="H36" s="48">
        <v>342.0</v>
      </c>
      <c r="I36" s="51" t="str">
        <f>HYPERLINK("https://www.health.state.mn.us/diseases/coronavirus/situation.html","Source")</f>
        <v>Source</v>
      </c>
      <c r="J36" s="63"/>
      <c r="K36" s="27"/>
      <c r="L36" s="38">
        <v>629.0</v>
      </c>
      <c r="M36" s="38">
        <v>12.0</v>
      </c>
    </row>
    <row r="37" ht="27.75" customHeight="1">
      <c r="A37" s="46" t="s">
        <v>94</v>
      </c>
      <c r="B37" s="47">
        <v>591.0</v>
      </c>
      <c r="C37" s="35">
        <f t="shared" si="1"/>
        <v>0</v>
      </c>
      <c r="D37" s="50">
        <v>17.0</v>
      </c>
      <c r="E37" s="52">
        <f t="shared" si="2"/>
        <v>0</v>
      </c>
      <c r="F37" s="54">
        <f t="shared" si="3"/>
        <v>0.02876480541</v>
      </c>
      <c r="G37" s="58" t="s">
        <v>20</v>
      </c>
      <c r="H37" s="58" t="s">
        <v>20</v>
      </c>
      <c r="I37" s="61" t="str">
        <f>HYPERLINK("https://govstatus.egov.com/kycovid19","Source")</f>
        <v>Source</v>
      </c>
      <c r="J37" s="30"/>
      <c r="K37" s="27"/>
      <c r="L37" s="47">
        <v>591.0</v>
      </c>
      <c r="M37" s="50">
        <v>17.0</v>
      </c>
    </row>
    <row r="38" ht="27.75" customHeight="1">
      <c r="A38" s="46" t="s">
        <v>97</v>
      </c>
      <c r="B38" s="47">
        <v>586.0</v>
      </c>
      <c r="C38" s="35">
        <f t="shared" si="1"/>
        <v>91</v>
      </c>
      <c r="D38" s="50">
        <v>11.0</v>
      </c>
      <c r="E38" s="52">
        <f t="shared" si="2"/>
        <v>2</v>
      </c>
      <c r="F38" s="39">
        <f t="shared" si="3"/>
        <v>0.01877133106</v>
      </c>
      <c r="G38" s="58" t="s">
        <v>20</v>
      </c>
      <c r="H38" s="58">
        <v>142.0</v>
      </c>
      <c r="I38" s="61" t="str">
        <f>HYPERLINK("https://coronavirus.dc.gov/page/coronavirus-data","Source")</f>
        <v>Source</v>
      </c>
      <c r="J38" s="63"/>
      <c r="K38" s="27"/>
      <c r="L38" s="47">
        <v>495.0</v>
      </c>
      <c r="M38" s="50">
        <v>9.0</v>
      </c>
    </row>
    <row r="39" ht="27.75" customHeight="1">
      <c r="A39" s="46" t="s">
        <v>100</v>
      </c>
      <c r="B39" s="47">
        <v>584.0</v>
      </c>
      <c r="C39" s="35">
        <f t="shared" si="1"/>
        <v>20</v>
      </c>
      <c r="D39" s="50">
        <v>10.0</v>
      </c>
      <c r="E39" s="52">
        <f t="shared" si="2"/>
        <v>2</v>
      </c>
      <c r="F39" s="39">
        <f t="shared" si="3"/>
        <v>0.01712328767</v>
      </c>
      <c r="G39" s="58">
        <v>25.0</v>
      </c>
      <c r="H39" s="58" t="s">
        <v>20</v>
      </c>
      <c r="I39" s="61" t="str">
        <f>HYPERLINK("https://www.healthy.arkansas.gov/programs-services/topics/novel-coronavirus","Source")</f>
        <v>Source</v>
      </c>
      <c r="J39" s="30"/>
      <c r="K39" s="68" t="s">
        <v>102</v>
      </c>
      <c r="L39" s="47">
        <v>564.0</v>
      </c>
      <c r="M39" s="50">
        <v>8.0</v>
      </c>
    </row>
    <row r="40" ht="27.75" customHeight="1">
      <c r="A40" s="46" t="s">
        <v>104</v>
      </c>
      <c r="B40" s="47">
        <v>566.0</v>
      </c>
      <c r="C40" s="35">
        <f t="shared" si="1"/>
        <v>78</v>
      </c>
      <c r="D40" s="50">
        <v>8.0</v>
      </c>
      <c r="E40" s="52">
        <f t="shared" si="2"/>
        <v>0</v>
      </c>
      <c r="F40" s="39">
        <f t="shared" si="3"/>
        <v>0.01413427562</v>
      </c>
      <c r="G40" s="58">
        <v>14.0</v>
      </c>
      <c r="H40" s="58" t="s">
        <v>20</v>
      </c>
      <c r="I40" s="61" t="str">
        <f>HYPERLINK("https://health.ri.gov/data/covid-19/","Source")</f>
        <v>Source</v>
      </c>
      <c r="J40" s="30"/>
      <c r="K40" s="27"/>
      <c r="L40" s="47">
        <v>488.0</v>
      </c>
      <c r="M40" s="50">
        <v>8.0</v>
      </c>
    </row>
    <row r="41" ht="27.75" customHeight="1">
      <c r="A41" s="46" t="s">
        <v>106</v>
      </c>
      <c r="B41" s="47">
        <v>549.0</v>
      </c>
      <c r="C41" s="35">
        <f t="shared" si="1"/>
        <v>52</v>
      </c>
      <c r="D41" s="50">
        <v>9.0</v>
      </c>
      <c r="E41" s="52">
        <f t="shared" si="2"/>
        <v>2</v>
      </c>
      <c r="F41" s="39">
        <f t="shared" si="3"/>
        <v>0.01639344262</v>
      </c>
      <c r="G41" s="58" t="s">
        <v>20</v>
      </c>
      <c r="H41" s="58" t="s">
        <v>20</v>
      </c>
      <c r="I41" s="61" t="str">
        <f>HYPERLINK("https://desmoinesregister.com/story/news/health/2020/03/23/latest-covid-19-news-iowa-coronavirus-updates-map-cancellations-number-cases/2894061001/","Source")</f>
        <v>Source</v>
      </c>
      <c r="J41" s="63"/>
      <c r="K41" s="27"/>
      <c r="L41" s="47">
        <v>497.0</v>
      </c>
      <c r="M41" s="50">
        <v>7.0</v>
      </c>
    </row>
    <row r="42" ht="27.75" customHeight="1">
      <c r="A42" s="46" t="s">
        <v>109</v>
      </c>
      <c r="B42" s="47">
        <v>525.0</v>
      </c>
      <c r="C42" s="35">
        <f t="shared" si="1"/>
        <v>0</v>
      </c>
      <c r="D42" s="50">
        <v>9.0</v>
      </c>
      <c r="E42" s="52">
        <f t="shared" si="2"/>
        <v>0</v>
      </c>
      <c r="F42" s="54">
        <f t="shared" si="3"/>
        <v>0.01714285714</v>
      </c>
      <c r="G42" s="58" t="s">
        <v>20</v>
      </c>
      <c r="H42" s="58" t="s">
        <v>20</v>
      </c>
      <c r="I42" s="61" t="str">
        <f>HYPERLINK("https://coronavirus.idaho.gov/","Source")</f>
        <v>Source</v>
      </c>
      <c r="J42" s="30"/>
      <c r="K42" s="27"/>
      <c r="L42" s="47">
        <v>525.0</v>
      </c>
      <c r="M42" s="50">
        <v>9.0</v>
      </c>
    </row>
    <row r="43" ht="30.0" customHeight="1">
      <c r="A43" s="33" t="s">
        <v>111</v>
      </c>
      <c r="B43" s="38">
        <v>443.0</v>
      </c>
      <c r="C43" s="35">
        <f t="shared" si="1"/>
        <v>0</v>
      </c>
      <c r="D43" s="38">
        <v>10.0</v>
      </c>
      <c r="E43" s="37">
        <f t="shared" si="2"/>
        <v>0</v>
      </c>
      <c r="F43" s="54">
        <f t="shared" si="3"/>
        <v>0.02257336343</v>
      </c>
      <c r="G43" s="58" t="s">
        <v>20</v>
      </c>
      <c r="H43" s="58" t="s">
        <v>20</v>
      </c>
      <c r="I43" s="51" t="str">
        <f>HYPERLINK("https://www.kshb.com/news/coronavirus/covid-19-case-tracker-where-we-stand-in-mo-ks-nationwide","Source")</f>
        <v>Source</v>
      </c>
      <c r="J43" s="30"/>
      <c r="K43" s="27"/>
      <c r="L43" s="38">
        <v>443.0</v>
      </c>
      <c r="M43" s="38">
        <v>10.0</v>
      </c>
    </row>
    <row r="44" ht="30.0" customHeight="1">
      <c r="A44" s="33" t="s">
        <v>114</v>
      </c>
      <c r="B44" s="38">
        <v>415.0</v>
      </c>
      <c r="C44" s="35">
        <f t="shared" si="1"/>
        <v>48</v>
      </c>
      <c r="D44" s="56">
        <v>4.0</v>
      </c>
      <c r="E44" s="52">
        <f t="shared" si="2"/>
        <v>1</v>
      </c>
      <c r="F44" s="54">
        <f t="shared" si="3"/>
        <v>0.009638554217</v>
      </c>
      <c r="G44" s="58" t="s">
        <v>20</v>
      </c>
      <c r="H44" s="58">
        <v>56.0</v>
      </c>
      <c r="I44" s="51" t="str">
        <f>HYPERLINK("https://www.nh.gov/covid19/","Source")</f>
        <v>Source</v>
      </c>
      <c r="J44" s="30"/>
      <c r="K44" s="27"/>
      <c r="L44" s="38">
        <v>367.0</v>
      </c>
      <c r="M44" s="56">
        <v>3.0</v>
      </c>
    </row>
    <row r="45" ht="27.75" customHeight="1">
      <c r="A45" s="46" t="s">
        <v>117</v>
      </c>
      <c r="B45" s="47">
        <v>363.0</v>
      </c>
      <c r="C45" s="35">
        <f t="shared" si="1"/>
        <v>48</v>
      </c>
      <c r="D45" s="50">
        <v>6.0</v>
      </c>
      <c r="E45" s="52">
        <f t="shared" si="2"/>
        <v>1</v>
      </c>
      <c r="F45" s="39">
        <f t="shared" si="3"/>
        <v>0.01652892562</v>
      </c>
      <c r="G45" s="58" t="s">
        <v>20</v>
      </c>
      <c r="H45" s="58" t="s">
        <v>20</v>
      </c>
      <c r="I45" s="61" t="str">
        <f>HYPERLINK("https://cv.nmhealth.org/","Source")</f>
        <v>Source</v>
      </c>
      <c r="J45" s="63"/>
      <c r="K45" s="27"/>
      <c r="L45" s="47">
        <v>315.0</v>
      </c>
      <c r="M45" s="50">
        <v>5.0</v>
      </c>
    </row>
    <row r="46" ht="30.0" customHeight="1">
      <c r="A46" s="33" t="s">
        <v>120</v>
      </c>
      <c r="B46" s="38">
        <v>321.0</v>
      </c>
      <c r="C46" s="35">
        <f t="shared" si="1"/>
        <v>28</v>
      </c>
      <c r="D46" s="38">
        <v>16.0</v>
      </c>
      <c r="E46" s="37">
        <f t="shared" si="2"/>
        <v>3</v>
      </c>
      <c r="F46" s="39">
        <f t="shared" si="3"/>
        <v>0.04984423676</v>
      </c>
      <c r="G46" s="58" t="s">
        <v>20</v>
      </c>
      <c r="H46" s="58" t="s">
        <v>20</v>
      </c>
      <c r="I46" s="51" t="str">
        <f>HYPERLINK("https://www.healthvermont.gov/response/infectious-disease/2019-novel-coronavirus","Source")</f>
        <v>Source</v>
      </c>
      <c r="J46" s="63"/>
      <c r="K46" s="27"/>
      <c r="L46" s="38">
        <v>293.0</v>
      </c>
      <c r="M46" s="38">
        <v>13.0</v>
      </c>
    </row>
    <row r="47" ht="27.75" customHeight="1">
      <c r="A47" s="46" t="s">
        <v>121</v>
      </c>
      <c r="B47" s="47">
        <v>319.0</v>
      </c>
      <c r="C47" s="35">
        <f t="shared" si="1"/>
        <v>0</v>
      </c>
      <c r="D47" s="50">
        <v>10.0</v>
      </c>
      <c r="E47" s="52">
        <f t="shared" si="2"/>
        <v>0</v>
      </c>
      <c r="F47" s="39">
        <f t="shared" si="3"/>
        <v>0.03134796238</v>
      </c>
      <c r="G47" s="58" t="s">
        <v>20</v>
      </c>
      <c r="H47" s="58">
        <v>22.0</v>
      </c>
      <c r="I47" s="61" t="str">
        <f>HYPERLINK("https://coronavirus.delaware.gov/","Source")</f>
        <v>Source</v>
      </c>
      <c r="J47" s="30"/>
      <c r="K47" s="27"/>
      <c r="L47" s="47">
        <v>319.0</v>
      </c>
      <c r="M47" s="50">
        <v>10.0</v>
      </c>
    </row>
    <row r="48" ht="27.75" customHeight="1">
      <c r="A48" s="46" t="s">
        <v>123</v>
      </c>
      <c r="B48" s="47">
        <v>303.0</v>
      </c>
      <c r="C48" s="35">
        <f t="shared" si="1"/>
        <v>0</v>
      </c>
      <c r="D48" s="50">
        <v>5.0</v>
      </c>
      <c r="E48" s="52">
        <f t="shared" si="2"/>
        <v>0</v>
      </c>
      <c r="F48" s="54">
        <f t="shared" si="3"/>
        <v>0.01650165017</v>
      </c>
      <c r="G48" s="58" t="s">
        <v>20</v>
      </c>
      <c r="H48" s="58">
        <v>41.0</v>
      </c>
      <c r="I48" s="61" t="str">
        <f>HYPERLINK("https://www.maine.gov/dhhs/mecdc/infectious-disease/epi/airborne/coronavirus.shtml","Source")</f>
        <v>Source</v>
      </c>
      <c r="J48" s="30"/>
      <c r="K48" s="27"/>
      <c r="L48" s="47">
        <v>303.0</v>
      </c>
      <c r="M48" s="50">
        <v>5.0</v>
      </c>
    </row>
    <row r="49" ht="27.75" customHeight="1">
      <c r="A49" s="46" t="s">
        <v>125</v>
      </c>
      <c r="B49" s="47">
        <v>239.0</v>
      </c>
      <c r="C49" s="35">
        <f t="shared" si="1"/>
        <v>0</v>
      </c>
      <c r="D49" s="50">
        <v>8.0</v>
      </c>
      <c r="E49" s="52">
        <f t="shared" si="2"/>
        <v>0</v>
      </c>
      <c r="F49" s="39">
        <f t="shared" si="3"/>
        <v>0.03347280335</v>
      </c>
      <c r="G49" s="58" t="s">
        <v>20</v>
      </c>
      <c r="H49" s="58" t="s">
        <v>20</v>
      </c>
      <c r="I49" s="61" t="str">
        <f>HYPERLINK("http://www.salud.gov.pr/Pages/coronavirus.aspx","Source")</f>
        <v>Source</v>
      </c>
      <c r="J49" s="30"/>
      <c r="K49" s="27"/>
      <c r="L49" s="47">
        <v>239.0</v>
      </c>
      <c r="M49" s="50">
        <v>8.0</v>
      </c>
    </row>
    <row r="50" ht="27.75" customHeight="1">
      <c r="A50" s="46" t="s">
        <v>126</v>
      </c>
      <c r="B50" s="47">
        <v>258.0</v>
      </c>
      <c r="C50" s="35">
        <f t="shared" si="1"/>
        <v>34</v>
      </c>
      <c r="D50" s="50">
        <v>1.0</v>
      </c>
      <c r="E50" s="52">
        <f t="shared" si="2"/>
        <v>0</v>
      </c>
      <c r="F50" s="39">
        <f t="shared" si="3"/>
        <v>0.003875968992</v>
      </c>
      <c r="G50" s="58" t="s">
        <v>20</v>
      </c>
      <c r="H50" s="58">
        <v>49.0</v>
      </c>
      <c r="I50" s="61" t="str">
        <f>HYPERLINK("https://health.hawaii.gov/coronavirusdisease2019/","Source")</f>
        <v>Source</v>
      </c>
      <c r="J50" s="63"/>
      <c r="K50" s="27"/>
      <c r="L50" s="47">
        <v>224.0</v>
      </c>
      <c r="M50" s="50">
        <v>1.0</v>
      </c>
    </row>
    <row r="51" ht="27.75" customHeight="1">
      <c r="A51" s="46" t="s">
        <v>128</v>
      </c>
      <c r="B51" s="47">
        <v>208.0</v>
      </c>
      <c r="C51" s="35">
        <f t="shared" si="1"/>
        <v>10</v>
      </c>
      <c r="D51" s="50">
        <v>5.0</v>
      </c>
      <c r="E51" s="52">
        <f t="shared" si="2"/>
        <v>0</v>
      </c>
      <c r="F51" s="54">
        <f t="shared" si="3"/>
        <v>0.02403846154</v>
      </c>
      <c r="G51" s="58" t="s">
        <v>20</v>
      </c>
      <c r="H51" s="58" t="s">
        <v>20</v>
      </c>
      <c r="I51" s="61" t="str">
        <f>HYPERLINK("https://twitter.com/GovernorBullock/status/1244410611854790656","Source")</f>
        <v>Source</v>
      </c>
      <c r="J51" s="72"/>
      <c r="K51" s="68" t="s">
        <v>132</v>
      </c>
      <c r="L51" s="47">
        <v>198.0</v>
      </c>
      <c r="M51" s="50">
        <v>5.0</v>
      </c>
    </row>
    <row r="52" ht="27.75" customHeight="1">
      <c r="A52" s="46" t="s">
        <v>133</v>
      </c>
      <c r="B52" s="47">
        <v>191.0</v>
      </c>
      <c r="C52" s="35">
        <f t="shared" si="1"/>
        <v>29</v>
      </c>
      <c r="D52" s="50">
        <v>1.0</v>
      </c>
      <c r="E52" s="52">
        <f t="shared" si="2"/>
        <v>0</v>
      </c>
      <c r="F52" s="54">
        <f t="shared" si="3"/>
        <v>0.005235602094</v>
      </c>
      <c r="G52" s="58" t="s">
        <v>20</v>
      </c>
      <c r="H52" s="58" t="s">
        <v>20</v>
      </c>
      <c r="I52" s="61" t="str">
        <f>HYPERLINK("https://dhhr.wv.gov/COVID-19/Pages/default.aspx","Source")</f>
        <v>Source</v>
      </c>
      <c r="J52" s="63"/>
      <c r="K52" s="27"/>
      <c r="L52" s="47">
        <v>162.0</v>
      </c>
      <c r="M52" s="50">
        <v>1.0</v>
      </c>
    </row>
    <row r="53" ht="27.75" customHeight="1">
      <c r="A53" s="46" t="s">
        <v>137</v>
      </c>
      <c r="B53" s="47">
        <v>177.0</v>
      </c>
      <c r="C53" s="35">
        <f t="shared" si="1"/>
        <v>0</v>
      </c>
      <c r="D53" s="50">
        <v>3.0</v>
      </c>
      <c r="E53" s="52">
        <f t="shared" si="2"/>
        <v>0</v>
      </c>
      <c r="F53" s="39">
        <f t="shared" si="3"/>
        <v>0.01694915254</v>
      </c>
      <c r="G53" s="58" t="s">
        <v>20</v>
      </c>
      <c r="H53" s="58" t="s">
        <v>20</v>
      </c>
      <c r="I53" s="61" t="str">
        <f>HYPERLINK("https://nebraska.maps.arcgis.com/apps/opsdashboard/index.html#/4213f719a45647bc873ffb58783ffef3","Source")</f>
        <v>Source</v>
      </c>
      <c r="J53" s="30"/>
      <c r="K53" s="27"/>
      <c r="L53" s="47">
        <v>177.0</v>
      </c>
      <c r="M53" s="50">
        <v>3.0</v>
      </c>
    </row>
    <row r="54" ht="27.75" customHeight="1">
      <c r="A54" s="46" t="s">
        <v>142</v>
      </c>
      <c r="B54" s="47">
        <v>142.0</v>
      </c>
      <c r="C54" s="35">
        <f t="shared" si="1"/>
        <v>16</v>
      </c>
      <c r="D54" s="50">
        <v>3.0</v>
      </c>
      <c r="E54" s="52">
        <f t="shared" si="2"/>
        <v>0</v>
      </c>
      <c r="F54" s="54">
        <f t="shared" si="3"/>
        <v>0.02112676056</v>
      </c>
      <c r="G54" s="58" t="s">
        <v>20</v>
      </c>
      <c r="H54" s="58">
        <v>34.0</v>
      </c>
      <c r="I54" s="61" t="str">
        <f>HYPERLINK("https://www.health.nd.gov/diseases-conditions/coronavirus/north-dakota-coronavirus-cases","Source")</f>
        <v>Source</v>
      </c>
      <c r="J54" s="63"/>
      <c r="K54" s="27"/>
      <c r="L54" s="47">
        <v>126.0</v>
      </c>
      <c r="M54" s="50">
        <v>3.0</v>
      </c>
    </row>
    <row r="55" ht="27.75" customHeight="1">
      <c r="A55" s="46" t="s">
        <v>145</v>
      </c>
      <c r="B55" s="47">
        <v>133.0</v>
      </c>
      <c r="C55" s="35">
        <f t="shared" si="1"/>
        <v>0</v>
      </c>
      <c r="D55" s="50">
        <v>2.0</v>
      </c>
      <c r="E55" s="52">
        <f t="shared" si="2"/>
        <v>0</v>
      </c>
      <c r="F55" s="54">
        <f t="shared" si="3"/>
        <v>0.01503759398</v>
      </c>
      <c r="G55" s="58" t="s">
        <v>20</v>
      </c>
      <c r="H55" s="58" t="s">
        <v>20</v>
      </c>
      <c r="I55" s="61" t="str">
        <f>HYPERLINK("http://dhss.alaska.gov/dph/Epi/id/Pages/COVID-19/monitoring.aspx","Source")</f>
        <v>Source</v>
      </c>
      <c r="J55" s="30"/>
      <c r="K55" s="27"/>
      <c r="L55" s="47">
        <v>133.0</v>
      </c>
      <c r="M55" s="50">
        <v>2.0</v>
      </c>
    </row>
    <row r="56" ht="27.75" customHeight="1">
      <c r="A56" s="46" t="s">
        <v>147</v>
      </c>
      <c r="B56" s="47">
        <v>120.0</v>
      </c>
      <c r="C56" s="35">
        <f t="shared" si="1"/>
        <v>0</v>
      </c>
      <c r="D56" s="50">
        <v>0.0</v>
      </c>
      <c r="E56" s="52">
        <f t="shared" si="2"/>
        <v>0</v>
      </c>
      <c r="F56" s="39">
        <f t="shared" si="3"/>
        <v>0</v>
      </c>
      <c r="G56" s="58" t="s">
        <v>20</v>
      </c>
      <c r="H56" s="58">
        <v>26.0</v>
      </c>
      <c r="I56" s="61" t="str">
        <f>HYPERLINK("https://health.wyo.gov/publichealth/infectious-disease-epidemiology-unit/disease/novel-coronavirus/","Source")</f>
        <v>Source</v>
      </c>
      <c r="J56" s="30"/>
      <c r="K56" s="27"/>
      <c r="L56" s="47">
        <v>120.0</v>
      </c>
      <c r="M56" s="50">
        <v>0.0</v>
      </c>
    </row>
    <row r="57" ht="27.75" customHeight="1">
      <c r="A57" s="46" t="s">
        <v>150</v>
      </c>
      <c r="B57" s="47">
        <v>108.0</v>
      </c>
      <c r="C57" s="35">
        <f t="shared" si="1"/>
        <v>0</v>
      </c>
      <c r="D57" s="50">
        <v>1.0</v>
      </c>
      <c r="E57" s="52">
        <f t="shared" si="2"/>
        <v>0</v>
      </c>
      <c r="F57" s="54">
        <f t="shared" si="3"/>
        <v>0.009259259259</v>
      </c>
      <c r="G57" s="58" t="s">
        <v>20</v>
      </c>
      <c r="H57" s="58">
        <v>34.0</v>
      </c>
      <c r="I57" s="61" t="str">
        <f>HYPERLINK("https://doh.sd.gov/news/coronavirus.aspx","Source")</f>
        <v>Source</v>
      </c>
      <c r="J57" s="30"/>
      <c r="K57" s="27"/>
      <c r="L57" s="47">
        <v>108.0</v>
      </c>
      <c r="M57" s="50">
        <v>1.0</v>
      </c>
    </row>
    <row r="58" ht="27.75" customHeight="1">
      <c r="A58" s="46" t="s">
        <v>154</v>
      </c>
      <c r="B58" s="47">
        <v>69.0</v>
      </c>
      <c r="C58" s="35">
        <f t="shared" si="1"/>
        <v>0</v>
      </c>
      <c r="D58" s="50">
        <v>3.0</v>
      </c>
      <c r="E58" s="52">
        <f t="shared" si="2"/>
        <v>1</v>
      </c>
      <c r="F58" s="39">
        <f t="shared" si="3"/>
        <v>0.04347826087</v>
      </c>
      <c r="G58" s="58" t="s">
        <v>20</v>
      </c>
      <c r="H58" s="58">
        <v>7.0</v>
      </c>
      <c r="I58" s="61" t="str">
        <f>HYPERLINK("https://ghs.guam.gov/jic-release-no-43-third-covid-19-related-death-profiles-earlier-confirmed-cases-covid-19-hotline","Source")</f>
        <v>Source</v>
      </c>
      <c r="J58" s="30"/>
      <c r="K58" s="27"/>
      <c r="L58" s="47">
        <v>69.0</v>
      </c>
      <c r="M58" s="50">
        <v>2.0</v>
      </c>
    </row>
    <row r="59" ht="33.0" customHeight="1">
      <c r="A59" s="46" t="s">
        <v>157</v>
      </c>
      <c r="B59" s="47">
        <v>46.0</v>
      </c>
      <c r="C59" s="35">
        <f t="shared" si="1"/>
        <v>0</v>
      </c>
      <c r="D59" s="50">
        <v>0.0</v>
      </c>
      <c r="E59" s="52">
        <f t="shared" si="2"/>
        <v>0</v>
      </c>
      <c r="F59" s="54">
        <f t="shared" si="3"/>
        <v>0</v>
      </c>
      <c r="G59" s="58" t="s">
        <v>20</v>
      </c>
      <c r="H59" s="58">
        <v>2.0</v>
      </c>
      <c r="I59" s="61" t="str">
        <f>HYPERLINK("https://www.cdc.gov/coronavirus/2019-ncov/cases-in-us.html","Source")</f>
        <v>Source</v>
      </c>
      <c r="J59" s="30"/>
      <c r="K59" s="27"/>
      <c r="L59" s="47">
        <v>46.0</v>
      </c>
      <c r="M59" s="50">
        <v>0.0</v>
      </c>
    </row>
    <row r="60" ht="27.75" customHeight="1">
      <c r="A60" s="46" t="s">
        <v>163</v>
      </c>
      <c r="B60" s="47">
        <v>30.0</v>
      </c>
      <c r="C60" s="35">
        <f t="shared" si="1"/>
        <v>0</v>
      </c>
      <c r="D60" s="50">
        <v>0.0</v>
      </c>
      <c r="E60" s="52">
        <f t="shared" si="2"/>
        <v>0</v>
      </c>
      <c r="F60" s="54">
        <f t="shared" si="3"/>
        <v>0</v>
      </c>
      <c r="G60" s="58" t="s">
        <v>20</v>
      </c>
      <c r="H60" s="58">
        <v>21.0</v>
      </c>
      <c r="I60" s="61" t="str">
        <f>HYPERLINK("https://doh.vi.gov/news/health-department-announces-eleven-additional-confirmed-covid-19-cases","Source")</f>
        <v>Source</v>
      </c>
      <c r="J60" s="27"/>
      <c r="K60" s="27"/>
      <c r="L60" s="47">
        <v>30.0</v>
      </c>
      <c r="M60" s="50">
        <v>0.0</v>
      </c>
    </row>
    <row r="61" ht="27.75" customHeight="1">
      <c r="A61" s="46" t="s">
        <v>165</v>
      </c>
      <c r="B61" s="47">
        <v>21.0</v>
      </c>
      <c r="C61" s="35">
        <f t="shared" si="1"/>
        <v>0</v>
      </c>
      <c r="D61" s="50">
        <v>0.0</v>
      </c>
      <c r="E61" s="52">
        <f t="shared" si="2"/>
        <v>0</v>
      </c>
      <c r="F61" s="39">
        <f t="shared" si="3"/>
        <v>0</v>
      </c>
      <c r="G61" s="58" t="s">
        <v>20</v>
      </c>
      <c r="H61" s="58" t="s">
        <v>20</v>
      </c>
      <c r="I61" s="61" t="str">
        <f>HYPERLINK("https://www.youtube.com/watch?v=pAsq7-_3XTI","Source")</f>
        <v>Source</v>
      </c>
      <c r="J61" s="27"/>
      <c r="K61" s="27"/>
      <c r="L61" s="47">
        <v>21.0</v>
      </c>
      <c r="M61" s="50">
        <v>0.0</v>
      </c>
    </row>
    <row r="62" ht="27.75" customHeight="1">
      <c r="A62" s="46" t="s">
        <v>166</v>
      </c>
      <c r="B62" s="47">
        <v>6.0</v>
      </c>
      <c r="C62" s="35">
        <f t="shared" si="1"/>
        <v>4</v>
      </c>
      <c r="D62" s="50">
        <v>1.0</v>
      </c>
      <c r="E62" s="52">
        <f t="shared" si="2"/>
        <v>1</v>
      </c>
      <c r="F62" s="39">
        <f t="shared" si="3"/>
        <v>0.1666666667</v>
      </c>
      <c r="G62" s="58" t="s">
        <v>20</v>
      </c>
      <c r="H62" s="58" t="s">
        <v>20</v>
      </c>
      <c r="I62" s="61" t="str">
        <f>HYPERLINK("https://guampdn.com/story/news/local/2020/03/28/saipan-confirms-two-covid-19-positive-cases/2932326001/","Source")</f>
        <v>Source</v>
      </c>
      <c r="J62" s="27"/>
      <c r="K62" s="27"/>
      <c r="L62" s="47">
        <v>2.0</v>
      </c>
      <c r="M62" s="50">
        <v>0.0</v>
      </c>
    </row>
    <row r="63" ht="27.75" customHeight="1">
      <c r="A63" s="46" t="s">
        <v>168</v>
      </c>
      <c r="B63" s="47">
        <v>3.0</v>
      </c>
      <c r="C63" s="35">
        <f t="shared" si="1"/>
        <v>0</v>
      </c>
      <c r="D63" s="50">
        <v>0.0</v>
      </c>
      <c r="E63" s="52">
        <f t="shared" si="2"/>
        <v>0</v>
      </c>
      <c r="F63" s="39">
        <f t="shared" si="3"/>
        <v>0</v>
      </c>
      <c r="G63" s="58" t="s">
        <v>20</v>
      </c>
      <c r="H63" s="58" t="s">
        <v>20</v>
      </c>
      <c r="I63" s="112" t="s">
        <v>20</v>
      </c>
      <c r="J63" s="27"/>
      <c r="K63" s="27"/>
      <c r="L63" s="47">
        <v>3.0</v>
      </c>
      <c r="M63" s="50">
        <v>0.0</v>
      </c>
    </row>
    <row r="64" ht="27.75" customHeight="1">
      <c r="A64" s="46" t="s">
        <v>171</v>
      </c>
      <c r="B64" s="47">
        <v>0.0</v>
      </c>
      <c r="C64" s="35">
        <f t="shared" si="1"/>
        <v>0</v>
      </c>
      <c r="D64" s="50">
        <v>0.0</v>
      </c>
      <c r="E64" s="52">
        <f t="shared" si="2"/>
        <v>0</v>
      </c>
      <c r="F64" s="92" t="s">
        <v>44</v>
      </c>
      <c r="G64" s="58" t="s">
        <v>20</v>
      </c>
      <c r="H64" s="58" t="s">
        <v>20</v>
      </c>
      <c r="I64" s="113" t="s">
        <v>20</v>
      </c>
      <c r="J64" s="27"/>
      <c r="K64" s="27"/>
      <c r="L64" s="47">
        <v>0.0</v>
      </c>
      <c r="M64" s="50">
        <v>0.0</v>
      </c>
    </row>
    <row r="65" ht="15.75" customHeight="1">
      <c r="A65" s="114" t="s">
        <v>182</v>
      </c>
      <c r="B65" s="116"/>
      <c r="C65" s="116"/>
      <c r="D65" s="117"/>
      <c r="E65" s="117"/>
      <c r="F65" s="118"/>
      <c r="G65" s="118"/>
      <c r="H65" s="119"/>
      <c r="I65" s="120"/>
      <c r="J65" s="121"/>
      <c r="K65" s="121"/>
      <c r="L65" s="116"/>
      <c r="M65" s="117"/>
    </row>
    <row r="66" ht="30.0" customHeight="1">
      <c r="A66" s="122" t="s">
        <v>190</v>
      </c>
      <c r="B66" s="123">
        <f>SUM(B6:B65, L65)</f>
        <v>213713</v>
      </c>
      <c r="C66" s="124">
        <f>SUM(C6:C63)</f>
        <v>25169</v>
      </c>
      <c r="D66" s="123">
        <f>SUM(D6:D65)</f>
        <v>5005</v>
      </c>
      <c r="E66" s="125">
        <f>SUM(E6:E63)</f>
        <v>966</v>
      </c>
      <c r="F66" s="126">
        <f>DIVIDE(B3,A3)</f>
        <v>0.02341925854</v>
      </c>
      <c r="G66" s="127">
        <f t="shared" ref="G66:H66" si="4">SUM(G6:G63)</f>
        <v>4344</v>
      </c>
      <c r="H66" s="128">
        <f t="shared" si="4"/>
        <v>7637</v>
      </c>
      <c r="I66" s="129"/>
      <c r="J66" s="27"/>
      <c r="K66" s="27"/>
      <c r="L66" s="123">
        <f>SUM(L6:L65, V65)</f>
        <v>188544</v>
      </c>
      <c r="M66" s="123">
        <f>SUM(M6:M65)</f>
        <v>4039</v>
      </c>
    </row>
    <row r="67">
      <c r="A67" s="130"/>
      <c r="B67" s="131" t="s">
        <v>7</v>
      </c>
      <c r="C67" s="131" t="s">
        <v>9</v>
      </c>
      <c r="D67" s="131" t="s">
        <v>10</v>
      </c>
      <c r="E67" s="132" t="s">
        <v>11</v>
      </c>
      <c r="F67" s="132" t="s">
        <v>202</v>
      </c>
      <c r="G67" s="132" t="s">
        <v>13</v>
      </c>
      <c r="H67" s="132" t="s">
        <v>14</v>
      </c>
      <c r="I67" s="131" t="s">
        <v>15</v>
      </c>
      <c r="J67" s="5"/>
      <c r="K67" s="5"/>
      <c r="L67" s="131" t="s">
        <v>7</v>
      </c>
      <c r="M67" s="131" t="s">
        <v>10</v>
      </c>
    </row>
    <row r="68">
      <c r="A68" s="83"/>
      <c r="B68" s="84"/>
      <c r="C68" s="84"/>
      <c r="D68" s="84"/>
      <c r="E68" s="84"/>
      <c r="F68" s="84"/>
      <c r="G68" s="84"/>
      <c r="H68" s="84"/>
      <c r="I68" s="86"/>
      <c r="J68" s="5"/>
      <c r="K68" s="5"/>
      <c r="L68" s="84"/>
      <c r="M68" s="84"/>
    </row>
  </sheetData>
  <mergeCells count="2">
    <mergeCell ref="A1:H1"/>
    <mergeCell ref="E2:G2"/>
  </mergeCells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C2" s="6" t="s">
        <v>3</v>
      </c>
      <c r="D2" s="4"/>
      <c r="E2" s="8" t="s">
        <v>4</v>
      </c>
      <c r="I2" s="9"/>
      <c r="J2" s="5"/>
      <c r="K2" s="5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3">
        <f>SUM(B17, B18)</f>
        <v>4862</v>
      </c>
      <c r="B3" s="13">
        <f>SUM(D17, D18)</f>
        <v>20</v>
      </c>
      <c r="C3" s="14">
        <f>SUM(H17, H18)</f>
        <v>422</v>
      </c>
      <c r="D3" s="13"/>
      <c r="E3" s="16">
        <f>MINUS(A3,B3 + C3)</f>
        <v>4420</v>
      </c>
      <c r="F3" s="16"/>
      <c r="G3" s="16"/>
      <c r="H3" s="6"/>
      <c r="I3" s="9"/>
      <c r="J3" s="5"/>
      <c r="K3" s="5"/>
      <c r="L3" s="13">
        <f>SUM(N17, N18)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7"/>
      <c r="B4" s="9"/>
      <c r="C4" s="9"/>
      <c r="D4" s="9"/>
      <c r="E4" s="9"/>
      <c r="F4" s="7"/>
      <c r="G4" s="7"/>
      <c r="H4" s="7"/>
      <c r="I4" s="9"/>
      <c r="J4" s="5"/>
      <c r="K4" s="5"/>
      <c r="L4" s="9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20" t="s">
        <v>6</v>
      </c>
      <c r="B5" s="21" t="s">
        <v>7</v>
      </c>
      <c r="C5" s="24" t="s">
        <v>9</v>
      </c>
      <c r="D5" s="21" t="s">
        <v>10</v>
      </c>
      <c r="E5" s="25" t="s">
        <v>11</v>
      </c>
      <c r="F5" s="25" t="s">
        <v>12</v>
      </c>
      <c r="G5" s="26" t="s">
        <v>13</v>
      </c>
      <c r="H5" s="26" t="s">
        <v>14</v>
      </c>
      <c r="I5" s="21" t="s">
        <v>15</v>
      </c>
      <c r="J5" s="27"/>
      <c r="K5" s="27"/>
      <c r="L5" s="21" t="s">
        <v>7</v>
      </c>
      <c r="M5" s="21" t="s">
        <v>10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ht="30.0" customHeight="1">
      <c r="A6" s="33" t="s">
        <v>17</v>
      </c>
      <c r="B6" s="38">
        <v>2182.0</v>
      </c>
      <c r="C6" s="35">
        <f t="shared" ref="C6:C15" si="1">MINUS(B6,L6)</f>
        <v>150</v>
      </c>
      <c r="D6" s="38">
        <v>9.0</v>
      </c>
      <c r="E6" s="37">
        <f t="shared" ref="E6:E13" si="2">MINUS(D6,M6)</f>
        <v>1</v>
      </c>
      <c r="F6" s="39">
        <f t="shared" ref="F6:F13" si="3">DIVIDE(D6, B6)</f>
        <v>0.004124656279</v>
      </c>
      <c r="G6" s="45">
        <v>42.0</v>
      </c>
      <c r="H6" s="48">
        <v>4.0</v>
      </c>
      <c r="I6" s="51" t="str">
        <f>HYPERLINK("https://www.health.nsw.gov.au/news/Pages/20200401_00.aspx","Source")</f>
        <v>Source</v>
      </c>
      <c r="J6" s="53"/>
      <c r="K6" s="27"/>
      <c r="L6" s="38">
        <v>2032.0</v>
      </c>
      <c r="M6" s="38">
        <v>8.0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ht="30.0" customHeight="1">
      <c r="A7" s="33" t="s">
        <v>21</v>
      </c>
      <c r="B7" s="38">
        <v>968.0</v>
      </c>
      <c r="C7" s="35">
        <f t="shared" si="1"/>
        <v>51</v>
      </c>
      <c r="D7" s="56">
        <v>4.0</v>
      </c>
      <c r="E7" s="52">
        <f t="shared" si="2"/>
        <v>0</v>
      </c>
      <c r="F7" s="60">
        <f t="shared" si="3"/>
        <v>0.004132231405</v>
      </c>
      <c r="G7" s="48">
        <v>6.0</v>
      </c>
      <c r="H7" s="48">
        <v>343.0</v>
      </c>
      <c r="I7" s="51" t="str">
        <f>HYPERLINK("https://www.dhhs.vic.gov.au/coronavirus-update-victoria-1-april-2020","Source")</f>
        <v>Source</v>
      </c>
      <c r="J7" s="53"/>
      <c r="K7" s="27"/>
      <c r="L7" s="38">
        <v>917.0</v>
      </c>
      <c r="M7" s="56">
        <v>4.0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ht="30.0" customHeight="1">
      <c r="A8" s="29" t="s">
        <v>22</v>
      </c>
      <c r="B8" s="32">
        <v>781.0</v>
      </c>
      <c r="C8" s="35">
        <f t="shared" si="1"/>
        <v>38</v>
      </c>
      <c r="D8" s="64">
        <v>2.0</v>
      </c>
      <c r="E8" s="52">
        <f t="shared" si="2"/>
        <v>0</v>
      </c>
      <c r="F8" s="39">
        <f t="shared" si="3"/>
        <v>0.002560819462</v>
      </c>
      <c r="G8" s="48">
        <v>7.0</v>
      </c>
      <c r="H8" s="65">
        <v>8.0</v>
      </c>
      <c r="I8" s="43" t="str">
        <f>HYPERLINK("https://www.qld.gov.au/health/conditions/health-alerts/coronavirus-covid-19/current-status/current-status-and-contact-tracing-alerts","Source")</f>
        <v>Source</v>
      </c>
      <c r="J8" s="53"/>
      <c r="K8" s="27"/>
      <c r="L8" s="32">
        <v>743.0</v>
      </c>
      <c r="M8" s="64">
        <v>2.0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ht="30.0" customHeight="1">
      <c r="A9" s="33" t="s">
        <v>27</v>
      </c>
      <c r="B9" s="38">
        <v>392.0</v>
      </c>
      <c r="C9" s="35">
        <f t="shared" si="1"/>
        <v>28</v>
      </c>
      <c r="D9" s="56">
        <v>2.0</v>
      </c>
      <c r="E9" s="52">
        <f t="shared" si="2"/>
        <v>0</v>
      </c>
      <c r="F9" s="39">
        <f t="shared" si="3"/>
        <v>0.005102040816</v>
      </c>
      <c r="G9" s="48">
        <v>14.0</v>
      </c>
      <c r="H9" s="48">
        <v>48.0</v>
      </c>
      <c r="I9" s="51" t="str">
        <f>HYPERLINK("https://twitter.com/Matt_Tinney/status/1245224980788301827","Source")</f>
        <v>Source</v>
      </c>
      <c r="J9" s="53"/>
      <c r="K9" s="27"/>
      <c r="L9" s="38">
        <v>364.0</v>
      </c>
      <c r="M9" s="56">
        <v>2.0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ht="30.0" customHeight="1">
      <c r="A10" s="33" t="s">
        <v>30</v>
      </c>
      <c r="B10" s="38">
        <v>367.0</v>
      </c>
      <c r="C10" s="35">
        <f t="shared" si="1"/>
        <v>30</v>
      </c>
      <c r="D10" s="56">
        <v>0.0</v>
      </c>
      <c r="E10" s="52">
        <f t="shared" si="2"/>
        <v>0</v>
      </c>
      <c r="F10" s="60">
        <f t="shared" si="3"/>
        <v>0</v>
      </c>
      <c r="G10" s="48">
        <v>8.0</v>
      </c>
      <c r="H10" s="48">
        <v>6.0</v>
      </c>
      <c r="I10" s="51" t="str">
        <f>HYPERLINK("https://twitter.com/theTiser/status/1245225965988409344","Source")</f>
        <v>Source</v>
      </c>
      <c r="J10" s="53"/>
      <c r="K10" s="27"/>
      <c r="L10" s="38">
        <v>337.0</v>
      </c>
      <c r="M10" s="56">
        <v>0.0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ht="30.0" customHeight="1">
      <c r="A11" s="33" t="s">
        <v>33</v>
      </c>
      <c r="B11" s="38">
        <v>84.0</v>
      </c>
      <c r="C11" s="35">
        <f t="shared" si="1"/>
        <v>5</v>
      </c>
      <c r="D11" s="56">
        <v>1.0</v>
      </c>
      <c r="E11" s="52">
        <f t="shared" si="2"/>
        <v>0</v>
      </c>
      <c r="F11" s="60">
        <f t="shared" si="3"/>
        <v>0.0119047619</v>
      </c>
      <c r="G11" s="48" t="s">
        <v>20</v>
      </c>
      <c r="H11" s="48">
        <v>8.0</v>
      </c>
      <c r="I11" s="51" t="str">
        <f>HYPERLINK("https://www.covid19.act.gov.au/news-articles/covid-19-update-1-april-2020","Source")</f>
        <v>Source</v>
      </c>
      <c r="J11" s="53"/>
      <c r="K11" s="27"/>
      <c r="L11" s="38">
        <v>79.0</v>
      </c>
      <c r="M11" s="56">
        <v>1.0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ht="30.0" customHeight="1">
      <c r="A12" s="33" t="s">
        <v>36</v>
      </c>
      <c r="B12" s="38">
        <v>69.0</v>
      </c>
      <c r="C12" s="35">
        <f t="shared" si="1"/>
        <v>0</v>
      </c>
      <c r="D12" s="56">
        <v>2.0</v>
      </c>
      <c r="E12" s="52">
        <f t="shared" si="2"/>
        <v>0</v>
      </c>
      <c r="F12" s="39">
        <f t="shared" si="3"/>
        <v>0.02898550725</v>
      </c>
      <c r="G12" s="48" t="s">
        <v>20</v>
      </c>
      <c r="H12" s="48">
        <v>5.0</v>
      </c>
      <c r="I12" s="51" t="str">
        <f>HYPERLINK("https://www.abc.net.au/news/2020-03-30/tasmania-records-first-coronavirus-death/12101078","Source")</f>
        <v>Source</v>
      </c>
      <c r="J12" s="53"/>
      <c r="K12" s="27"/>
      <c r="L12" s="38">
        <v>69.0</v>
      </c>
      <c r="M12" s="56">
        <v>2.0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ht="30.0" customHeight="1">
      <c r="A13" s="33" t="s">
        <v>38</v>
      </c>
      <c r="B13" s="38">
        <v>19.0</v>
      </c>
      <c r="C13" s="35">
        <f t="shared" si="1"/>
        <v>0</v>
      </c>
      <c r="D13" s="56">
        <v>0.0</v>
      </c>
      <c r="E13" s="52">
        <f t="shared" si="2"/>
        <v>0</v>
      </c>
      <c r="F13" s="60">
        <f t="shared" si="3"/>
        <v>0</v>
      </c>
      <c r="G13" s="48" t="s">
        <v>20</v>
      </c>
      <c r="H13" s="48" t="s">
        <v>20</v>
      </c>
      <c r="I13" s="51" t="str">
        <f>HYPERLINK("http://mediareleases.nt.gov.au/mediaRelease/32145","Source")</f>
        <v>Source</v>
      </c>
      <c r="J13" s="53"/>
      <c r="K13" s="27"/>
      <c r="L13" s="38">
        <v>19.0</v>
      </c>
      <c r="M13" s="56">
        <v>0.0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ht="30.0" customHeight="1">
      <c r="A14" s="33" t="s">
        <v>41</v>
      </c>
      <c r="B14" s="38">
        <v>0.0</v>
      </c>
      <c r="C14" s="35">
        <f t="shared" si="1"/>
        <v>0</v>
      </c>
      <c r="D14" s="56">
        <v>0.0</v>
      </c>
      <c r="E14" s="37">
        <f t="shared" ref="E14:E15" si="4">MINUS(D14,L14)</f>
        <v>0</v>
      </c>
      <c r="F14" s="70" t="s">
        <v>44</v>
      </c>
      <c r="G14" s="48">
        <v>0.0</v>
      </c>
      <c r="H14" s="48">
        <v>0.0</v>
      </c>
      <c r="I14" s="71"/>
      <c r="J14" s="27"/>
      <c r="K14" s="27"/>
      <c r="L14" s="38">
        <v>0.0</v>
      </c>
      <c r="M14" s="56">
        <v>0.0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ht="30.0" customHeight="1">
      <c r="A15" s="33" t="s">
        <v>45</v>
      </c>
      <c r="B15" s="38">
        <v>0.0</v>
      </c>
      <c r="C15" s="35">
        <f t="shared" si="1"/>
        <v>0</v>
      </c>
      <c r="D15" s="56">
        <v>0.0</v>
      </c>
      <c r="E15" s="37">
        <f t="shared" si="4"/>
        <v>0</v>
      </c>
      <c r="F15" s="73" t="s">
        <v>44</v>
      </c>
      <c r="G15" s="48">
        <v>0.0</v>
      </c>
      <c r="H15" s="48">
        <v>0.0</v>
      </c>
      <c r="I15" s="71"/>
      <c r="J15" s="27"/>
      <c r="K15" s="27"/>
      <c r="L15" s="38">
        <v>0.0</v>
      </c>
      <c r="M15" s="56">
        <v>0.0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ht="12.75" customHeight="1">
      <c r="A16" s="75"/>
      <c r="B16" s="76"/>
      <c r="C16" s="75"/>
      <c r="D16" s="77"/>
      <c r="E16" s="75"/>
      <c r="F16" s="78"/>
      <c r="G16" s="78"/>
      <c r="H16" s="78"/>
      <c r="I16" s="79"/>
      <c r="J16" s="27"/>
      <c r="K16" s="27"/>
      <c r="L16" s="76"/>
      <c r="M16" s="77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ht="30.0" customHeight="1">
      <c r="A17" s="80" t="s">
        <v>51</v>
      </c>
      <c r="B17" s="81">
        <f>SUM(B6:B15)</f>
        <v>4862</v>
      </c>
      <c r="C17" s="35">
        <f>MINUS(B17,L17)</f>
        <v>302</v>
      </c>
      <c r="D17" s="81">
        <f>SUM(D6:D15)</f>
        <v>20</v>
      </c>
      <c r="E17" s="37">
        <f>MINUS(D17,N17)</f>
        <v>20</v>
      </c>
      <c r="F17" s="39">
        <f>DIVIDE(D17, B17)</f>
        <v>0.004113533525</v>
      </c>
      <c r="G17" s="81">
        <f t="shared" ref="G17:H17" si="5">SUM(G6:G15)</f>
        <v>77</v>
      </c>
      <c r="H17" s="81">
        <f t="shared" si="5"/>
        <v>422</v>
      </c>
      <c r="I17" s="82"/>
      <c r="J17" s="27"/>
      <c r="K17" s="27"/>
      <c r="L17" s="81">
        <f t="shared" ref="L17:M17" si="6">SUM(L6:L15)</f>
        <v>4560</v>
      </c>
      <c r="M17" s="81">
        <f t="shared" si="6"/>
        <v>19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>
      <c r="A18" s="83"/>
      <c r="B18" s="84"/>
      <c r="C18" s="84"/>
      <c r="D18" s="84"/>
      <c r="E18" s="84"/>
      <c r="F18" s="85"/>
      <c r="G18" s="85"/>
      <c r="H18" s="84"/>
      <c r="I18" s="86"/>
      <c r="J18" s="5"/>
      <c r="K18" s="5"/>
      <c r="L18" s="84"/>
      <c r="M18" s="8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87"/>
      <c r="B19" s="88"/>
      <c r="C19" s="88"/>
      <c r="D19" s="10"/>
      <c r="E19" s="10"/>
      <c r="F19" s="10"/>
      <c r="G19" s="10"/>
      <c r="H19" s="10"/>
      <c r="I19" s="3"/>
      <c r="J19" s="5"/>
      <c r="K19" s="5"/>
      <c r="L19" s="88"/>
      <c r="M19" s="1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89"/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0"/>
      <c r="M20" s="1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89"/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6" t="s">
        <v>3</v>
      </c>
      <c r="D2" s="4"/>
      <c r="E2" s="8" t="s">
        <v>4</v>
      </c>
      <c r="I2" s="9"/>
      <c r="J2" s="3"/>
      <c r="K2" s="3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>
        <f>SUM(B20, B21)</f>
        <v>9731</v>
      </c>
      <c r="B3" s="13">
        <f>SUM(D20, D21)</f>
        <v>111</v>
      </c>
      <c r="C3" s="14">
        <f>SUM(H20, H21)</f>
        <v>1540</v>
      </c>
      <c r="D3" s="13"/>
      <c r="E3" s="16">
        <f>MINUS(A3,B3 + C3)</f>
        <v>8080</v>
      </c>
      <c r="F3" s="16"/>
      <c r="G3" s="16"/>
      <c r="H3" s="6"/>
      <c r="I3" s="9"/>
      <c r="J3" s="5"/>
      <c r="K3" s="3"/>
      <c r="L3" s="13">
        <f>SUM(N20, N21)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7"/>
      <c r="B4" s="9"/>
      <c r="C4" s="9"/>
      <c r="D4" s="9"/>
      <c r="E4" s="9"/>
      <c r="F4" s="7"/>
      <c r="G4" s="7"/>
      <c r="H4" s="7"/>
      <c r="I4" s="9"/>
      <c r="J4" s="5"/>
      <c r="K4" s="3"/>
      <c r="L4" s="9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20" t="s">
        <v>70</v>
      </c>
      <c r="B5" s="21" t="s">
        <v>7</v>
      </c>
      <c r="C5" s="24" t="s">
        <v>9</v>
      </c>
      <c r="D5" s="21" t="s">
        <v>10</v>
      </c>
      <c r="E5" s="25" t="s">
        <v>11</v>
      </c>
      <c r="F5" s="25" t="s">
        <v>12</v>
      </c>
      <c r="G5" s="26" t="s">
        <v>13</v>
      </c>
      <c r="H5" s="26" t="s">
        <v>14</v>
      </c>
      <c r="I5" s="21" t="s">
        <v>15</v>
      </c>
      <c r="J5" s="27"/>
      <c r="K5" s="27"/>
      <c r="L5" s="21" t="s">
        <v>7</v>
      </c>
      <c r="M5" s="21" t="s">
        <v>10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30.0" customHeight="1">
      <c r="A6" s="33" t="s">
        <v>73</v>
      </c>
      <c r="B6" s="38">
        <v>4611.0</v>
      </c>
      <c r="C6" s="35">
        <f t="shared" ref="C6:C20" si="1">MINUS(B6,L6)</f>
        <v>449</v>
      </c>
      <c r="D6" s="56">
        <v>33.0</v>
      </c>
      <c r="E6" s="52">
        <f t="shared" ref="E6:E20" si="2">MINUS(D6,M6)</f>
        <v>2</v>
      </c>
      <c r="F6" s="39">
        <f t="shared" ref="F6:F18" si="3">DIVIDE(D6, B6)</f>
        <v>0.007156798959</v>
      </c>
      <c r="G6" s="48" t="s">
        <v>20</v>
      </c>
      <c r="H6" s="48">
        <v>29.0</v>
      </c>
      <c r="I6" s="51" t="str">
        <f>HYPERLINK("https://msss.gouv.qc.ca/professionnels/maladies-infectieuses/coronavirus-2019-ncov/#situation-au-quebec","Source")</f>
        <v>Source</v>
      </c>
      <c r="J6" s="30"/>
      <c r="K6" s="27"/>
      <c r="L6" s="38">
        <v>4162.0</v>
      </c>
      <c r="M6" s="56">
        <v>31.0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30.0" customHeight="1">
      <c r="A7" s="29" t="s">
        <v>77</v>
      </c>
      <c r="B7" s="32">
        <v>2392.0</v>
      </c>
      <c r="C7" s="35">
        <f t="shared" si="1"/>
        <v>426</v>
      </c>
      <c r="D7" s="64">
        <v>37.0</v>
      </c>
      <c r="E7" s="52">
        <f t="shared" si="2"/>
        <v>4</v>
      </c>
      <c r="F7" s="54">
        <f t="shared" si="3"/>
        <v>0.01546822742</v>
      </c>
      <c r="G7" s="48" t="s">
        <v>20</v>
      </c>
      <c r="H7" s="65">
        <v>689.0</v>
      </c>
      <c r="I7" s="43" t="str">
        <f>HYPERLINK("https://www.ontario.ca/page/2019-novel-coronavirus","Source")</f>
        <v>Source</v>
      </c>
      <c r="J7" s="63"/>
      <c r="K7" s="27"/>
      <c r="L7" s="32">
        <v>1966.0</v>
      </c>
      <c r="M7" s="64">
        <v>33.0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30.0" customHeight="1">
      <c r="A8" s="33" t="s">
        <v>80</v>
      </c>
      <c r="B8" s="38">
        <v>1066.0</v>
      </c>
      <c r="C8" s="35">
        <f t="shared" si="1"/>
        <v>53</v>
      </c>
      <c r="D8" s="38">
        <v>25.0</v>
      </c>
      <c r="E8" s="37">
        <f t="shared" si="2"/>
        <v>1</v>
      </c>
      <c r="F8" s="39">
        <f t="shared" si="3"/>
        <v>0.0234521576</v>
      </c>
      <c r="G8" s="45">
        <v>60.0</v>
      </c>
      <c r="H8" s="48">
        <v>606.0</v>
      </c>
      <c r="I8" s="51" t="str">
        <f>HYPERLINK("http://www.bccdc.ca/about/news-stories/stories/2020/information-on-novel-coronavirus","Source")</f>
        <v>Source</v>
      </c>
      <c r="J8" s="30"/>
      <c r="K8" s="27"/>
      <c r="L8" s="38">
        <v>1013.0</v>
      </c>
      <c r="M8" s="38">
        <v>24.0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30.0" customHeight="1">
      <c r="A9" s="33" t="s">
        <v>84</v>
      </c>
      <c r="B9" s="38">
        <v>871.0</v>
      </c>
      <c r="C9" s="35">
        <f t="shared" si="1"/>
        <v>117</v>
      </c>
      <c r="D9" s="56">
        <v>11.0</v>
      </c>
      <c r="E9" s="52">
        <f t="shared" si="2"/>
        <v>2</v>
      </c>
      <c r="F9" s="54">
        <f t="shared" si="3"/>
        <v>0.01262916188</v>
      </c>
      <c r="G9" s="48" t="s">
        <v>20</v>
      </c>
      <c r="H9" s="48">
        <v>142.0</v>
      </c>
      <c r="I9" s="51" t="str">
        <f>HYPERLINK("https://www.alberta.ca/coronavirus-info-for-albertans.aspx","Source")</f>
        <v>Source</v>
      </c>
      <c r="J9" s="30"/>
      <c r="K9" s="27"/>
      <c r="L9" s="38">
        <v>754.0</v>
      </c>
      <c r="M9" s="56">
        <v>9.0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30.0" customHeight="1">
      <c r="A10" s="33" t="s">
        <v>87</v>
      </c>
      <c r="B10" s="38">
        <v>193.0</v>
      </c>
      <c r="C10" s="35">
        <f t="shared" si="1"/>
        <v>9</v>
      </c>
      <c r="D10" s="56">
        <v>3.0</v>
      </c>
      <c r="E10" s="52">
        <f t="shared" si="2"/>
        <v>1</v>
      </c>
      <c r="F10" s="39">
        <f t="shared" si="3"/>
        <v>0.01554404145</v>
      </c>
      <c r="G10" s="48">
        <v>1.0</v>
      </c>
      <c r="H10" s="48">
        <v>30.0</v>
      </c>
      <c r="I10" s="51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30"/>
      <c r="K10" s="27"/>
      <c r="L10" s="38">
        <v>184.0</v>
      </c>
      <c r="M10" s="56">
        <v>2.0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30.0" customHeight="1">
      <c r="A11" s="33" t="s">
        <v>89</v>
      </c>
      <c r="B11" s="38">
        <v>175.0</v>
      </c>
      <c r="C11" s="35">
        <f t="shared" si="1"/>
        <v>23</v>
      </c>
      <c r="D11" s="56">
        <v>1.0</v>
      </c>
      <c r="E11" s="52">
        <f t="shared" si="2"/>
        <v>0</v>
      </c>
      <c r="F11" s="54">
        <f t="shared" si="3"/>
        <v>0.005714285714</v>
      </c>
      <c r="G11" s="48">
        <v>3.0</v>
      </c>
      <c r="H11" s="48">
        <v>10.0</v>
      </c>
      <c r="I11" s="51" t="str">
        <f>HYPERLINK("https://www.gov.nl.ca/covid-19/pandemic-update/","Source")</f>
        <v>Source</v>
      </c>
      <c r="J11" s="30"/>
      <c r="K11" s="90"/>
      <c r="L11" s="38">
        <v>152.0</v>
      </c>
      <c r="M11" s="56">
        <v>1.0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30.0" customHeight="1">
      <c r="A12" s="33" t="s">
        <v>92</v>
      </c>
      <c r="B12" s="38">
        <v>173.0</v>
      </c>
      <c r="C12" s="35">
        <f t="shared" si="1"/>
        <v>26</v>
      </c>
      <c r="D12" s="56">
        <v>0.0</v>
      </c>
      <c r="E12" s="52">
        <f t="shared" si="2"/>
        <v>0</v>
      </c>
      <c r="F12" s="39">
        <f t="shared" si="3"/>
        <v>0</v>
      </c>
      <c r="G12" s="48" t="s">
        <v>20</v>
      </c>
      <c r="H12" s="48">
        <v>10.0</v>
      </c>
      <c r="I12" s="51" t="str">
        <f>HYPERLINK("https://novascotia.ca/coronavirus/#alerts","Source")</f>
        <v>Source</v>
      </c>
      <c r="J12" s="30"/>
      <c r="K12" s="27"/>
      <c r="L12" s="38">
        <v>147.0</v>
      </c>
      <c r="M12" s="56">
        <v>0.0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30.0" customHeight="1">
      <c r="A13" s="33" t="s">
        <v>96</v>
      </c>
      <c r="B13" s="38">
        <v>127.0</v>
      </c>
      <c r="C13" s="35">
        <f t="shared" si="1"/>
        <v>24</v>
      </c>
      <c r="D13" s="56">
        <v>1.0</v>
      </c>
      <c r="E13" s="52">
        <f t="shared" si="2"/>
        <v>0</v>
      </c>
      <c r="F13" s="39">
        <f t="shared" si="3"/>
        <v>0.007874015748</v>
      </c>
      <c r="G13" s="48">
        <v>1.0</v>
      </c>
      <c r="H13" s="48">
        <v>4.0</v>
      </c>
      <c r="I13" s="51" t="str">
        <f>HYPERLINK("https://www.gov.mb.ca/covid19/","Source")</f>
        <v>Source</v>
      </c>
      <c r="J13" s="30"/>
      <c r="K13" s="27"/>
      <c r="L13" s="38">
        <v>103.0</v>
      </c>
      <c r="M13" s="56">
        <v>1.0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30.0" customHeight="1">
      <c r="A14" s="33" t="s">
        <v>98</v>
      </c>
      <c r="B14" s="38">
        <v>81.0</v>
      </c>
      <c r="C14" s="35">
        <f t="shared" si="1"/>
        <v>11</v>
      </c>
      <c r="D14" s="56">
        <v>0.0</v>
      </c>
      <c r="E14" s="52">
        <f t="shared" si="2"/>
        <v>0</v>
      </c>
      <c r="F14" s="54">
        <f t="shared" si="3"/>
        <v>0</v>
      </c>
      <c r="G14" s="48" t="s">
        <v>20</v>
      </c>
      <c r="H14" s="48">
        <v>14.0</v>
      </c>
      <c r="I14" s="51" t="str">
        <f>HYPERLINK("https://www2.gnb.ca/content/gnb/en/departments/ocmoh/cdc/content/respiratory_diseases/coronavirus.html","Source")</f>
        <v>Source</v>
      </c>
      <c r="J14" s="27"/>
      <c r="K14" s="27"/>
      <c r="L14" s="38">
        <v>70.0</v>
      </c>
      <c r="M14" s="56">
        <v>0.0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30.0" customHeight="1">
      <c r="A15" s="33" t="s">
        <v>101</v>
      </c>
      <c r="B15" s="38">
        <v>21.0</v>
      </c>
      <c r="C15" s="35">
        <f t="shared" si="1"/>
        <v>0</v>
      </c>
      <c r="D15" s="56">
        <v>0.0</v>
      </c>
      <c r="E15" s="52">
        <f t="shared" si="2"/>
        <v>0</v>
      </c>
      <c r="F15" s="39">
        <f t="shared" si="3"/>
        <v>0</v>
      </c>
      <c r="G15" s="48" t="s">
        <v>20</v>
      </c>
      <c r="H15" s="48">
        <v>3.0</v>
      </c>
      <c r="I15" s="51" t="str">
        <f>HYPERLINK("https://www.princeedwardisland.ca/en/topic/covid-19","Source")</f>
        <v>Source</v>
      </c>
      <c r="J15" s="27"/>
      <c r="K15" s="27"/>
      <c r="L15" s="38">
        <v>21.0</v>
      </c>
      <c r="M15" s="56">
        <v>0.0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30.0" customHeight="1">
      <c r="A16" s="33" t="s">
        <v>105</v>
      </c>
      <c r="B16" s="38">
        <v>13.0</v>
      </c>
      <c r="C16" s="35">
        <f t="shared" si="1"/>
        <v>0</v>
      </c>
      <c r="D16" s="56">
        <v>0.0</v>
      </c>
      <c r="E16" s="52">
        <f t="shared" si="2"/>
        <v>0</v>
      </c>
      <c r="F16" s="54">
        <f t="shared" si="3"/>
        <v>0</v>
      </c>
      <c r="G16" s="48" t="s">
        <v>20</v>
      </c>
      <c r="H16" s="48" t="s">
        <v>20</v>
      </c>
      <c r="I16" s="51" t="str">
        <f>HYPERLINK("https://www.canada.ca/en/public-health/services/diseases/2019-novel-coronavirus-infection.html#a1","Source")</f>
        <v>Source</v>
      </c>
      <c r="J16" s="27"/>
      <c r="K16" s="27"/>
      <c r="L16" s="38">
        <v>13.0</v>
      </c>
      <c r="M16" s="56">
        <v>0.0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30.0" customHeight="1">
      <c r="A17" s="33" t="s">
        <v>108</v>
      </c>
      <c r="B17" s="38">
        <v>6.0</v>
      </c>
      <c r="C17" s="35">
        <f t="shared" si="1"/>
        <v>1</v>
      </c>
      <c r="D17" s="56">
        <v>0.0</v>
      </c>
      <c r="E17" s="52">
        <f t="shared" si="2"/>
        <v>0</v>
      </c>
      <c r="F17" s="54">
        <f t="shared" si="3"/>
        <v>0</v>
      </c>
      <c r="G17" s="48" t="s">
        <v>20</v>
      </c>
      <c r="H17" s="48">
        <v>3.0</v>
      </c>
      <c r="I17" s="51" t="str">
        <f>HYPERLINK("https://yukon.ca/covid-19","Source")</f>
        <v>Source</v>
      </c>
      <c r="J17" s="27"/>
      <c r="K17" s="27"/>
      <c r="L17" s="38">
        <v>5.0</v>
      </c>
      <c r="M17" s="56">
        <v>0.0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30.0" customHeight="1">
      <c r="A18" s="33" t="s">
        <v>112</v>
      </c>
      <c r="B18" s="38">
        <v>2.0</v>
      </c>
      <c r="C18" s="35">
        <f t="shared" si="1"/>
        <v>1</v>
      </c>
      <c r="D18" s="56">
        <v>0.0</v>
      </c>
      <c r="E18" s="52">
        <f t="shared" si="2"/>
        <v>0</v>
      </c>
      <c r="F18" s="39">
        <f t="shared" si="3"/>
        <v>0</v>
      </c>
      <c r="G18" s="48" t="s">
        <v>20</v>
      </c>
      <c r="H18" s="48" t="s">
        <v>20</v>
      </c>
      <c r="I18" s="51" t="str">
        <f>HYPERLINK("https://www.cbc.ca/news/canada/north/nwt-first-case-covid19-1.5505701","Source")</f>
        <v>Source</v>
      </c>
      <c r="J18" s="27"/>
      <c r="K18" s="27"/>
      <c r="L18" s="38">
        <v>1.0</v>
      </c>
      <c r="M18" s="56">
        <v>0.0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30.0" customHeight="1">
      <c r="A19" s="33" t="s">
        <v>115</v>
      </c>
      <c r="B19" s="38">
        <v>0.0</v>
      </c>
      <c r="C19" s="35">
        <f t="shared" si="1"/>
        <v>0</v>
      </c>
      <c r="D19" s="56">
        <v>0.0</v>
      </c>
      <c r="E19" s="52">
        <f t="shared" si="2"/>
        <v>0</v>
      </c>
      <c r="F19" s="92" t="s">
        <v>44</v>
      </c>
      <c r="G19" s="48" t="s">
        <v>44</v>
      </c>
      <c r="H19" s="48" t="s">
        <v>44</v>
      </c>
      <c r="I19" s="51" t="str">
        <f>HYPERLINK("https://www.gov.nu.ca/health/information/covid-19-novel-coronavirus","Source")</f>
        <v>Source</v>
      </c>
      <c r="J19" s="27"/>
      <c r="K19" s="27"/>
      <c r="L19" s="38">
        <v>0.0</v>
      </c>
      <c r="M19" s="56">
        <v>0.0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30.0" customHeight="1">
      <c r="A20" s="80" t="s">
        <v>51</v>
      </c>
      <c r="B20" s="81">
        <f>SUM(B6:B19)</f>
        <v>9731</v>
      </c>
      <c r="C20" s="35">
        <f t="shared" si="1"/>
        <v>1140</v>
      </c>
      <c r="D20" s="81">
        <f>SUM(D6:D19)</f>
        <v>111</v>
      </c>
      <c r="E20" s="37">
        <f t="shared" si="2"/>
        <v>10</v>
      </c>
      <c r="F20" s="39">
        <f>DIVIDE(D20, B20)</f>
        <v>0.01140684411</v>
      </c>
      <c r="G20" s="81">
        <f t="shared" ref="G20:H20" si="4">SUM(G6:G19)</f>
        <v>65</v>
      </c>
      <c r="H20" s="81">
        <f t="shared" si="4"/>
        <v>1540</v>
      </c>
      <c r="I20" s="82"/>
      <c r="J20" s="27"/>
      <c r="K20" s="27"/>
      <c r="L20" s="81">
        <f t="shared" ref="L20:M20" si="5">SUM(L6:L19)</f>
        <v>8591</v>
      </c>
      <c r="M20" s="81">
        <f t="shared" si="5"/>
        <v>101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89"/>
      <c r="B21" s="10"/>
      <c r="C21" s="10"/>
      <c r="D21" s="10"/>
      <c r="E21" s="10"/>
      <c r="F21" s="10"/>
      <c r="G21" s="10"/>
      <c r="H21" s="10"/>
      <c r="I21" s="3"/>
      <c r="J21" s="5"/>
      <c r="K21" s="5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7"/>
      <c r="B22" s="88"/>
      <c r="C22" s="88"/>
      <c r="D22" s="10"/>
      <c r="E22" s="10"/>
      <c r="F22" s="10"/>
      <c r="G22" s="10"/>
      <c r="H22" s="10"/>
      <c r="I22" s="3"/>
      <c r="J22" s="5"/>
      <c r="K22" s="5"/>
      <c r="L22" s="88"/>
      <c r="M22" s="1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9"/>
      <c r="B23" s="10"/>
      <c r="C23" s="10"/>
      <c r="D23" s="10"/>
      <c r="E23" s="10"/>
      <c r="F23" s="10"/>
      <c r="G23" s="10"/>
      <c r="H23" s="10"/>
      <c r="I23" s="3"/>
      <c r="J23" s="5"/>
      <c r="K23" s="5"/>
      <c r="L23" s="10"/>
      <c r="M23" s="1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9"/>
      <c r="B24" s="10"/>
      <c r="C24" s="10"/>
      <c r="D24" s="10"/>
      <c r="E24" s="10"/>
      <c r="F24" s="10"/>
      <c r="G24" s="10"/>
      <c r="H24" s="10"/>
      <c r="I24" s="3"/>
      <c r="J24" s="3"/>
      <c r="K24" s="3"/>
      <c r="L24" s="10"/>
      <c r="M24" s="10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</v>
      </c>
      <c r="B2" s="4" t="s">
        <v>2</v>
      </c>
      <c r="D2" s="6" t="s">
        <v>3</v>
      </c>
      <c r="F2" s="8" t="s">
        <v>130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3">
        <f t="shared" ref="A3:B3" si="1">SUM(B15, B16)</f>
        <v>83095</v>
      </c>
      <c r="B3" s="13">
        <f t="shared" si="1"/>
        <v>3312</v>
      </c>
      <c r="D3" s="14">
        <f>SUM(F15, F16)</f>
        <v>76412</v>
      </c>
      <c r="F3" s="16">
        <f>MINUS(A3,B3 + D3)</f>
        <v>3371</v>
      </c>
      <c r="G3" s="1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7"/>
      <c r="B4" s="9"/>
      <c r="C4" s="9"/>
      <c r="D4" s="7"/>
      <c r="E4" s="7"/>
      <c r="F4" s="7"/>
      <c r="G4" s="9"/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95" t="s">
        <v>136</v>
      </c>
      <c r="B5" s="96" t="s">
        <v>7</v>
      </c>
      <c r="C5" s="96" t="s">
        <v>10</v>
      </c>
      <c r="D5" s="97" t="s">
        <v>138</v>
      </c>
      <c r="E5" s="97" t="s">
        <v>140</v>
      </c>
      <c r="F5" s="97" t="s">
        <v>14</v>
      </c>
      <c r="G5" s="96"/>
      <c r="H5" s="27"/>
      <c r="I5" s="27"/>
      <c r="J5" s="27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ht="30.0" customHeight="1">
      <c r="A6" s="75" t="s">
        <v>141</v>
      </c>
      <c r="B6" s="76">
        <v>67802.0</v>
      </c>
      <c r="C6" s="76">
        <v>3193.0</v>
      </c>
      <c r="D6" s="98">
        <v>435.0</v>
      </c>
      <c r="E6" s="78" t="s">
        <v>20</v>
      </c>
      <c r="F6" s="98">
        <v>63326.0</v>
      </c>
      <c r="G6" s="99" t="str">
        <f>HYPERLINK("http://www.nhc.gov.cn/yjb/s7860/202004/28668f987f3a4e58b1a2a75db60d8cf2.shtml","Source")</f>
        <v>Source</v>
      </c>
      <c r="H6" s="93"/>
      <c r="I6" s="27"/>
      <c r="J6" s="27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ht="30.0" customHeight="1">
      <c r="A7" s="100" t="s">
        <v>143</v>
      </c>
      <c r="B7" s="101">
        <v>1450.0</v>
      </c>
      <c r="C7" s="102">
        <v>8.0</v>
      </c>
      <c r="D7" s="103">
        <v>2.0</v>
      </c>
      <c r="E7" s="103">
        <v>4.0</v>
      </c>
      <c r="F7" s="104">
        <v>1357.0</v>
      </c>
      <c r="G7" s="105" t="str">
        <f>HYPERLINK("http://wsjkw.gd.gov.cn/zwyw_yqxx/content/post_2963066.html","Source")</f>
        <v>Source</v>
      </c>
      <c r="H7" s="63"/>
      <c r="I7" s="27"/>
      <c r="J7" s="27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ht="30.0" customHeight="1">
      <c r="A8" s="75" t="s">
        <v>146</v>
      </c>
      <c r="B8" s="76">
        <v>1276.0</v>
      </c>
      <c r="C8" s="77">
        <v>22.0</v>
      </c>
      <c r="D8" s="78">
        <v>0.0</v>
      </c>
      <c r="E8" s="78">
        <v>0.0</v>
      </c>
      <c r="F8" s="98">
        <v>1251.0</v>
      </c>
      <c r="G8" s="99" t="str">
        <f>HYPERLINK("https://m.weibo.cn/detail/4488452735550800","Source")</f>
        <v>Source</v>
      </c>
      <c r="H8" s="106"/>
      <c r="I8" s="27"/>
      <c r="J8" s="27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ht="30.0" customHeight="1">
      <c r="A9" s="75" t="s">
        <v>149</v>
      </c>
      <c r="B9" s="76">
        <v>1257.0</v>
      </c>
      <c r="C9" s="77">
        <v>1.0</v>
      </c>
      <c r="D9" s="78" t="s">
        <v>20</v>
      </c>
      <c r="E9" s="78" t="s">
        <v>20</v>
      </c>
      <c r="F9" s="98">
        <v>1226.0</v>
      </c>
      <c r="G9" s="107" t="str">
        <f>HYPERLINK("http://www.bjnews.com.cn/feature/2020/03/31/711060.html","Source")</f>
        <v>Source</v>
      </c>
      <c r="H9" s="27"/>
      <c r="I9" s="27"/>
      <c r="J9" s="27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ht="30.0" customHeight="1">
      <c r="A10" s="75" t="s">
        <v>151</v>
      </c>
      <c r="B10" s="76">
        <v>1018.0</v>
      </c>
      <c r="C10" s="77">
        <v>4.0</v>
      </c>
      <c r="D10" s="78">
        <v>0.0</v>
      </c>
      <c r="E10" s="78">
        <v>0.0</v>
      </c>
      <c r="F10" s="98">
        <v>1014.0</v>
      </c>
      <c r="G10" s="99" t="str">
        <f>HYPERLINK("http://wjw.hunan.gov.cn/wjw/xxgk/gzdt/zyxw_1/202003/t20200331_11867420.html","Source")</f>
        <v>Source</v>
      </c>
      <c r="H10" s="27"/>
      <c r="I10" s="27"/>
      <c r="J10" s="27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ht="30.0" customHeight="1">
      <c r="A11" s="75" t="s">
        <v>153</v>
      </c>
      <c r="B11" s="76">
        <v>580.0</v>
      </c>
      <c r="C11" s="77">
        <v>8.0</v>
      </c>
      <c r="D11" s="78" t="s">
        <v>20</v>
      </c>
      <c r="E11" s="78" t="s">
        <v>20</v>
      </c>
      <c r="F11" s="78">
        <v>418.0</v>
      </c>
      <c r="G11" s="107" t="str">
        <f>HYPERLINK("http://wjw.beijing.gov.cn/xwzx_20031/wnxw/202004/t20200401_1771919.html","Source")</f>
        <v>Source</v>
      </c>
      <c r="H11" s="63"/>
      <c r="I11" s="27"/>
      <c r="J11" s="27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ht="30.0" customHeight="1">
      <c r="A12" s="75" t="s">
        <v>156</v>
      </c>
      <c r="B12" s="76">
        <v>516.0</v>
      </c>
      <c r="C12" s="77">
        <v>6.0</v>
      </c>
      <c r="D12" s="78">
        <v>0.0</v>
      </c>
      <c r="E12" s="78">
        <v>5.0</v>
      </c>
      <c r="F12" s="78">
        <v>341.0</v>
      </c>
      <c r="G12" s="99" t="str">
        <f>HYPERLINK("http://wsjkw.sh.gov.cn/xwfb/20200401/50133c67b43d4c91a884d6de41dfce23.html","Source")</f>
        <v>Source</v>
      </c>
      <c r="H12" s="63"/>
      <c r="I12" s="27"/>
      <c r="J12" s="27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ht="30.0" customHeight="1">
      <c r="A13" s="75" t="s">
        <v>159</v>
      </c>
      <c r="B13" s="76">
        <v>7655.0</v>
      </c>
      <c r="C13" s="77">
        <v>70.0</v>
      </c>
      <c r="D13" s="78" t="s">
        <v>160</v>
      </c>
      <c r="E13" s="78" t="s">
        <v>20</v>
      </c>
      <c r="F13" s="98">
        <v>7305.0</v>
      </c>
      <c r="G13" s="99" t="str">
        <f>HYPERLINK("http://www.nhc.gov.cn/yjb/s7860/202003/ec2689b0e716468fbfff7cf890c74bb7.shtml","Source")</f>
        <v>Source</v>
      </c>
      <c r="H13" s="93"/>
      <c r="I13" s="27"/>
      <c r="J13" s="27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ht="30.0" customHeight="1">
      <c r="A14" s="75" t="s">
        <v>161</v>
      </c>
      <c r="B14" s="76">
        <v>1541.0</v>
      </c>
      <c r="C14" s="77">
        <v>0.0</v>
      </c>
      <c r="D14" s="78">
        <v>0.0</v>
      </c>
      <c r="E14" s="78">
        <v>0.0</v>
      </c>
      <c r="F14" s="98">
        <v>174.0</v>
      </c>
      <c r="G14" s="79"/>
      <c r="H14" s="93"/>
      <c r="I14" s="27"/>
      <c r="J14" s="27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ht="30.0" customHeight="1">
      <c r="A15" s="83" t="s">
        <v>51</v>
      </c>
      <c r="B15" s="108">
        <f t="shared" ref="B15:C15" si="2">SUM(B6:B14)</f>
        <v>83095</v>
      </c>
      <c r="C15" s="108">
        <f t="shared" si="2"/>
        <v>3312</v>
      </c>
      <c r="D15" s="108">
        <v>466.0</v>
      </c>
      <c r="E15" s="108"/>
      <c r="F15" s="108">
        <f>SUM(F6:F14)</f>
        <v>76412</v>
      </c>
      <c r="G15" s="86"/>
      <c r="H15" s="27"/>
      <c r="I15" s="27"/>
      <c r="J15" s="27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>
      <c r="A16" s="83"/>
      <c r="B16" s="84"/>
      <c r="C16" s="84"/>
      <c r="D16" s="85"/>
      <c r="E16" s="109"/>
      <c r="F16" s="84"/>
      <c r="G16" s="86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87"/>
      <c r="B17" s="88"/>
      <c r="C17" s="10"/>
      <c r="D17" s="10"/>
      <c r="E17" s="10"/>
      <c r="F17" s="1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89"/>
      <c r="B18" s="10"/>
      <c r="C18" s="10"/>
      <c r="D18" s="10"/>
      <c r="E18" s="10"/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89"/>
      <c r="B19" s="10"/>
      <c r="C19" s="10"/>
      <c r="D19" s="10"/>
      <c r="E19" s="10"/>
      <c r="F19" s="1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170</v>
      </c>
      <c r="F1" s="3"/>
      <c r="G1" s="3"/>
      <c r="H1" s="3"/>
    </row>
    <row r="2">
      <c r="A2" s="4" t="s">
        <v>172</v>
      </c>
      <c r="B2" s="4" t="s">
        <v>173</v>
      </c>
      <c r="D2" s="6" t="s">
        <v>174</v>
      </c>
      <c r="E2" s="7"/>
      <c r="F2" s="3"/>
      <c r="G2" s="3"/>
      <c r="H2" s="3"/>
    </row>
    <row r="3">
      <c r="A3" s="13">
        <f t="shared" ref="A3:B3" si="1">SUM(B24, B25)</f>
        <v>3196</v>
      </c>
      <c r="B3" s="13">
        <f t="shared" si="1"/>
        <v>33</v>
      </c>
      <c r="D3" s="14">
        <f>SUM(E24, E25)</f>
        <v>9</v>
      </c>
      <c r="E3" s="7"/>
      <c r="F3" s="3"/>
      <c r="G3" s="3"/>
      <c r="H3" s="3"/>
    </row>
    <row r="4">
      <c r="A4" s="17"/>
      <c r="B4" s="9"/>
      <c r="C4" s="9"/>
      <c r="D4" s="7"/>
      <c r="E4" s="7"/>
      <c r="F4" s="3"/>
      <c r="G4" s="3"/>
      <c r="H4" s="3"/>
    </row>
    <row r="5" ht="30.0" customHeight="1">
      <c r="A5" s="95" t="s">
        <v>176</v>
      </c>
      <c r="B5" s="96" t="s">
        <v>177</v>
      </c>
      <c r="C5" s="96" t="s">
        <v>178</v>
      </c>
      <c r="D5" s="97" t="s">
        <v>179</v>
      </c>
      <c r="E5" s="97" t="s">
        <v>180</v>
      </c>
      <c r="F5" s="30"/>
      <c r="G5" s="30"/>
      <c r="H5" s="30"/>
    </row>
    <row r="6" ht="30.0" customHeight="1">
      <c r="A6" s="75" t="s">
        <v>181</v>
      </c>
      <c r="B6" s="76">
        <v>977.0</v>
      </c>
      <c r="C6" s="77">
        <v>11.0</v>
      </c>
      <c r="D6" s="78"/>
      <c r="E6" s="78">
        <v>1.0</v>
      </c>
      <c r="F6" s="30"/>
      <c r="G6" s="30"/>
      <c r="H6" s="30"/>
    </row>
    <row r="7" ht="30.0" customHeight="1">
      <c r="A7" s="75" t="s">
        <v>99</v>
      </c>
      <c r="B7" s="76">
        <v>434.0</v>
      </c>
      <c r="C7" s="77">
        <v>0.0</v>
      </c>
      <c r="D7" s="78"/>
      <c r="E7" s="115"/>
      <c r="F7" s="30"/>
      <c r="G7" s="30"/>
      <c r="H7" s="30"/>
    </row>
    <row r="8" ht="30.0" customHeight="1">
      <c r="A8" s="75" t="s">
        <v>113</v>
      </c>
      <c r="B8" s="76">
        <v>426.0</v>
      </c>
      <c r="C8" s="76">
        <v>7.0</v>
      </c>
      <c r="D8" s="98">
        <v>6.0</v>
      </c>
      <c r="E8" s="78">
        <v>3.0</v>
      </c>
      <c r="F8" s="30"/>
      <c r="G8" s="30"/>
      <c r="H8" s="30"/>
    </row>
    <row r="9" ht="30.0" customHeight="1">
      <c r="A9" s="75" t="s">
        <v>158</v>
      </c>
      <c r="B9" s="76">
        <v>263.0</v>
      </c>
      <c r="C9" s="77">
        <v>3.0</v>
      </c>
      <c r="D9" s="78">
        <v>16.0</v>
      </c>
      <c r="E9" s="78">
        <v>2.0</v>
      </c>
      <c r="F9" s="30"/>
      <c r="G9" s="30"/>
      <c r="H9" s="30"/>
    </row>
    <row r="10" ht="30.0" customHeight="1">
      <c r="A10" s="75" t="s">
        <v>183</v>
      </c>
      <c r="B10" s="76">
        <v>203.0</v>
      </c>
      <c r="C10" s="77">
        <v>2.0</v>
      </c>
      <c r="D10" s="78">
        <v>3.0</v>
      </c>
      <c r="E10" s="78">
        <v>3.0</v>
      </c>
      <c r="F10" s="30"/>
      <c r="G10" s="30"/>
      <c r="H10" s="30"/>
    </row>
    <row r="11" ht="30.0" customHeight="1">
      <c r="A11" s="75" t="s">
        <v>185</v>
      </c>
      <c r="B11" s="76">
        <v>200.0</v>
      </c>
      <c r="C11" s="77">
        <v>1.0</v>
      </c>
      <c r="D11" s="78">
        <v>8.0</v>
      </c>
      <c r="E11" s="115"/>
      <c r="F11" s="30"/>
      <c r="G11" s="30"/>
      <c r="H11" s="30"/>
    </row>
    <row r="12" ht="30.0" customHeight="1">
      <c r="A12" s="75" t="s">
        <v>186</v>
      </c>
      <c r="B12" s="76">
        <v>158.0</v>
      </c>
      <c r="C12" s="77">
        <v>3.0</v>
      </c>
      <c r="D12" s="78"/>
      <c r="E12" s="115"/>
      <c r="F12" s="30"/>
      <c r="G12" s="30"/>
      <c r="H12" s="30"/>
    </row>
    <row r="13" ht="30.0" customHeight="1">
      <c r="A13" s="75" t="s">
        <v>184</v>
      </c>
      <c r="B13" s="76">
        <v>158.0</v>
      </c>
      <c r="C13" s="77">
        <v>0.0</v>
      </c>
      <c r="D13" s="78"/>
      <c r="E13" s="115"/>
      <c r="F13" s="30"/>
      <c r="G13" s="30"/>
      <c r="H13" s="30"/>
    </row>
    <row r="14" ht="30.0" customHeight="1">
      <c r="A14" s="75" t="s">
        <v>187</v>
      </c>
      <c r="B14" s="76">
        <v>113.0</v>
      </c>
      <c r="C14" s="77">
        <v>2.0</v>
      </c>
      <c r="D14" s="78"/>
      <c r="E14" s="115"/>
      <c r="F14" s="30"/>
      <c r="G14" s="30"/>
      <c r="H14" s="30"/>
    </row>
    <row r="15" ht="30.0" customHeight="1">
      <c r="A15" s="75" t="s">
        <v>188</v>
      </c>
      <c r="B15" s="76">
        <v>110.0</v>
      </c>
      <c r="C15" s="77"/>
      <c r="D15" s="78"/>
      <c r="E15" s="115"/>
      <c r="F15" s="30"/>
      <c r="G15" s="30"/>
      <c r="H15" s="30"/>
    </row>
    <row r="16" ht="30.0" customHeight="1">
      <c r="A16" s="75" t="s">
        <v>189</v>
      </c>
      <c r="B16" s="76">
        <v>72.0</v>
      </c>
      <c r="C16" s="77">
        <v>2.0</v>
      </c>
      <c r="D16" s="78"/>
      <c r="E16" s="115"/>
      <c r="F16" s="30"/>
      <c r="G16" s="30"/>
      <c r="H16" s="30"/>
    </row>
    <row r="17" ht="30.0" customHeight="1">
      <c r="A17" s="75" t="s">
        <v>191</v>
      </c>
      <c r="B17" s="76">
        <v>24.0</v>
      </c>
      <c r="C17" s="77">
        <v>0.0</v>
      </c>
      <c r="D17" s="78"/>
      <c r="E17" s="115"/>
      <c r="F17" s="30"/>
      <c r="G17" s="30"/>
      <c r="H17" s="30"/>
    </row>
    <row r="18" ht="30.0" customHeight="1">
      <c r="A18" s="75" t="s">
        <v>192</v>
      </c>
      <c r="B18" s="76">
        <v>21.0</v>
      </c>
      <c r="C18" s="77">
        <v>1.0</v>
      </c>
      <c r="D18" s="78"/>
      <c r="E18" s="115"/>
      <c r="F18" s="30"/>
      <c r="G18" s="30"/>
      <c r="H18" s="30"/>
    </row>
    <row r="19" ht="30.0" customHeight="1">
      <c r="A19" s="75" t="s">
        <v>193</v>
      </c>
      <c r="B19" s="76">
        <v>19.0</v>
      </c>
      <c r="C19" s="77">
        <v>0.0</v>
      </c>
      <c r="D19" s="78"/>
      <c r="E19" s="115"/>
      <c r="F19" s="30"/>
      <c r="G19" s="30"/>
      <c r="H19" s="30"/>
    </row>
    <row r="20" ht="30.0" customHeight="1">
      <c r="A20" s="75" t="s">
        <v>194</v>
      </c>
      <c r="B20" s="76">
        <v>18.0</v>
      </c>
      <c r="C20" s="77">
        <v>1.0</v>
      </c>
      <c r="D20" s="78"/>
      <c r="E20" s="115"/>
      <c r="F20" s="30"/>
      <c r="G20" s="30"/>
      <c r="H20" s="30"/>
    </row>
    <row r="21" ht="30.0" customHeight="1">
      <c r="A21" s="75" t="s">
        <v>196</v>
      </c>
      <c r="B21" s="76">
        <v>13.0</v>
      </c>
      <c r="C21" s="77">
        <v>1.0</v>
      </c>
      <c r="D21" s="78"/>
      <c r="E21" s="115"/>
      <c r="F21" s="30"/>
      <c r="G21" s="30"/>
      <c r="H21" s="30"/>
    </row>
    <row r="22" ht="30.0" customHeight="1">
      <c r="A22" s="75" t="s">
        <v>197</v>
      </c>
      <c r="B22" s="76">
        <v>3.0</v>
      </c>
      <c r="C22" s="77"/>
      <c r="D22" s="78"/>
      <c r="E22" s="115"/>
      <c r="F22" s="30"/>
      <c r="G22" s="30"/>
      <c r="H22" s="30"/>
    </row>
    <row r="23" ht="30.0" customHeight="1">
      <c r="A23" s="75" t="s">
        <v>198</v>
      </c>
      <c r="B23" s="76">
        <v>2.0</v>
      </c>
      <c r="C23" s="77"/>
      <c r="D23" s="78"/>
      <c r="E23" s="115"/>
      <c r="F23" s="30"/>
      <c r="G23" s="30"/>
      <c r="H23" s="30"/>
    </row>
    <row r="24" ht="30.0" customHeight="1">
      <c r="A24" s="83" t="s">
        <v>51</v>
      </c>
      <c r="B24" s="108">
        <f t="shared" ref="B24:C24" si="2">SUM(B6:B20)</f>
        <v>3196</v>
      </c>
      <c r="C24" s="108">
        <f t="shared" si="2"/>
        <v>33</v>
      </c>
      <c r="D24" s="108">
        <f t="shared" ref="D24:E24" si="3">SUM(D6:D16)</f>
        <v>33</v>
      </c>
      <c r="E24" s="108">
        <f t="shared" si="3"/>
        <v>9</v>
      </c>
      <c r="F24" s="30"/>
      <c r="G24" s="30"/>
      <c r="H24" s="30"/>
    </row>
    <row r="25">
      <c r="A25" s="89"/>
      <c r="B25" s="10"/>
      <c r="C25" s="10"/>
      <c r="D25" s="10"/>
      <c r="E25" s="10"/>
      <c r="F25" s="3"/>
      <c r="G25" s="3"/>
      <c r="H25" s="3"/>
    </row>
    <row r="26">
      <c r="A26" s="87"/>
      <c r="B26" s="88"/>
      <c r="C26" s="10"/>
      <c r="D26" s="10"/>
      <c r="E26" s="10"/>
      <c r="F26" s="3"/>
      <c r="G26" s="3"/>
      <c r="H26" s="3"/>
    </row>
    <row r="27">
      <c r="A27" s="89"/>
      <c r="B27" s="10"/>
      <c r="C27" s="10"/>
      <c r="D27" s="10"/>
      <c r="E27" s="10"/>
      <c r="F27" s="3"/>
      <c r="G27" s="3"/>
      <c r="H27" s="3"/>
    </row>
    <row r="28">
      <c r="A28" s="89"/>
      <c r="B28" s="10"/>
      <c r="C28" s="10"/>
      <c r="D28" s="10"/>
      <c r="E28" s="10"/>
      <c r="F28" s="3"/>
      <c r="G28" s="3"/>
      <c r="H28" s="3"/>
    </row>
  </sheetData>
  <mergeCells count="3">
    <mergeCell ref="A1:E1"/>
    <mergeCell ref="B2:C2"/>
    <mergeCell ref="B3:C3"/>
  </mergeCells>
  <drawing r:id="rId1"/>
  <tableParts count="1">
    <tablePart r:id="rId3"/>
  </tableParts>
</worksheet>
</file>