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" sheetId="1" r:id="rId4"/>
    <sheet state="visible" name="USA" sheetId="2" r:id="rId5"/>
    <sheet state="visible" name="Australia" sheetId="3" r:id="rId6"/>
    <sheet state="visible" name="Cruise ships" sheetId="4" r:id="rId7"/>
    <sheet state="visible" name="Canada" sheetId="5" r:id="rId8"/>
    <sheet state="visible" name="China" sheetId="6" r:id="rId9"/>
    <sheet state="visible" name="Notes" sheetId="7" r:id="rId10"/>
    <sheet state="visible" name="Cases" sheetId="10" r:id="rId11"/>
    <sheet state="visible" name="Deaths" sheetId="12" r:id="rId12"/>
    <sheet state="visible" name="América Latina" sheetId="13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34,193 confirmed or suspected cases in nursing homes (23,620 old)</t>
      </text>
    </comment>
    <comment authorId="0" ref="L10">
      <text>
        <t xml:space="preserve">34,193 confirmed or suspected cases in nursing homes (23,620 old)</t>
      </text>
    </comment>
  </commentList>
</comments>
</file>

<file path=xl/sharedStrings.xml><?xml version="1.0" encoding="utf-8"?>
<sst xmlns="http://schemas.openxmlformats.org/spreadsheetml/2006/main" count="889" uniqueCount="393">
  <si>
    <t>Updated throughout the day</t>
  </si>
  <si>
    <t>CASES</t>
  </si>
  <si>
    <t>DEATHS</t>
  </si>
  <si>
    <t>RECOVERED</t>
  </si>
  <si>
    <t>UNRESOLVED</t>
  </si>
  <si>
    <t>UNITED STATES</t>
  </si>
  <si>
    <t>LOCATION</t>
  </si>
  <si>
    <t>AUSTRALIA</t>
  </si>
  <si>
    <t>Cases</t>
  </si>
  <si>
    <t>New cases</t>
  </si>
  <si>
    <t>Deaths</t>
  </si>
  <si>
    <t>New deaths</t>
  </si>
  <si>
    <t>Death rate</t>
  </si>
  <si>
    <t>Serious &amp; Critical</t>
  </si>
  <si>
    <t>Recovered</t>
  </si>
  <si>
    <t>Links</t>
  </si>
  <si>
    <t>New York</t>
  </si>
  <si>
    <t>New South Wales</t>
  </si>
  <si>
    <t>United States</t>
  </si>
  <si>
    <t>Victoria</t>
  </si>
  <si>
    <t>New Jersey</t>
  </si>
  <si>
    <t>Spain</t>
  </si>
  <si>
    <t>N/A</t>
  </si>
  <si>
    <t>Queensland</t>
  </si>
  <si>
    <t>Daily</t>
  </si>
  <si>
    <t>Michigan</t>
  </si>
  <si>
    <t>California</t>
  </si>
  <si>
    <t>Italy</t>
  </si>
  <si>
    <t>Frequent</t>
  </si>
  <si>
    <t>Massachusetts</t>
  </si>
  <si>
    <t>France</t>
  </si>
  <si>
    <t>Western Australia</t>
  </si>
  <si>
    <t>Pennsylvania</t>
  </si>
  <si>
    <t>South Australia</t>
  </si>
  <si>
    <t>Germany</t>
  </si>
  <si>
    <t>Louisiana</t>
  </si>
  <si>
    <t>China</t>
  </si>
  <si>
    <t>Tasmania</t>
  </si>
  <si>
    <t>Florida</t>
  </si>
  <si>
    <t>Canberra (ACT)</t>
  </si>
  <si>
    <t>Illinois</t>
  </si>
  <si>
    <t>United Kingdom</t>
  </si>
  <si>
    <t>Texas</t>
  </si>
  <si>
    <t>Northern Territory</t>
  </si>
  <si>
    <t>Iran</t>
  </si>
  <si>
    <t>Georgia</t>
  </si>
  <si>
    <t>External territories</t>
  </si>
  <si>
    <t>Turkey</t>
  </si>
  <si>
    <t>Several</t>
  </si>
  <si>
    <t>Connecticut</t>
  </si>
  <si>
    <t>-</t>
  </si>
  <si>
    <t>Belgium</t>
  </si>
  <si>
    <t>Washington</t>
  </si>
  <si>
    <t>Jervis Bay</t>
  </si>
  <si>
    <t>Switzerland</t>
  </si>
  <si>
    <t>Netherlands</t>
  </si>
  <si>
    <t>Maryland</t>
  </si>
  <si>
    <t>Canada</t>
  </si>
  <si>
    <t>TOTAL</t>
  </si>
  <si>
    <t>Indiana</t>
  </si>
  <si>
    <t>Colorado</t>
  </si>
  <si>
    <t>Brazil</t>
  </si>
  <si>
    <t>Ohio</t>
  </si>
  <si>
    <t>Portugal</t>
  </si>
  <si>
    <t>Tennessee</t>
  </si>
  <si>
    <t>Austria</t>
  </si>
  <si>
    <t>Virginia</t>
  </si>
  <si>
    <t>Throughout</t>
  </si>
  <si>
    <t>Russia</t>
  </si>
  <si>
    <t>North Carolina</t>
  </si>
  <si>
    <t>South Korea</t>
  </si>
  <si>
    <t>Missouri</t>
  </si>
  <si>
    <t>Israel</t>
  </si>
  <si>
    <t>U.S. military</t>
  </si>
  <si>
    <t>At least 2</t>
  </si>
  <si>
    <t>Sweden</t>
  </si>
  <si>
    <t>Arizona</t>
  </si>
  <si>
    <t>Alabama</t>
  </si>
  <si>
    <t>Ireland</t>
  </si>
  <si>
    <t>Wisconsin</t>
  </si>
  <si>
    <t>India</t>
  </si>
  <si>
    <t>CRUISE SHIPS</t>
  </si>
  <si>
    <t>South Carolina</t>
  </si>
  <si>
    <t>On board</t>
  </si>
  <si>
    <t>Infection rate</t>
  </si>
  <si>
    <t>Ecuador</t>
  </si>
  <si>
    <t>X</t>
  </si>
  <si>
    <t>Nevada</t>
  </si>
  <si>
    <t>Chile</t>
  </si>
  <si>
    <t>Mississippi</t>
  </si>
  <si>
    <t>Greg Mortimer</t>
  </si>
  <si>
    <t>Norway</t>
  </si>
  <si>
    <t>Utah</t>
  </si>
  <si>
    <t>Australia</t>
  </si>
  <si>
    <t>Rhode Island</t>
  </si>
  <si>
    <t>Zaandam</t>
  </si>
  <si>
    <t>Oklahoma</t>
  </si>
  <si>
    <t>Japan</t>
  </si>
  <si>
    <t>Kentucky</t>
  </si>
  <si>
    <t>District of Columbia</t>
  </si>
  <si>
    <t>Denmark</t>
  </si>
  <si>
    <t>Idaho</t>
  </si>
  <si>
    <t>Poland</t>
  </si>
  <si>
    <t>Iowa</t>
  </si>
  <si>
    <t>Oregon</t>
  </si>
  <si>
    <t>Peru</t>
  </si>
  <si>
    <t>Minnesota</t>
  </si>
  <si>
    <t>Czech Republic</t>
  </si>
  <si>
    <t>Delaware</t>
  </si>
  <si>
    <t>Numerous</t>
  </si>
  <si>
    <t>Romania</t>
  </si>
  <si>
    <t>Kansas</t>
  </si>
  <si>
    <t>Daily + deaths</t>
  </si>
  <si>
    <t>Pakistan</t>
  </si>
  <si>
    <t>Arkansas</t>
  </si>
  <si>
    <t>Any time</t>
  </si>
  <si>
    <t>3 times/day</t>
  </si>
  <si>
    <t>Malaysia</t>
  </si>
  <si>
    <t>New Mexico</t>
  </si>
  <si>
    <t>Philippines</t>
  </si>
  <si>
    <t>New Hampshire</t>
  </si>
  <si>
    <t>Puerto Rico</t>
  </si>
  <si>
    <t>Mexico</t>
  </si>
  <si>
    <t>Vermont</t>
  </si>
  <si>
    <t>Saudi Arabia</t>
  </si>
  <si>
    <t>Nebraska</t>
  </si>
  <si>
    <t>Indonesia</t>
  </si>
  <si>
    <t>Maine</t>
  </si>
  <si>
    <t>United Arab Emirates</t>
  </si>
  <si>
    <t>West Virginia</t>
  </si>
  <si>
    <t>South Dakota</t>
  </si>
  <si>
    <t>Luxembourg</t>
  </si>
  <si>
    <t>Federal prisons</t>
  </si>
  <si>
    <t>Serbia</t>
  </si>
  <si>
    <t>Hawaii</t>
  </si>
  <si>
    <t>CANADA</t>
  </si>
  <si>
    <t>Panama</t>
  </si>
  <si>
    <t>Montana</t>
  </si>
  <si>
    <t>Quebec</t>
  </si>
  <si>
    <t>Twice a day</t>
  </si>
  <si>
    <t>Wyoming</t>
  </si>
  <si>
    <t>Finland</t>
  </si>
  <si>
    <t>North Dakota</t>
  </si>
  <si>
    <t>Ontario</t>
  </si>
  <si>
    <t>Dominican Republic</t>
  </si>
  <si>
    <t>Alaska</t>
  </si>
  <si>
    <t>Alberta</t>
  </si>
  <si>
    <t>Qatar</t>
  </si>
  <si>
    <t>Guam</t>
  </si>
  <si>
    <t>British Columbia</t>
  </si>
  <si>
    <t>Grand Princess</t>
  </si>
  <si>
    <t>Thailand</t>
  </si>
  <si>
    <t>U.S. Virgin Islands</t>
  </si>
  <si>
    <t>Nova Scotia</t>
  </si>
  <si>
    <t>Colombia</t>
  </si>
  <si>
    <t>Diamond Princess (repatriated)</t>
  </si>
  <si>
    <t>Ukraine</t>
  </si>
  <si>
    <t>Saskatchewan</t>
  </si>
  <si>
    <t>Northern Mariana Islands</t>
  </si>
  <si>
    <t>Singapore</t>
  </si>
  <si>
    <t>Newfoundland &amp; Labrador</t>
  </si>
  <si>
    <t>Wuhan (repatriated)</t>
  </si>
  <si>
    <t>Belarus</t>
  </si>
  <si>
    <t>American Samoa</t>
  </si>
  <si>
    <t>Manitoba</t>
  </si>
  <si>
    <t>ICE/TSA/CBP</t>
  </si>
  <si>
    <t>Greece</t>
  </si>
  <si>
    <t>New Brunswick</t>
  </si>
  <si>
    <t>U.S. TOTAL</t>
  </si>
  <si>
    <t>South Africa</t>
  </si>
  <si>
    <t>Prince Edward Island</t>
  </si>
  <si>
    <t>Argentina</t>
  </si>
  <si>
    <t>Repatriated travellers</t>
  </si>
  <si>
    <t>2 times</t>
  </si>
  <si>
    <t>Egypt</t>
  </si>
  <si>
    <t>% of deaths</t>
  </si>
  <si>
    <t>Yukon</t>
  </si>
  <si>
    <t>Algeria</t>
  </si>
  <si>
    <t>Northwest Territories</t>
  </si>
  <si>
    <t>Iceland</t>
  </si>
  <si>
    <t>Nunavut</t>
  </si>
  <si>
    <t>Croatia</t>
  </si>
  <si>
    <t>Morocco</t>
  </si>
  <si>
    <t>At least 3</t>
  </si>
  <si>
    <t>Moldova</t>
  </si>
  <si>
    <t>ACTIVE CASES</t>
  </si>
  <si>
    <t>New Zealand</t>
  </si>
  <si>
    <t>MAINLAND CHINA</t>
  </si>
  <si>
    <t>Iraq</t>
  </si>
  <si>
    <t>Serious</t>
  </si>
  <si>
    <t>Critical</t>
  </si>
  <si>
    <t>Hubei province (includes Wuhan)</t>
  </si>
  <si>
    <t>Estonia</t>
  </si>
  <si>
    <t>Guangdong province</t>
  </si>
  <si>
    <t>Hungary</t>
  </si>
  <si>
    <t>Disputed territories</t>
  </si>
  <si>
    <t>Donetsk People’s Republic</t>
  </si>
  <si>
    <t>Henan province</t>
  </si>
  <si>
    <t>Slovenia</t>
  </si>
  <si>
    <t>Zhejiang province</t>
  </si>
  <si>
    <t>Hunan province</t>
  </si>
  <si>
    <t>Lithuania</t>
  </si>
  <si>
    <t>Luhansk People's Republic</t>
  </si>
  <si>
    <t>Beijing</t>
  </si>
  <si>
    <t>Snohomish</t>
  </si>
  <si>
    <t>Shanghai</t>
  </si>
  <si>
    <t>Kuwait</t>
  </si>
  <si>
    <t>Other regions/TBD</t>
  </si>
  <si>
    <t>&lt;35</t>
  </si>
  <si>
    <t>Abkhazia</t>
  </si>
  <si>
    <t>Asymptomatic</t>
  </si>
  <si>
    <t>Pierce</t>
  </si>
  <si>
    <t>Azerbaijan</t>
  </si>
  <si>
    <t>Republic of Artsakh (AKA Nagorno-Karabakh)</t>
  </si>
  <si>
    <t>Kittitas</t>
  </si>
  <si>
    <t>Hong Kong</t>
  </si>
  <si>
    <t>Armenia</t>
  </si>
  <si>
    <t>Grant</t>
  </si>
  <si>
    <t>Yakima</t>
  </si>
  <si>
    <t>To check for inclusion</t>
  </si>
  <si>
    <t>Bahrain</t>
  </si>
  <si>
    <t>Whatcom</t>
  </si>
  <si>
    <t>Reunion</t>
  </si>
  <si>
    <t>Spokane</t>
  </si>
  <si>
    <t>Bosnia</t>
  </si>
  <si>
    <t>Saint Pierre and Miquelon</t>
  </si>
  <si>
    <t>King</t>
  </si>
  <si>
    <t>Guantanamo</t>
  </si>
  <si>
    <t>Cameroon</t>
  </si>
  <si>
    <t>Island</t>
  </si>
  <si>
    <t>Sint Eustatius</t>
  </si>
  <si>
    <t>Kazakhstan</t>
  </si>
  <si>
    <t>Franklin</t>
  </si>
  <si>
    <t>Somaliland</t>
  </si>
  <si>
    <t>Benton</t>
  </si>
  <si>
    <t>São Tomé and Príncipe</t>
  </si>
  <si>
    <t>Other</t>
  </si>
  <si>
    <t>Åland Islands</t>
  </si>
  <si>
    <t>Slovakia</t>
  </si>
  <si>
    <t>Total</t>
  </si>
  <si>
    <t>Akrotiri and Dhekelia</t>
  </si>
  <si>
    <t>Diamond Princess</t>
  </si>
  <si>
    <t>Saint Martin</t>
  </si>
  <si>
    <t>French Guiana</t>
  </si>
  <si>
    <t>Guadeloupe</t>
  </si>
  <si>
    <t>North Macedonia</t>
  </si>
  <si>
    <t>Martinique</t>
  </si>
  <si>
    <t>Mayotte</t>
  </si>
  <si>
    <t>Tunisia</t>
  </si>
  <si>
    <t>Calculating recoveries for</t>
  </si>
  <si>
    <t>Find old totals</t>
  </si>
  <si>
    <t>Last checked</t>
  </si>
  <si>
    <t>Uzbekistan</t>
  </si>
  <si>
    <t>April 7 for March 24</t>
  </si>
  <si>
    <t>Bulgaria</t>
  </si>
  <si>
    <t>Latvia</t>
  </si>
  <si>
    <t>Lebanon</t>
  </si>
  <si>
    <t>Andorra</t>
  </si>
  <si>
    <t>Cyprus</t>
  </si>
  <si>
    <t>Cuba</t>
  </si>
  <si>
    <t>Costa Rica</t>
  </si>
  <si>
    <t>Afghanistan</t>
  </si>
  <si>
    <t>Oman</t>
  </si>
  <si>
    <t>Ivory Coast</t>
  </si>
  <si>
    <t>Uruguay</t>
  </si>
  <si>
    <t>Burkina Faso</t>
  </si>
  <si>
    <t>Niger</t>
  </si>
  <si>
    <t>Bangladesh</t>
  </si>
  <si>
    <t>Albania</t>
  </si>
  <si>
    <t>Honduras</t>
  </si>
  <si>
    <t>Taiwan</t>
  </si>
  <si>
    <t>Ghana</t>
  </si>
  <si>
    <t>A Marzo 21</t>
  </si>
  <si>
    <t>Jordan</t>
  </si>
  <si>
    <t>CASOS</t>
  </si>
  <si>
    <t>MUERTES</t>
  </si>
  <si>
    <t>RECUPERADOS</t>
  </si>
  <si>
    <t>Malta</t>
  </si>
  <si>
    <t>Mundo Hispano</t>
  </si>
  <si>
    <t>Casos</t>
  </si>
  <si>
    <t>Muertes</t>
  </si>
  <si>
    <t>Serios</t>
  </si>
  <si>
    <t>Recuperados</t>
  </si>
  <si>
    <t>Brasil</t>
  </si>
  <si>
    <t>San Marino</t>
  </si>
  <si>
    <t>México</t>
  </si>
  <si>
    <t>Panamá</t>
  </si>
  <si>
    <t>Mauritius</t>
  </si>
  <si>
    <t>Nigeria</t>
  </si>
  <si>
    <t>Rep. Dominicana</t>
  </si>
  <si>
    <t>Bolivia</t>
  </si>
  <si>
    <t>Paraguay</t>
  </si>
  <si>
    <t>Guatemala</t>
  </si>
  <si>
    <t>Kyrgyzstan</t>
  </si>
  <si>
    <t>El Salvador</t>
  </si>
  <si>
    <t>Nicaragua</t>
  </si>
  <si>
    <t>Palestine</t>
  </si>
  <si>
    <t>Senegal</t>
  </si>
  <si>
    <t>Montenegro</t>
  </si>
  <si>
    <t>Vietnam</t>
  </si>
  <si>
    <t>Kosovo</t>
  </si>
  <si>
    <t>DR Congo</t>
  </si>
  <si>
    <t>2 a day</t>
  </si>
  <si>
    <t>Guinea</t>
  </si>
  <si>
    <t>Isle of Man</t>
  </si>
  <si>
    <t>Guernsey</t>
  </si>
  <si>
    <t>Jersey</t>
  </si>
  <si>
    <t>Sri Lanka</t>
  </si>
  <si>
    <t>Kenya</t>
  </si>
  <si>
    <t>Venezuela</t>
  </si>
  <si>
    <t>Djibouti</t>
  </si>
  <si>
    <t>Brunei</t>
  </si>
  <si>
    <t>Gibraltar</t>
  </si>
  <si>
    <t>Cambodia</t>
  </si>
  <si>
    <t>Rwanda</t>
  </si>
  <si>
    <t>Trinidad and Tobago</t>
  </si>
  <si>
    <t>Northern Cyprus</t>
  </si>
  <si>
    <t>Madagascar</t>
  </si>
  <si>
    <t>Aruba</t>
  </si>
  <si>
    <t>Mali</t>
  </si>
  <si>
    <t>Monaco</t>
  </si>
  <si>
    <t>Liechtenstein</t>
  </si>
  <si>
    <t>Togo</t>
  </si>
  <si>
    <t>1 or 2</t>
  </si>
  <si>
    <t>Barbados</t>
  </si>
  <si>
    <t>Ethiopia</t>
  </si>
  <si>
    <t>Jamaica</t>
  </si>
  <si>
    <t>Congo Republic</t>
  </si>
  <si>
    <t>Uganda</t>
  </si>
  <si>
    <t>French Polynesia</t>
  </si>
  <si>
    <t>Sint Maarten</t>
  </si>
  <si>
    <t>Bermuda</t>
  </si>
  <si>
    <t>Gabon</t>
  </si>
  <si>
    <t>Cayman Islands</t>
  </si>
  <si>
    <t>Macau</t>
  </si>
  <si>
    <t>Bahamas</t>
  </si>
  <si>
    <t>Zambia</t>
  </si>
  <si>
    <t>Guyana</t>
  </si>
  <si>
    <t>Liberia</t>
  </si>
  <si>
    <t>Benin</t>
  </si>
  <si>
    <t>Guinea-Bissau</t>
  </si>
  <si>
    <t>Eritrea</t>
  </si>
  <si>
    <t>Tanzania</t>
  </si>
  <si>
    <t>Haiti</t>
  </si>
  <si>
    <t>Myanmar</t>
  </si>
  <si>
    <t>Libya</t>
  </si>
  <si>
    <t>Somalia</t>
  </si>
  <si>
    <t>Mozambique</t>
  </si>
  <si>
    <t>Antigua and Barbuda</t>
  </si>
  <si>
    <t>Syria</t>
  </si>
  <si>
    <t>Angola</t>
  </si>
  <si>
    <t>Maldives</t>
  </si>
  <si>
    <t>New Caledonia</t>
  </si>
  <si>
    <t>Equatorial Guinea</t>
  </si>
  <si>
    <t>Namibia</t>
  </si>
  <si>
    <t>Laos</t>
  </si>
  <si>
    <t>Fiji</t>
  </si>
  <si>
    <t>Mongolia</t>
  </si>
  <si>
    <t>Saint Lucia</t>
  </si>
  <si>
    <t>Sudan</t>
  </si>
  <si>
    <t>Curaçao</t>
  </si>
  <si>
    <t>Grenada</t>
  </si>
  <si>
    <t>Zimbabwe</t>
  </si>
  <si>
    <t>Botswana</t>
  </si>
  <si>
    <t>Saint Vincent and the Grenadines</t>
  </si>
  <si>
    <t>Eswatini</t>
  </si>
  <si>
    <t>St. Kitts and Nevis</t>
  </si>
  <si>
    <t>Greenland</t>
  </si>
  <si>
    <t>Seychelles</t>
  </si>
  <si>
    <t>Chad</t>
  </si>
  <si>
    <t>Suriname</t>
  </si>
  <si>
    <t>Central African Republic</t>
  </si>
  <si>
    <t>Belize</t>
  </si>
  <si>
    <t>Nepal</t>
  </si>
  <si>
    <t>Malawi</t>
  </si>
  <si>
    <t>Montserrat</t>
  </si>
  <si>
    <t>Turks and Caicos Islands</t>
  </si>
  <si>
    <t>Sierra Leone</t>
  </si>
  <si>
    <t>Vatican City</t>
  </si>
  <si>
    <t>Cape Verde</t>
  </si>
  <si>
    <t>Mauritania</t>
  </si>
  <si>
    <t>St. Barthélemy</t>
  </si>
  <si>
    <t>Bhutan</t>
  </si>
  <si>
    <t>Falkland Islands</t>
  </si>
  <si>
    <t>The Gambia</t>
  </si>
  <si>
    <t>South Sudan</t>
  </si>
  <si>
    <t>British Virgin Islands</t>
  </si>
  <si>
    <t>Anguilla</t>
  </si>
  <si>
    <t>Burundi</t>
  </si>
  <si>
    <t>Papua New Guinea</t>
  </si>
  <si>
    <t>Timor-Leste</t>
  </si>
  <si>
    <t>Yemen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</si>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</sst>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9">
    <font>
      <sz val="10.0"/>
      <color rgb="FF000000"/>
      <name val="Arial"/>
    </font>
    <font>
      <b/>
      <i/>
      <sz val="11.0"/>
      <color rgb="FF000000"/>
      <name val="Arial"/>
    </font>
    <font>
      <b/>
      <i/>
      <sz val="12.0"/>
      <color rgb="FF000000"/>
      <name val="Roboto"/>
    </font>
    <font>
      <sz val="11.0"/>
      <color theme="1"/>
      <name val="Arial"/>
    </font>
    <font>
      <b/>
      <sz val="13.0"/>
      <color rgb="FF000000"/>
      <name val="Roboto"/>
    </font>
    <font>
      <b/>
      <sz val="13.0"/>
      <color theme="1"/>
      <name val="Roboto"/>
    </font>
    <font>
      <b/>
      <sz val="11.0"/>
      <color theme="1"/>
      <name val="Roboto"/>
    </font>
    <font>
      <b/>
      <sz val="11.0"/>
      <color rgb="FF000000"/>
      <name val="Roboto"/>
    </font>
    <font>
      <b/>
      <sz val="13.0"/>
      <color rgb="FF000000"/>
      <name val="Docs-Roboto"/>
    </font>
    <font>
      <b/>
      <sz val="13.0"/>
      <color rgb="FFFF0000"/>
      <name val="Roboto"/>
    </font>
    <font>
      <b/>
      <sz val="13.0"/>
      <color rgb="FF6AA84F"/>
      <name val="Roboto"/>
    </font>
    <font>
      <b/>
      <sz val="13.0"/>
      <color rgb="FFE69138"/>
      <name val="Roboto"/>
    </font>
    <font>
      <sz val="11.0"/>
      <color rgb="FF000000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sz val="11.0"/>
      <color rgb="FFFFFFFF"/>
      <name val="Arial"/>
    </font>
    <font>
      <u/>
      <sz val="11.0"/>
      <color rgb="FF0A0A0A"/>
      <name val="Roboto"/>
    </font>
    <font>
      <u/>
      <sz val="11.0"/>
      <color rgb="FF0A0A0A"/>
      <name val="Roboto"/>
    </font>
    <font>
      <sz val="11.0"/>
      <color rgb="FF0A0A0A"/>
      <name val="Roboto"/>
    </font>
    <font>
      <b/>
      <sz val="11.0"/>
      <color rgb="FFFF0000"/>
      <name val="Roboto"/>
    </font>
    <font>
      <b/>
      <sz val="11.0"/>
      <color rgb="FFFF0000"/>
      <name val="Arial"/>
    </font>
    <font>
      <b/>
      <i/>
      <sz val="11.0"/>
      <color rgb="FF000000"/>
      <name val="Roboto"/>
    </font>
    <font>
      <sz val="11.0"/>
      <color rgb="FF999999"/>
      <name val="Arial"/>
    </font>
    <font>
      <u/>
      <sz val="11.0"/>
      <color rgb="FF0000FF"/>
    </font>
    <font>
      <color theme="1"/>
      <name val="Arial"/>
    </font>
    <font>
      <sz val="11.0"/>
      <color rgb="FFFFFFFF"/>
      <name val="Roboto"/>
    </font>
    <font>
      <b/>
      <sz val="11.0"/>
      <color rgb="FF38761D"/>
      <name val="Roboto"/>
    </font>
    <font>
      <sz val="11.0"/>
      <color rgb="FF000000"/>
      <name val="Arial"/>
    </font>
    <font>
      <u/>
      <sz val="11.0"/>
      <color rgb="FF0A0A0A"/>
      <name val="Roboto"/>
    </font>
    <font>
      <b/>
      <sz val="11.0"/>
      <color theme="1"/>
      <name val="Arial"/>
    </font>
    <font>
      <u/>
      <sz val="11.0"/>
      <color rgb="FF0A0A0A"/>
      <name val="Roboto"/>
    </font>
    <font>
      <u/>
      <sz val="11.0"/>
      <color rgb="FF0000FF"/>
    </font>
    <font>
      <u/>
      <sz val="11.0"/>
      <color rgb="FF0A0A0A"/>
      <name val="Roboto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0000FF"/>
      <name val="Arial"/>
    </font>
    <font>
      <u/>
      <color rgb="FF0000FF"/>
    </font>
    <font>
      <sz val="19.0"/>
      <color rgb="FF333333"/>
      <name val="Arial"/>
    </font>
    <font>
      <u/>
      <sz val="11.0"/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bottom"/>
    </xf>
    <xf borderId="0" fillId="0" fontId="3" numFmtId="0" xfId="0" applyFont="1"/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2" fontId="3" numFmtId="0" xfId="0" applyFill="1" applyFont="1"/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8" numFmtId="0" xfId="0" applyAlignment="1" applyFont="1">
      <alignment horizontal="left" readingOrder="0"/>
    </xf>
    <xf borderId="0" fillId="0" fontId="9" numFmtId="3" xfId="0" applyAlignment="1" applyFont="1" applyNumberFormat="1">
      <alignment horizontal="left" vertical="bottom"/>
    </xf>
    <xf borderId="0" fillId="2" fontId="9" numFmtId="3" xfId="0" applyAlignment="1" applyFont="1" applyNumberFormat="1">
      <alignment horizontal="left"/>
    </xf>
    <xf borderId="0" fillId="0" fontId="10" numFmtId="3" xfId="0" applyAlignment="1" applyFont="1" applyNumberFormat="1">
      <alignment horizontal="left" vertical="bottom"/>
    </xf>
    <xf borderId="0" fillId="0" fontId="11" numFmtId="3" xfId="0" applyAlignment="1" applyFont="1" applyNumberFormat="1">
      <alignment horizontal="center" vertical="bottom"/>
    </xf>
    <xf borderId="0" fillId="0" fontId="11" numFmtId="3" xfId="0" applyAlignment="1" applyFont="1" applyNumberFormat="1">
      <alignment horizontal="left" shrinkToFit="0" vertical="bottom" wrapText="0"/>
    </xf>
    <xf borderId="0" fillId="2" fontId="9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3" fontId="7" numFmtId="0" xfId="0" applyAlignment="1" applyBorder="1" applyFill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0" fillId="2" fontId="3" numFmtId="0" xfId="0" applyAlignment="1" applyFont="1">
      <alignment vertical="center"/>
    </xf>
    <xf borderId="1" fillId="4" fontId="12" numFmtId="0" xfId="0" applyAlignment="1" applyBorder="1" applyFill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1" fillId="4" fontId="12" numFmtId="3" xfId="0" applyAlignment="1" applyBorder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vertical="center"/>
    </xf>
    <xf borderId="1" fillId="0" fontId="1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1" fillId="0" fontId="12" numFmtId="3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5" fontId="12" numFmtId="3" xfId="0" applyAlignment="1" applyBorder="1" applyFill="1" applyFont="1" applyNumberFormat="1">
      <alignment horizontal="center" readingOrder="0" shrinkToFit="0" vertical="center" wrapText="1"/>
    </xf>
    <xf borderId="1" fillId="0" fontId="12" numFmtId="3" xfId="0" applyAlignment="1" applyBorder="1" applyFont="1" applyNumberFormat="1">
      <alignment horizontal="center" readingOrder="0" vertical="center"/>
    </xf>
    <xf borderId="1" fillId="6" fontId="12" numFmtId="3" xfId="0" applyAlignment="1" applyBorder="1" applyFill="1" applyFont="1" applyNumberFormat="1">
      <alignment horizontal="center" readingOrder="0" shrinkToFit="0" vertical="center" wrapText="1"/>
    </xf>
    <xf borderId="1" fillId="7" fontId="12" numFmtId="3" xfId="0" applyAlignment="1" applyBorder="1" applyFill="1" applyFont="1" applyNumberFormat="1">
      <alignment horizontal="center" readingOrder="0" vertical="center"/>
    </xf>
    <xf borderId="1" fillId="2" fontId="3" numFmtId="10" xfId="0" applyAlignment="1" applyBorder="1" applyFont="1" applyNumberFormat="1">
      <alignment horizontal="center" readingOrder="0" vertical="center"/>
    </xf>
    <xf borderId="1" fillId="0" fontId="3" numFmtId="3" xfId="0" applyAlignment="1" applyBorder="1" applyFont="1" applyNumberFormat="1">
      <alignment horizontal="center" readingOrder="0" shrinkToFit="0" vertical="center" wrapText="1"/>
    </xf>
    <xf borderId="1" fillId="4" fontId="3" numFmtId="3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6" fontId="3" numFmtId="3" xfId="0" applyAlignment="1" applyBorder="1" applyFont="1" applyNumberFormat="1">
      <alignment horizontal="center" readingOrder="0" vertical="center"/>
    </xf>
    <xf borderId="1" fillId="4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3" numFmtId="3" xfId="0" applyAlignment="1" applyBorder="1" applyFont="1" applyNumberFormat="1">
      <alignment horizontal="center" readingOrder="0" vertical="center"/>
    </xf>
    <xf borderId="0" fillId="2" fontId="15" numFmtId="0" xfId="0" applyAlignment="1" applyFont="1">
      <alignment vertical="center"/>
    </xf>
    <xf borderId="0" fillId="8" fontId="3" numFmtId="0" xfId="0" applyAlignment="1" applyFill="1" applyFont="1">
      <alignment vertical="center"/>
    </xf>
    <xf borderId="1" fillId="0" fontId="16" numFmtId="0" xfId="0" applyAlignment="1" applyBorder="1" applyFont="1">
      <alignment horizontal="center" readingOrder="0" vertical="center"/>
    </xf>
    <xf borderId="0" fillId="2" fontId="3" numFmtId="0" xfId="0" applyAlignment="1" applyFont="1">
      <alignment vertical="center"/>
    </xf>
    <xf borderId="1" fillId="3" fontId="12" numFmtId="0" xfId="0" applyAlignment="1" applyBorder="1" applyFont="1">
      <alignment horizontal="left" readingOrder="0" shrinkToFit="0" vertical="center" wrapText="1"/>
    </xf>
    <xf borderId="0" fillId="9" fontId="3" numFmtId="0" xfId="0" applyAlignment="1" applyFill="1" applyFont="1">
      <alignment horizontal="center" vertical="center"/>
    </xf>
    <xf borderId="1" fillId="3" fontId="12" numFmtId="3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shrinkToFit="0" vertical="center" wrapText="1"/>
    </xf>
    <xf borderId="1" fillId="4" fontId="3" numFmtId="10" xfId="0" applyAlignment="1" applyBorder="1" applyFont="1" applyNumberFormat="1">
      <alignment horizontal="center" readingOrder="0" vertical="center"/>
    </xf>
    <xf borderId="1" fillId="6" fontId="1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10" xfId="0" applyAlignment="1" applyBorder="1" applyFont="1" applyNumberFormat="1">
      <alignment horizontal="center" readingOrder="0" vertical="center"/>
    </xf>
    <xf borderId="1" fillId="3" fontId="3" numFmtId="3" xfId="0" applyAlignment="1" applyBorder="1" applyFont="1" applyNumberFormat="1">
      <alignment horizontal="center" readingOrder="0" shrinkToFit="0" vertical="center" wrapText="1"/>
    </xf>
    <xf borderId="1" fillId="0" fontId="12" numFmtId="3" xfId="0" applyAlignment="1" applyBorder="1" applyFont="1" applyNumberFormat="1">
      <alignment horizontal="center" readingOrder="0" vertical="center"/>
    </xf>
    <xf borderId="1" fillId="3" fontId="17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10" fontId="3" numFmtId="0" xfId="0" applyAlignment="1" applyFill="1" applyFont="1">
      <alignment vertical="center"/>
    </xf>
    <xf borderId="1" fillId="4" fontId="12" numFmtId="0" xfId="0" applyAlignment="1" applyBorder="1" applyFont="1">
      <alignment horizontal="center" readingOrder="0" shrinkToFit="0" vertical="center" wrapText="1"/>
    </xf>
    <xf borderId="0" fillId="9" fontId="3" numFmtId="0" xfId="0" applyAlignment="1" applyFont="1">
      <alignment horizontal="center" vertical="center"/>
    </xf>
    <xf borderId="1" fillId="4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0" fillId="9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11" fontId="3" numFmtId="0" xfId="0" applyAlignment="1" applyFill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18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2" numFmtId="3" xfId="0" applyAlignment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9" numFmtId="3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1" numFmtId="0" xfId="0" applyAlignment="1" applyFont="1">
      <alignment vertical="bottom"/>
    </xf>
    <xf borderId="0" fillId="0" fontId="7" numFmtId="164" xfId="0" applyAlignment="1" applyFont="1" applyNumberFormat="1">
      <alignment horizontal="center" vertical="bottom"/>
    </xf>
    <xf borderId="0" fillId="0" fontId="3" numFmtId="0" xfId="0" applyAlignment="1" applyFont="1">
      <alignment horizontal="left"/>
    </xf>
    <xf borderId="0" fillId="8" fontId="22" numFmtId="0" xfId="0" applyAlignment="1" applyFont="1">
      <alignment vertical="center"/>
    </xf>
    <xf borderId="1" fillId="0" fontId="23" numFmtId="3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0" fillId="8" fontId="3" numFmtId="0" xfId="0" applyAlignment="1" applyFont="1">
      <alignment vertical="center"/>
    </xf>
    <xf borderId="1" fillId="3" fontId="18" numFmtId="0" xfId="0" applyAlignment="1" applyBorder="1" applyFont="1">
      <alignment horizontal="center" readingOrder="0" shrinkToFit="0" vertical="center" wrapText="1"/>
    </xf>
    <xf borderId="0" fillId="2" fontId="24" numFmtId="0" xfId="0" applyFont="1"/>
    <xf borderId="1" fillId="4" fontId="3" numFmtId="0" xfId="0" applyAlignment="1" applyBorder="1" applyFont="1">
      <alignment horizontal="center" readingOrder="0" vertical="center"/>
    </xf>
    <xf borderId="0" fillId="2" fontId="25" numFmtId="0" xfId="0" applyAlignment="1" applyFont="1">
      <alignment horizontal="left" readingOrder="0" shrinkToFit="0" vertical="center" wrapText="1"/>
    </xf>
    <xf borderId="0" fillId="2" fontId="25" numFmtId="3" xfId="0" applyAlignment="1" applyFont="1" applyNumberFormat="1">
      <alignment horizontal="center" readingOrder="0" shrinkToFit="0" vertical="center" wrapText="1"/>
    </xf>
    <xf borderId="0" fillId="2" fontId="25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shrinkToFit="0" vertical="center" wrapText="1"/>
    </xf>
    <xf borderId="0" fillId="2" fontId="25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19" numFmtId="3" xfId="0" applyAlignment="1" applyFont="1" applyNumberFormat="1">
      <alignment horizontal="center" readingOrder="0" shrinkToFit="0" vertical="center" wrapText="1"/>
    </xf>
    <xf borderId="0" fillId="5" fontId="7" numFmtId="3" xfId="0" applyAlignment="1" applyFont="1" applyNumberFormat="1">
      <alignment horizontal="center" readingOrder="0" shrinkToFit="0" vertical="center" wrapText="1"/>
    </xf>
    <xf borderId="0" fillId="6" fontId="7" numFmtId="3" xfId="0" applyAlignment="1" applyFont="1" applyNumberFormat="1">
      <alignment horizontal="center" readingOrder="0" shrinkToFit="0" vertical="center" wrapText="1"/>
    </xf>
    <xf borderId="0" fillId="4" fontId="7" numFmtId="10" xfId="0" applyAlignment="1" applyFont="1" applyNumberFormat="1">
      <alignment horizontal="center" readingOrder="0" shrinkToFit="0" vertical="center" wrapText="1"/>
    </xf>
    <xf borderId="0" fillId="4" fontId="7" numFmtId="3" xfId="0" applyAlignment="1" applyFont="1" applyNumberFormat="1">
      <alignment horizontal="center" readingOrder="0" shrinkToFit="0" vertical="center" wrapText="1"/>
    </xf>
    <xf borderId="0" fillId="4" fontId="26" numFmtId="3" xfId="0" applyAlignment="1" applyFont="1" applyNumberFormat="1">
      <alignment horizontal="center" readingOrder="0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12" fontId="3" numFmtId="0" xfId="0" applyAlignment="1" applyFill="1" applyFont="1">
      <alignment vertical="center"/>
    </xf>
    <xf borderId="0" fillId="3" fontId="7" numFmtId="0" xfId="0" applyAlignment="1" applyFont="1">
      <alignment shrinkToFit="0" wrapText="1"/>
    </xf>
    <xf borderId="0" fillId="3" fontId="7" numFmtId="0" xfId="0" applyAlignment="1" applyFont="1">
      <alignment horizontal="center" shrinkToFit="0" wrapText="1"/>
    </xf>
    <xf borderId="0" fillId="3" fontId="6" numFmtId="0" xfId="0" applyAlignment="1" applyFont="1">
      <alignment horizontal="center" shrinkToFit="0" wrapText="1"/>
    </xf>
    <xf borderId="0" fillId="8" fontId="27" numFmtId="0" xfId="0" applyAlignment="1" applyFont="1">
      <alignment vertical="center"/>
    </xf>
    <xf borderId="0" fillId="3" fontId="7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0" fontId="3" numFmtId="3" xfId="0" applyAlignment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2" fontId="22" numFmtId="0" xfId="0" applyAlignment="1" applyFont="1">
      <alignment vertical="center"/>
    </xf>
    <xf borderId="0" fillId="4" fontId="12" numFmtId="0" xfId="0" applyAlignment="1" applyFont="1">
      <alignment horizontal="left" readingOrder="0" shrinkToFit="0" vertical="center" wrapText="1"/>
    </xf>
    <xf borderId="0" fillId="4" fontId="12" numFmtId="3" xfId="0" applyAlignment="1" applyFont="1" applyNumberFormat="1">
      <alignment horizontal="center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3" numFmtId="3" xfId="0" applyAlignment="1" applyFont="1" applyNumberFormat="1">
      <alignment horizontal="center" readingOrder="0" shrinkToFit="0" vertical="center" wrapText="1"/>
    </xf>
    <xf borderId="0" fillId="0" fontId="29" numFmtId="0" xfId="0" applyAlignment="1" applyFont="1">
      <alignment readingOrder="0" vertical="center"/>
    </xf>
    <xf borderId="0" fillId="4" fontId="3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1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2" fontId="29" numFmtId="0" xfId="0" applyFont="1"/>
    <xf borderId="0" fillId="3" fontId="32" numFmtId="0" xfId="0" applyAlignment="1" applyFont="1">
      <alignment horizontal="center" readingOrder="0" shrinkToFit="0" vertical="center" wrapText="1"/>
    </xf>
    <xf borderId="0" fillId="2" fontId="29" numFmtId="0" xfId="0" applyAlignment="1" applyFont="1">
      <alignment horizontal="center"/>
    </xf>
    <xf borderId="0" fillId="2" fontId="3" numFmtId="3" xfId="0" applyAlignment="1" applyFont="1" applyNumberFormat="1">
      <alignment horizontal="center" readingOrder="0"/>
    </xf>
    <xf borderId="0" fillId="2" fontId="33" numFmtId="0" xfId="0" applyFont="1"/>
    <xf borderId="0" fillId="2" fontId="24" numFmtId="0" xfId="0" applyFont="1"/>
    <xf borderId="0" fillId="2" fontId="29" numFmtId="0" xfId="0" applyFont="1"/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19" numFmtId="3" xfId="0" applyAlignment="1" applyFont="1" applyNumberFormat="1">
      <alignment horizontal="center" readingOrder="0" shrinkToFit="0" vertical="center" wrapText="1"/>
    </xf>
    <xf borderId="0" fillId="2" fontId="34" numFmtId="0" xfId="0" applyFont="1"/>
    <xf borderId="0" fillId="0" fontId="3" numFmtId="0" xfId="0" applyAlignment="1" applyFont="1">
      <alignment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2" fontId="35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2" fontId="24" numFmtId="0" xfId="0" applyFont="1"/>
    <xf borderId="0" fillId="2" fontId="3" numFmtId="3" xfId="0" applyAlignment="1" applyFont="1" applyNumberFormat="1">
      <alignment horizontal="center" readingOrder="0"/>
    </xf>
    <xf borderId="0" fillId="2" fontId="29" numFmtId="3" xfId="0" applyAlignment="1" applyFont="1" applyNumberFormat="1">
      <alignment horizontal="center"/>
    </xf>
    <xf borderId="0" fillId="0" fontId="24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4" numFmtId="0" xfId="0" applyAlignment="1" applyFont="1">
      <alignment horizontal="center" readingOrder="0"/>
    </xf>
    <xf borderId="0" fillId="2" fontId="37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  <xf borderId="1" fillId="0" fontId="18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center" readingOrder="0" vertical="center"/>
    </xf>
    <xf borderId="3" fillId="7" fontId="12" numFmtId="3" xfId="0" applyAlignment="1" applyBorder="1" applyFont="1" applyNumberForma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3" fillId="6" fontId="3" numFmtId="3" xfId="0" applyAlignment="1" applyBorder="1" applyFont="1" applyNumberFormat="1">
      <alignment horizontal="center" readingOrder="0" vertical="center"/>
    </xf>
    <xf borderId="1" fillId="4" fontId="12" numFmtId="0" xfId="0" applyAlignment="1" applyBorder="1" applyFont="1">
      <alignment horizontal="left" readingOrder="0" shrinkToFit="0" vertical="center" wrapText="1"/>
    </xf>
    <xf borderId="1" fillId="4" fontId="12" numFmtId="0" xfId="0" applyAlignment="1" applyBorder="1" applyFont="1">
      <alignment horizontal="center" readingOrder="0" vertical="center"/>
    </xf>
    <xf borderId="1" fillId="4" fontId="27" numFmtId="10" xfId="0" applyAlignment="1" applyBorder="1" applyFont="1" applyNumberFormat="1">
      <alignment horizontal="center" readingOrder="0" vertical="center"/>
    </xf>
    <xf borderId="1" fillId="4" fontId="27" numFmtId="0" xfId="0" applyAlignment="1" applyBorder="1" applyFont="1">
      <alignment horizontal="center" readingOrder="0" vertical="center"/>
    </xf>
    <xf borderId="1" fillId="4" fontId="38" numFmtId="0" xfId="0" applyAlignment="1" applyBorder="1" applyFont="1">
      <alignment horizontal="center" readingOrder="0" vertical="center"/>
    </xf>
    <xf borderId="0" fillId="12" fontId="27" numFmtId="0" xfId="0" applyAlignment="1" applyFont="1">
      <alignment vertical="center"/>
    </xf>
    <xf borderId="0" fillId="2" fontId="27" numFmtId="0" xfId="0" applyAlignment="1" applyFont="1">
      <alignment horizontal="center" vertical="center"/>
    </xf>
    <xf borderId="0" fillId="2" fontId="27" numFmtId="0" xfId="0" applyAlignment="1" applyFont="1">
      <alignment vertical="center"/>
    </xf>
    <xf borderId="0" fillId="2" fontId="25" numFmtId="0" xfId="0" applyAlignment="1" applyFont="1">
      <alignment horizontal="left" readingOrder="0" vertical="center"/>
    </xf>
    <xf borderId="0" fillId="2" fontId="25" numFmtId="0" xfId="0" applyAlignment="1" applyFont="1">
      <alignment horizontal="center" readingOrder="0" vertical="center"/>
    </xf>
    <xf borderId="0" fillId="2" fontId="25" numFmtId="3" xfId="0" applyAlignment="1" applyFont="1" applyNumberFormat="1">
      <alignment horizontal="center" readingOrder="0" vertical="center"/>
    </xf>
    <xf borderId="0" fillId="2" fontId="15" numFmtId="3" xfId="0" applyAlignment="1" applyFont="1" applyNumberFormat="1">
      <alignment horizontal="center" readingOrder="0" vertical="center"/>
    </xf>
    <xf borderId="0" fillId="2" fontId="15" numFmtId="0" xfId="0" applyAlignment="1" applyFont="1">
      <alignment horizontal="center" readingOrder="0" vertical="center"/>
    </xf>
    <xf borderId="0" fillId="2" fontId="25" numFmtId="0" xfId="0" applyAlignment="1" applyFont="1">
      <alignment horizontal="center" readingOrder="0" vertical="center"/>
    </xf>
    <xf borderId="0" fillId="2" fontId="15" numFmtId="0" xfId="0" applyAlignment="1" applyFont="1">
      <alignment horizontal="center" vertical="center"/>
    </xf>
    <xf borderId="0" fillId="4" fontId="7" numFmtId="0" xfId="0" applyAlignment="1" applyFont="1">
      <alignment horizontal="left" readingOrder="0" vertical="center"/>
    </xf>
    <xf borderId="0" fillId="4" fontId="20" numFmtId="3" xfId="0" applyAlignment="1" applyFont="1" applyNumberFormat="1">
      <alignment horizontal="center" vertical="center"/>
    </xf>
    <xf borderId="0" fillId="7" fontId="7" numFmtId="3" xfId="0" applyAlignment="1" applyFont="1" applyNumberFormat="1">
      <alignment horizontal="center" readingOrder="0" vertical="center"/>
    </xf>
    <xf borderId="0" fillId="4" fontId="19" numFmtId="3" xfId="0" applyAlignment="1" applyFont="1" applyNumberFormat="1">
      <alignment horizontal="center" readingOrder="0" vertical="center"/>
    </xf>
    <xf borderId="0" fillId="6" fontId="7" numFmtId="3" xfId="0" applyAlignment="1" applyFont="1" applyNumberFormat="1">
      <alignment horizontal="center" readingOrder="0" vertical="center"/>
    </xf>
    <xf borderId="0" fillId="4" fontId="7" numFmtId="10" xfId="0" applyAlignment="1" applyFont="1" applyNumberFormat="1">
      <alignment horizontal="center" readingOrder="0" vertical="center"/>
    </xf>
    <xf borderId="0" fillId="4" fontId="7" numFmtId="3" xfId="0" applyAlignment="1" applyFont="1" applyNumberFormat="1">
      <alignment horizontal="center" readingOrder="0" vertical="center"/>
    </xf>
    <xf borderId="0" fillId="4" fontId="26" numFmtId="3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4" fontId="19" numFmtId="0" xfId="0" applyAlignment="1" applyFont="1">
      <alignment horizontal="center" readingOrder="0" vertical="center"/>
    </xf>
    <xf borderId="0" fillId="2" fontId="24" numFmtId="0" xfId="0" applyAlignment="1" applyFont="1">
      <alignment vertical="bottom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horizontal="center" shrinkToFit="0" vertical="center" wrapText="1"/>
    </xf>
    <xf borderId="0" fillId="2" fontId="7" numFmtId="0" xfId="0" applyAlignment="1" applyFont="1">
      <alignment horizontal="center" vertical="center"/>
    </xf>
    <xf borderId="0" fillId="2" fontId="6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vertical="center"/>
    </xf>
    <xf borderId="0" fillId="2" fontId="2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5">
    <tableStyle count="3" pivot="0" name="Australia-style">
      <tableStyleElement dxfId="1" type="headerRow"/>
      <tableStyleElement dxfId="2" type="firstRowStripe"/>
      <tableStyleElement dxfId="3" type="secondRowStripe"/>
    </tableStyle>
    <tableStyle count="3" pivot="0" name="Australia-style 2">
      <tableStyleElement dxfId="1" type="headerRow"/>
      <tableStyleElement dxfId="2" type="firstRowStripe"/>
      <tableStyleElement dxfId="3" type="secondRowStripe"/>
    </tableStyle>
    <tableStyle count="3" pivot="0" name="Cruise ships-style">
      <tableStyleElement dxfId="1" type="headerRow"/>
      <tableStyleElement dxfId="2" type="firstRowStripe"/>
      <tableStyleElement dxfId="3" type="secondRowStripe"/>
    </tableStyle>
    <tableStyle count="3" pivot="0" name="Cruise ships-style 2">
      <tableStyleElement dxfId="1" type="headerRow"/>
      <tableStyleElement dxfId="2" type="firstRowStripe"/>
      <tableStyleElement dxfId="3" type="secondRowStripe"/>
    </tableStyle>
    <tableStyle count="3" pivot="0" name="USA-style">
      <tableStyleElement dxfId="1" type="headerRow"/>
      <tableStyleElement dxfId="2" type="firstRowStripe"/>
      <tableStyleElement dxfId="3" type="secondRowStripe"/>
    </tableStyle>
    <tableStyle count="3" pivot="0" name="USA-style 2">
      <tableStyleElement dxfId="1" type="headerRow"/>
      <tableStyleElement dxfId="2" type="firstRowStripe"/>
      <tableStyleElement dxfId="3" type="secondRowStripe"/>
    </tableStyle>
    <tableStyle count="3" pivot="0" name="USA-style 3">
      <tableStyleElement dxfId="1" type="headerRow"/>
      <tableStyleElement dxfId="2" type="firstRowStripe"/>
      <tableStyleElement dxfId="3" type="secondRowStripe"/>
    </tableStyle>
    <tableStyle count="3" pivot="0" name="Canada-style">
      <tableStyleElement dxfId="1" type="headerRow"/>
      <tableStyleElement dxfId="2" type="firstRowStripe"/>
      <tableStyleElement dxfId="3" type="secondRowStripe"/>
    </tableStyle>
    <tableStyle count="3" pivot="0" name="Canada-style 2">
      <tableStyleElement dxfId="1" type="headerRow"/>
      <tableStyleElement dxfId="2" type="firstRowStripe"/>
      <tableStyleElement dxfId="3" type="secondRowStripe"/>
    </tableStyle>
    <tableStyle count="3" pivot="0" name="China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América Latina-style">
      <tableStyleElement dxfId="1" type="headerRow"/>
      <tableStyleElement dxfId="2" type="firstRowStripe"/>
      <tableStyleElement dxfId="3" type="secondRowStripe"/>
    </tableStyle>
    <tableStyle count="3" pivot="0" name="World-style">
      <tableStyleElement dxfId="1" type="headerRow"/>
      <tableStyleElement dxfId="2" type="firstRowStripe"/>
      <tableStyleElement dxfId="3" type="secondRowStripe"/>
    </tableStyle>
    <tableStyle count="3" pivot="0" name="World-style 2">
      <tableStyleElement dxfId="1" type="headerRow"/>
      <tableStyleElement dxfId="2" type="firstRowStripe"/>
      <tableStyleElement dxfId="3" type="secondRowStripe"/>
    </tableStyle>
    <tableStyle count="3" pivot="0" name="World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1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8.xml"/><Relationship Id="rId12" Type="http://schemas.openxmlformats.org/officeDocument/2006/relationships/chartsheet" Target="chartsheets/sheet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Overall cases per country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Pt>
            <c:idx val="109"/>
            <c:spPr>
              <a:solidFill>
                <a:srgbClr val="5F3E78"/>
              </a:solidFill>
            </c:spPr>
          </c:dPt>
          <c:dPt>
            <c:idx val="110"/>
            <c:spPr>
              <a:solidFill>
                <a:srgbClr val="13274F"/>
              </a:solidFill>
            </c:spPr>
          </c:dPt>
          <c:dPt>
            <c:idx val="111"/>
            <c:spPr>
              <a:solidFill>
                <a:srgbClr val="7E7FF4"/>
              </a:solidFill>
            </c:spPr>
          </c:dPt>
          <c:dPt>
            <c:idx val="112"/>
            <c:spPr>
              <a:solidFill>
                <a:srgbClr val="FF855D"/>
              </a:solidFill>
            </c:spPr>
          </c:dPt>
          <c:dPt>
            <c:idx val="113"/>
            <c:spPr>
              <a:solidFill>
                <a:srgbClr val="2F21FA"/>
              </a:solidFill>
            </c:spPr>
          </c:dPt>
          <c:dPt>
            <c:idx val="114"/>
            <c:spPr>
              <a:solidFill>
                <a:srgbClr val="773D33"/>
              </a:solidFill>
            </c:spPr>
          </c:dPt>
          <c:dPt>
            <c:idx val="115"/>
            <c:spPr>
              <a:solidFill>
                <a:srgbClr val="6677B4"/>
              </a:solidFill>
            </c:spPr>
          </c:dPt>
          <c:dPt>
            <c:idx val="116"/>
            <c:spPr>
              <a:solidFill>
                <a:srgbClr val="123F9B"/>
              </a:solidFill>
            </c:spPr>
          </c:dPt>
          <c:dPt>
            <c:idx val="117"/>
            <c:spPr>
              <a:solidFill>
                <a:srgbClr val="BB9C27"/>
              </a:solidFill>
            </c:spPr>
          </c:dPt>
          <c:dPt>
            <c:idx val="118"/>
            <c:spPr>
              <a:solidFill>
                <a:srgbClr val="FFADA9"/>
              </a:solidFill>
            </c:spPr>
          </c:dPt>
          <c:dPt>
            <c:idx val="119"/>
            <c:spPr>
              <a:solidFill>
                <a:srgbClr val="67370B"/>
              </a:solidFill>
            </c:spPr>
          </c:dPt>
          <c:dPt>
            <c:idx val="120"/>
            <c:spPr>
              <a:solidFill>
                <a:srgbClr val="B36136"/>
              </a:solidFill>
            </c:spPr>
          </c:dPt>
          <c:dPt>
            <c:idx val="121"/>
            <c:spPr>
              <a:solidFill>
                <a:srgbClr val="6CAFF1"/>
              </a:solidFill>
            </c:spPr>
          </c:dPt>
          <c:dPt>
            <c:idx val="122"/>
            <c:spPr>
              <a:solidFill>
                <a:srgbClr val="134FE6"/>
              </a:solidFill>
            </c:spPr>
          </c:dPt>
          <c:dPt>
            <c:idx val="123"/>
            <c:spPr>
              <a:solidFill>
                <a:srgbClr val="F6B65B"/>
              </a:solidFill>
            </c:spPr>
          </c:dPt>
          <c:dPt>
            <c:idx val="124"/>
            <c:spPr>
              <a:solidFill>
                <a:srgbClr val="FFDDF5"/>
              </a:solidFill>
            </c:spPr>
          </c:dPt>
          <c:dPt>
            <c:idx val="125"/>
            <c:spPr>
              <a:solidFill>
                <a:srgbClr val="9E4B1C"/>
              </a:solidFill>
            </c:spPr>
          </c:dPt>
          <c:dPt>
            <c:idx val="126"/>
            <c:spPr>
              <a:solidFill>
                <a:srgbClr val="EB8739"/>
              </a:solidFill>
            </c:spPr>
          </c:dPt>
          <c:dPt>
            <c:idx val="127"/>
            <c:spPr>
              <a:solidFill>
                <a:srgbClr val="6EE72E"/>
              </a:solidFill>
            </c:spPr>
          </c:dPt>
          <c:dPt>
            <c:idx val="128"/>
            <c:spPr>
              <a:solidFill>
                <a:srgbClr val="166631"/>
              </a:solidFill>
            </c:spPr>
          </c:dPt>
          <c:dPt>
            <c:idx val="129"/>
            <c:spPr>
              <a:solidFill>
                <a:srgbClr val="33CC8F"/>
              </a:solidFill>
            </c:spPr>
          </c:dPt>
          <c:dPt>
            <c:idx val="130"/>
            <c:spPr>
              <a:solidFill>
                <a:srgbClr val="FF0741"/>
              </a:solidFill>
            </c:spPr>
          </c:dPt>
          <c:dPt>
            <c:idx val="131"/>
            <c:spPr>
              <a:solidFill>
                <a:srgbClr val="D65F2D"/>
              </a:solidFill>
            </c:spPr>
          </c:dPt>
          <c:dPt>
            <c:idx val="132"/>
            <c:spPr>
              <a:solidFill>
                <a:srgbClr val="23AB3D"/>
              </a:solidFill>
            </c:spPr>
          </c:dPt>
          <c:dPt>
            <c:idx val="133"/>
            <c:spPr>
              <a:solidFill>
                <a:srgbClr val="751D6A"/>
              </a:solidFill>
            </c:spPr>
          </c:dPt>
          <c:dPt>
            <c:idx val="134"/>
            <c:spPr>
              <a:solidFill>
                <a:srgbClr val="17767D"/>
              </a:solidFill>
            </c:spPr>
          </c:dPt>
          <c:dPt>
            <c:idx val="135"/>
            <c:spPr>
              <a:solidFill>
                <a:srgbClr val="72E6C2"/>
              </a:solidFill>
            </c:spPr>
          </c:dPt>
          <c:dPt>
            <c:idx val="136"/>
            <c:spPr>
              <a:solidFill>
                <a:srgbClr val="FF378D"/>
              </a:solidFill>
            </c:spPr>
          </c:dPt>
          <c:dPt>
            <c:idx val="137"/>
            <c:spPr>
              <a:solidFill>
                <a:srgbClr val="0B733E"/>
              </a:solidFill>
            </c:spPr>
          </c:dPt>
          <c:dPt>
            <c:idx val="138"/>
            <c:spPr>
              <a:solidFill>
                <a:srgbClr val="5BCF40"/>
              </a:solidFill>
            </c:spPr>
          </c:dPt>
          <c:dPt>
            <c:idx val="139"/>
            <c:spPr>
              <a:solidFill>
                <a:srgbClr val="7F55A7"/>
              </a:solidFill>
            </c:spPr>
          </c:dPt>
          <c:dPt>
            <c:idx val="140"/>
            <c:spPr>
              <a:solidFill>
                <a:srgbClr val="178EC8"/>
              </a:solidFill>
            </c:spPr>
          </c:dPt>
          <c:dPt>
            <c:idx val="141"/>
            <c:spPr>
              <a:solidFill>
                <a:srgbClr val="AF04F6"/>
              </a:solidFill>
            </c:spPr>
          </c:dPt>
          <c:dPt>
            <c:idx val="142"/>
            <c:spPr>
              <a:solidFill>
                <a:srgbClr val="FF5EDA"/>
              </a:solidFill>
            </c:spPr>
          </c:dPt>
          <c:dPt>
            <c:idx val="143"/>
            <c:spPr>
              <a:solidFill>
                <a:srgbClr val="43864F"/>
              </a:solidFill>
            </c:spPr>
          </c:dPt>
          <c:dPt>
            <c:idx val="144"/>
            <c:spPr>
              <a:solidFill>
                <a:srgbClr val="93F343"/>
              </a:solidFill>
            </c:spPr>
          </c:dPt>
          <c:dPt>
            <c:idx val="145"/>
            <c:spPr>
              <a:solidFill>
                <a:srgbClr val="858DE3"/>
              </a:solidFill>
            </c:spPr>
          </c:dPt>
          <c:dPt>
            <c:idx val="146"/>
            <c:spPr>
              <a:solidFill>
                <a:srgbClr val="1A9F13"/>
              </a:solidFill>
            </c:spPr>
          </c:dPt>
          <c:dPt>
            <c:idx val="147"/>
            <c:spPr>
              <a:solidFill>
                <a:srgbClr val="EB1F29"/>
              </a:solidFill>
            </c:spPr>
          </c:dPt>
          <c:dPt>
            <c:idx val="148"/>
            <c:spPr>
              <a:solidFill>
                <a:srgbClr val="FF8F26"/>
              </a:solidFill>
            </c:spPr>
          </c:dPt>
          <c:dPt>
            <c:idx val="149"/>
            <c:spPr>
              <a:solidFill>
                <a:srgbClr val="7A9A60"/>
              </a:solidFill>
            </c:spPr>
          </c:dPt>
          <c:dPt>
            <c:idx val="150"/>
            <c:spPr>
              <a:solidFill>
                <a:srgbClr val="CC1947"/>
              </a:solidFill>
            </c:spPr>
          </c:dPt>
          <c:dPt>
            <c:idx val="151"/>
            <c:spPr>
              <a:solidFill>
                <a:srgbClr val="8DC720"/>
              </a:solidFill>
            </c:spPr>
          </c:dPt>
          <c:dPt>
            <c:idx val="152"/>
            <c:spPr>
              <a:solidFill>
                <a:srgbClr val="1BB75F"/>
              </a:solidFill>
            </c:spPr>
          </c:dPt>
          <c:dPt>
            <c:idx val="153"/>
            <c:spPr>
              <a:solidFill>
                <a:srgbClr val="27355D"/>
              </a:solidFill>
            </c:spPr>
          </c:dPt>
          <c:dPt>
            <c:idx val="154"/>
            <c:spPr>
              <a:solidFill>
                <a:srgbClr val="FFB772"/>
              </a:solidFill>
            </c:spPr>
          </c:dPt>
          <c:dPt>
            <c:idx val="155"/>
            <c:spPr>
              <a:solidFill>
                <a:srgbClr val="B2AE72"/>
              </a:solidFill>
            </c:spPr>
          </c:dPt>
          <c:dPt>
            <c:idx val="156"/>
            <c:spPr>
              <a:solidFill>
                <a:srgbClr val="043D4A"/>
              </a:solidFill>
            </c:spPr>
          </c:dPt>
          <c:dPt>
            <c:idx val="157"/>
            <c:spPr>
              <a:solidFill>
                <a:srgbClr val="8FFF5D"/>
              </a:solidFill>
            </c:spPr>
          </c:dPt>
          <c:dPt>
            <c:idx val="158"/>
            <c:spPr>
              <a:solidFill>
                <a:srgbClr val="1AC7AA"/>
              </a:solidFill>
            </c:spPr>
          </c:dPt>
          <c:dPt>
            <c:idx val="159"/>
            <c:spPr>
              <a:solidFill>
                <a:srgbClr val="634F91"/>
              </a:solidFill>
            </c:spPr>
          </c:dPt>
          <c:dPt>
            <c:idx val="160"/>
            <c:spPr>
              <a:solidFill>
                <a:srgbClr val="FFE7BE"/>
              </a:solidFill>
            </c:spPr>
          </c:dPt>
          <c:dPt>
            <c:idx val="161"/>
            <c:spPr>
              <a:solidFill>
                <a:srgbClr val="EBC283"/>
              </a:solidFill>
            </c:spPr>
          </c:dPt>
          <c:dPt>
            <c:idx val="162"/>
            <c:spPr>
              <a:solidFill>
                <a:srgbClr val="3D614D"/>
              </a:solidFill>
            </c:spPr>
          </c:dPt>
          <c:dPt>
            <c:idx val="163"/>
            <c:spPr>
              <a:solidFill>
                <a:srgbClr val="963699"/>
              </a:solidFill>
            </c:spPr>
          </c:dPt>
          <c:dPt>
            <c:idx val="164"/>
            <c:spPr>
              <a:solidFill>
                <a:srgbClr val="1BDFF5"/>
              </a:solidFill>
            </c:spPr>
          </c:dPt>
          <c:dPt>
            <c:idx val="165"/>
            <c:spPr>
              <a:solidFill>
                <a:srgbClr val="A36DC4"/>
              </a:solidFill>
            </c:spPr>
          </c:dPt>
          <c:dPt>
            <c:idx val="166"/>
            <c:spPr>
              <a:solidFill>
                <a:srgbClr val="FF0C0A"/>
              </a:solidFill>
            </c:spPr>
          </c:dPt>
          <c:dPt>
            <c:idx val="167"/>
            <c:spPr>
              <a:solidFill>
                <a:srgbClr val="23D694"/>
              </a:solidFill>
            </c:spPr>
          </c:dPt>
          <c:dPt>
            <c:idx val="168"/>
            <c:spPr>
              <a:solidFill>
                <a:srgbClr val="768750"/>
              </a:solidFill>
            </c:spPr>
          </c:dPt>
          <c:dPt>
            <c:idx val="169"/>
            <c:spPr>
              <a:solidFill>
                <a:srgbClr val="9E6ED6"/>
              </a:solidFill>
            </c:spPr>
          </c:dPt>
          <c:dPt>
            <c:idx val="170"/>
            <c:spPr>
              <a:solidFill>
                <a:srgbClr val="1FEF40"/>
              </a:solidFill>
            </c:spPr>
          </c:dPt>
          <c:dPt>
            <c:idx val="171"/>
            <c:spPr>
              <a:solidFill>
                <a:srgbClr val="DF87F8"/>
              </a:solidFill>
            </c:spPr>
          </c:dPt>
          <c:dPt>
            <c:idx val="172"/>
            <c:spPr>
              <a:solidFill>
                <a:srgbClr val="FF3F57"/>
              </a:solidFill>
            </c:spPr>
          </c:dPt>
          <c:dPt>
            <c:idx val="173"/>
            <c:spPr>
              <a:solidFill>
                <a:srgbClr val="5AE7A5"/>
              </a:solidFill>
            </c:spPr>
          </c:dPt>
          <c:dPt>
            <c:idx val="174"/>
            <c:spPr>
              <a:solidFill>
                <a:srgbClr val="AEAB54"/>
              </a:solidFill>
            </c:spPr>
          </c:dPt>
          <c:dPt>
            <c:idx val="175"/>
            <c:spPr>
              <a:solidFill>
                <a:srgbClr val="A7A712"/>
              </a:solidFill>
            </c:spPr>
          </c:dPt>
          <c:dPt>
            <c:idx val="176"/>
            <c:spPr>
              <a:solidFill>
                <a:srgbClr val="1F0B8C"/>
              </a:solidFill>
            </c:spPr>
          </c:dPt>
          <c:dPt>
            <c:idx val="177"/>
            <c:spPr>
              <a:solidFill>
                <a:srgbClr val="1B9F2B"/>
              </a:solidFill>
            </c:spPr>
          </c:dPt>
          <c:dPt>
            <c:idx val="178"/>
            <c:spPr>
              <a:solidFill>
                <a:srgbClr val="FF6BA3"/>
              </a:solidFill>
            </c:spPr>
          </c:dPt>
          <c:dPt>
            <c:idx val="179"/>
            <c:spPr>
              <a:solidFill>
                <a:srgbClr val="92FBB6"/>
              </a:solidFill>
            </c:spPr>
          </c:dPt>
          <c:dPt>
            <c:idx val="180"/>
            <c:spPr>
              <a:solidFill>
                <a:srgbClr val="E7CF57"/>
              </a:solidFill>
            </c:spPr>
          </c:dPt>
          <c:dPt>
            <c:idx val="181"/>
            <c:spPr>
              <a:solidFill>
                <a:srgbClr val="A7DF4F"/>
              </a:solidFill>
            </c:spPr>
          </c:dPt>
          <c:dPt>
            <c:idx val="182"/>
            <c:spPr>
              <a:solidFill>
                <a:srgbClr val="1F1FD7"/>
              </a:solidFill>
            </c:spPr>
          </c:dPt>
          <c:dPt>
            <c:idx val="183"/>
            <c:spPr>
              <a:solidFill>
                <a:srgbClr val="57B75F"/>
              </a:solidFill>
            </c:spPr>
          </c:dPt>
          <c:dPt>
            <c:idx val="184"/>
            <c:spPr>
              <a:solidFill>
                <a:srgbClr val="FF8FEF"/>
              </a:solidFill>
            </c:spPr>
          </c:dPt>
          <c:dPt>
            <c:idx val="185"/>
            <c:spPr>
              <a:solidFill>
                <a:srgbClr val="C70FC7"/>
              </a:solidFill>
            </c:spPr>
          </c:dPt>
          <c:dPt>
            <c:idx val="186"/>
            <c:spPr>
              <a:solidFill>
                <a:srgbClr val="24F55A"/>
              </a:solidFill>
            </c:spPr>
          </c:dPt>
          <c:dPt>
            <c:idx val="187"/>
            <c:spPr>
              <a:solidFill>
                <a:srgbClr val="AF178C"/>
              </a:solidFill>
            </c:spPr>
          </c:dPt>
          <c:dPt>
            <c:idx val="188"/>
            <c:spPr>
              <a:solidFill>
                <a:srgbClr val="232B22"/>
              </a:solidFill>
            </c:spPr>
          </c:dPt>
          <c:dPt>
            <c:idx val="189"/>
            <c:spPr>
              <a:solidFill>
                <a:srgbClr val="97D793"/>
              </a:solidFill>
            </c:spPr>
          </c:dPt>
          <c:dPt>
            <c:idx val="190"/>
            <c:spPr>
              <a:solidFill>
                <a:srgbClr val="FFBB3B"/>
              </a:solidFill>
            </c:spPr>
          </c:dPt>
          <c:dPt>
            <c:idx val="191"/>
            <c:spPr>
              <a:solidFill>
                <a:srgbClr val="FF23D8"/>
              </a:solidFill>
            </c:spPr>
          </c:dPt>
          <c:dPt>
            <c:idx val="192"/>
            <c:spPr>
              <a:solidFill>
                <a:srgbClr val="5D195E"/>
              </a:solidFill>
            </c:spPr>
          </c:dPt>
          <c:dPt>
            <c:idx val="193"/>
            <c:spPr>
              <a:solidFill>
                <a:srgbClr val="B757C8"/>
              </a:solidFill>
            </c:spPr>
          </c:dPt>
          <c:dPt>
            <c:idx val="194"/>
            <c:spPr>
              <a:solidFill>
                <a:srgbClr val="233F6E"/>
              </a:solidFill>
            </c:spPr>
          </c:dPt>
          <c:dPt>
            <c:idx val="195"/>
            <c:spPr>
              <a:solidFill>
                <a:srgbClr val="D3EFC6"/>
              </a:solidFill>
            </c:spPr>
          </c:dPt>
          <c:dPt>
            <c:idx val="196"/>
            <c:spPr>
              <a:solidFill>
                <a:srgbClr val="FFEF87"/>
              </a:solidFill>
            </c:spPr>
          </c:dPt>
          <c:dPt>
            <c:idx val="197"/>
            <c:spPr>
              <a:solidFill>
                <a:srgbClr val="3737E9"/>
              </a:solidFill>
            </c:spPr>
          </c:dPt>
          <c:dPt>
            <c:idx val="198"/>
            <c:spPr>
              <a:solidFill>
                <a:srgbClr val="953D61"/>
              </a:solidFill>
            </c:spPr>
          </c:dPt>
          <c:dPt>
            <c:idx val="199"/>
            <c:spPr>
              <a:solidFill>
                <a:srgbClr val="BF8805"/>
              </a:solidFill>
            </c:spPr>
          </c:dPt>
          <c:dPt>
            <c:idx val="200"/>
            <c:spPr>
              <a:solidFill>
                <a:srgbClr val="235BB9"/>
              </a:solidFill>
            </c:spPr>
          </c:dPt>
          <c:dPt>
            <c:idx val="201"/>
            <c:spPr>
              <a:solidFill>
                <a:srgbClr val="0E07FA"/>
              </a:solidFill>
            </c:spPr>
          </c:dPt>
          <c:dPt>
            <c:idx val="202"/>
            <c:spPr>
              <a:solidFill>
                <a:srgbClr val="FF1BD4"/>
              </a:solidFill>
            </c:spPr>
          </c:dPt>
          <c:dPt>
            <c:idx val="203"/>
            <c:spPr>
              <a:solidFill>
                <a:srgbClr val="6F4AF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World!$A$7:$A$210</c:f>
            </c:strRef>
          </c:cat>
          <c:val>
            <c:numRef>
              <c:f>World!$B$7:$B$210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Overall deaths by country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Pt>
            <c:idx val="109"/>
            <c:spPr>
              <a:solidFill>
                <a:srgbClr val="5F3E78"/>
              </a:solidFill>
            </c:spPr>
          </c:dPt>
          <c:dPt>
            <c:idx val="110"/>
            <c:spPr>
              <a:solidFill>
                <a:srgbClr val="13274F"/>
              </a:solidFill>
            </c:spPr>
          </c:dPt>
          <c:dPt>
            <c:idx val="111"/>
            <c:spPr>
              <a:solidFill>
                <a:srgbClr val="7E7FF4"/>
              </a:solidFill>
            </c:spPr>
          </c:dPt>
          <c:dPt>
            <c:idx val="112"/>
            <c:spPr>
              <a:solidFill>
                <a:srgbClr val="FF855D"/>
              </a:solidFill>
            </c:spPr>
          </c:dPt>
          <c:dPt>
            <c:idx val="113"/>
            <c:spPr>
              <a:solidFill>
                <a:srgbClr val="2F21FA"/>
              </a:solidFill>
            </c:spPr>
          </c:dPt>
          <c:dPt>
            <c:idx val="114"/>
            <c:spPr>
              <a:solidFill>
                <a:srgbClr val="773D33"/>
              </a:solidFill>
            </c:spPr>
          </c:dPt>
          <c:dPt>
            <c:idx val="115"/>
            <c:spPr>
              <a:solidFill>
                <a:srgbClr val="6677B4"/>
              </a:solidFill>
            </c:spPr>
          </c:dPt>
          <c:dPt>
            <c:idx val="116"/>
            <c:spPr>
              <a:solidFill>
                <a:srgbClr val="123F9B"/>
              </a:solidFill>
            </c:spPr>
          </c:dPt>
          <c:dPt>
            <c:idx val="117"/>
            <c:spPr>
              <a:solidFill>
                <a:srgbClr val="BB9C27"/>
              </a:solidFill>
            </c:spPr>
          </c:dPt>
          <c:dPt>
            <c:idx val="118"/>
            <c:spPr>
              <a:solidFill>
                <a:srgbClr val="FFADA9"/>
              </a:solidFill>
            </c:spPr>
          </c:dPt>
          <c:dPt>
            <c:idx val="119"/>
            <c:spPr>
              <a:solidFill>
                <a:srgbClr val="67370B"/>
              </a:solidFill>
            </c:spPr>
          </c:dPt>
          <c:dPt>
            <c:idx val="120"/>
            <c:spPr>
              <a:solidFill>
                <a:srgbClr val="B36136"/>
              </a:solidFill>
            </c:spPr>
          </c:dPt>
          <c:dPt>
            <c:idx val="121"/>
            <c:spPr>
              <a:solidFill>
                <a:srgbClr val="6CAFF1"/>
              </a:solidFill>
            </c:spPr>
          </c:dPt>
          <c:dPt>
            <c:idx val="122"/>
            <c:spPr>
              <a:solidFill>
                <a:srgbClr val="134FE6"/>
              </a:solidFill>
            </c:spPr>
          </c:dPt>
          <c:dPt>
            <c:idx val="123"/>
            <c:spPr>
              <a:solidFill>
                <a:srgbClr val="F6B65B"/>
              </a:solidFill>
            </c:spPr>
          </c:dPt>
          <c:dPt>
            <c:idx val="124"/>
            <c:spPr>
              <a:solidFill>
                <a:srgbClr val="FFDDF5"/>
              </a:solidFill>
            </c:spPr>
          </c:dPt>
          <c:dPt>
            <c:idx val="125"/>
            <c:spPr>
              <a:solidFill>
                <a:srgbClr val="9E4B1C"/>
              </a:solidFill>
            </c:spPr>
          </c:dPt>
          <c:dPt>
            <c:idx val="126"/>
            <c:spPr>
              <a:solidFill>
                <a:srgbClr val="EB8739"/>
              </a:solidFill>
            </c:spPr>
          </c:dPt>
          <c:dPt>
            <c:idx val="127"/>
            <c:spPr>
              <a:solidFill>
                <a:srgbClr val="6EE72E"/>
              </a:solidFill>
            </c:spPr>
          </c:dPt>
          <c:dPt>
            <c:idx val="128"/>
            <c:spPr>
              <a:solidFill>
                <a:srgbClr val="166631"/>
              </a:solidFill>
            </c:spPr>
          </c:dPt>
          <c:dPt>
            <c:idx val="129"/>
            <c:spPr>
              <a:solidFill>
                <a:srgbClr val="33CC8F"/>
              </a:solidFill>
            </c:spPr>
          </c:dPt>
          <c:dPt>
            <c:idx val="130"/>
            <c:spPr>
              <a:solidFill>
                <a:srgbClr val="FF0741"/>
              </a:solidFill>
            </c:spPr>
          </c:dPt>
          <c:dPt>
            <c:idx val="131"/>
            <c:spPr>
              <a:solidFill>
                <a:srgbClr val="D65F2D"/>
              </a:solidFill>
            </c:spPr>
          </c:dPt>
          <c:dPt>
            <c:idx val="132"/>
            <c:spPr>
              <a:solidFill>
                <a:srgbClr val="23AB3D"/>
              </a:solidFill>
            </c:spPr>
          </c:dPt>
          <c:dPt>
            <c:idx val="133"/>
            <c:spPr>
              <a:solidFill>
                <a:srgbClr val="751D6A"/>
              </a:solidFill>
            </c:spPr>
          </c:dPt>
          <c:dPt>
            <c:idx val="134"/>
            <c:spPr>
              <a:solidFill>
                <a:srgbClr val="17767D"/>
              </a:solidFill>
            </c:spPr>
          </c:dPt>
          <c:dPt>
            <c:idx val="135"/>
            <c:spPr>
              <a:solidFill>
                <a:srgbClr val="72E6C2"/>
              </a:solidFill>
            </c:spPr>
          </c:dPt>
          <c:dPt>
            <c:idx val="136"/>
            <c:spPr>
              <a:solidFill>
                <a:srgbClr val="FF378D"/>
              </a:solidFill>
            </c:spPr>
          </c:dPt>
          <c:dPt>
            <c:idx val="137"/>
            <c:spPr>
              <a:solidFill>
                <a:srgbClr val="0B733E"/>
              </a:solidFill>
            </c:spPr>
          </c:dPt>
          <c:dPt>
            <c:idx val="138"/>
            <c:spPr>
              <a:solidFill>
                <a:srgbClr val="5BCF40"/>
              </a:solidFill>
            </c:spPr>
          </c:dPt>
          <c:dPt>
            <c:idx val="139"/>
            <c:spPr>
              <a:solidFill>
                <a:srgbClr val="7F55A7"/>
              </a:solidFill>
            </c:spPr>
          </c:dPt>
          <c:dPt>
            <c:idx val="140"/>
            <c:spPr>
              <a:solidFill>
                <a:srgbClr val="178EC8"/>
              </a:solidFill>
            </c:spPr>
          </c:dPt>
          <c:dPt>
            <c:idx val="141"/>
            <c:spPr>
              <a:solidFill>
                <a:srgbClr val="AF04F6"/>
              </a:solidFill>
            </c:spPr>
          </c:dPt>
          <c:dPt>
            <c:idx val="142"/>
            <c:spPr>
              <a:solidFill>
                <a:srgbClr val="FF5EDA"/>
              </a:solidFill>
            </c:spPr>
          </c:dPt>
          <c:dPt>
            <c:idx val="143"/>
            <c:spPr>
              <a:solidFill>
                <a:srgbClr val="43864F"/>
              </a:solidFill>
            </c:spPr>
          </c:dPt>
          <c:dPt>
            <c:idx val="144"/>
            <c:spPr>
              <a:solidFill>
                <a:srgbClr val="93F343"/>
              </a:solidFill>
            </c:spPr>
          </c:dPt>
          <c:dPt>
            <c:idx val="145"/>
            <c:spPr>
              <a:solidFill>
                <a:srgbClr val="858DE3"/>
              </a:solidFill>
            </c:spPr>
          </c:dPt>
          <c:dPt>
            <c:idx val="146"/>
            <c:spPr>
              <a:solidFill>
                <a:srgbClr val="1A9F13"/>
              </a:solidFill>
            </c:spPr>
          </c:dPt>
          <c:dPt>
            <c:idx val="147"/>
            <c:spPr>
              <a:solidFill>
                <a:srgbClr val="EB1F29"/>
              </a:solidFill>
            </c:spPr>
          </c:dPt>
          <c:dPt>
            <c:idx val="148"/>
            <c:spPr>
              <a:solidFill>
                <a:srgbClr val="FF8F26"/>
              </a:solidFill>
            </c:spPr>
          </c:dPt>
          <c:dPt>
            <c:idx val="149"/>
            <c:spPr>
              <a:solidFill>
                <a:srgbClr val="7A9A60"/>
              </a:solidFill>
            </c:spPr>
          </c:dPt>
          <c:dPt>
            <c:idx val="150"/>
            <c:spPr>
              <a:solidFill>
                <a:srgbClr val="CC1947"/>
              </a:solidFill>
            </c:spPr>
          </c:dPt>
          <c:dPt>
            <c:idx val="151"/>
            <c:spPr>
              <a:solidFill>
                <a:srgbClr val="8DC720"/>
              </a:solidFill>
            </c:spPr>
          </c:dPt>
          <c:dPt>
            <c:idx val="152"/>
            <c:spPr>
              <a:solidFill>
                <a:srgbClr val="1BB75F"/>
              </a:solidFill>
            </c:spPr>
          </c:dPt>
          <c:dPt>
            <c:idx val="153"/>
            <c:spPr>
              <a:solidFill>
                <a:srgbClr val="27355D"/>
              </a:solidFill>
            </c:spPr>
          </c:dPt>
          <c:dPt>
            <c:idx val="154"/>
            <c:spPr>
              <a:solidFill>
                <a:srgbClr val="FFB772"/>
              </a:solidFill>
            </c:spPr>
          </c:dPt>
          <c:dPt>
            <c:idx val="155"/>
            <c:spPr>
              <a:solidFill>
                <a:srgbClr val="B2AE72"/>
              </a:solidFill>
            </c:spPr>
          </c:dPt>
          <c:dPt>
            <c:idx val="156"/>
            <c:spPr>
              <a:solidFill>
                <a:srgbClr val="043D4A"/>
              </a:solidFill>
            </c:spPr>
          </c:dPt>
          <c:dPt>
            <c:idx val="157"/>
            <c:spPr>
              <a:solidFill>
                <a:srgbClr val="8FFF5D"/>
              </a:solidFill>
            </c:spPr>
          </c:dPt>
          <c:dPt>
            <c:idx val="158"/>
            <c:spPr>
              <a:solidFill>
                <a:srgbClr val="1AC7AA"/>
              </a:solidFill>
            </c:spPr>
          </c:dPt>
          <c:dPt>
            <c:idx val="159"/>
            <c:spPr>
              <a:solidFill>
                <a:srgbClr val="634F91"/>
              </a:solidFill>
            </c:spPr>
          </c:dPt>
          <c:dPt>
            <c:idx val="160"/>
            <c:spPr>
              <a:solidFill>
                <a:srgbClr val="FFE7BE"/>
              </a:solidFill>
            </c:spPr>
          </c:dPt>
          <c:dPt>
            <c:idx val="161"/>
            <c:spPr>
              <a:solidFill>
                <a:srgbClr val="EBC283"/>
              </a:solidFill>
            </c:spPr>
          </c:dPt>
          <c:dPt>
            <c:idx val="162"/>
            <c:spPr>
              <a:solidFill>
                <a:srgbClr val="3D614D"/>
              </a:solidFill>
            </c:spPr>
          </c:dPt>
          <c:dPt>
            <c:idx val="163"/>
            <c:spPr>
              <a:solidFill>
                <a:srgbClr val="963699"/>
              </a:solidFill>
            </c:spPr>
          </c:dPt>
          <c:dPt>
            <c:idx val="164"/>
            <c:spPr>
              <a:solidFill>
                <a:srgbClr val="1BDFF5"/>
              </a:solidFill>
            </c:spPr>
          </c:dPt>
          <c:dPt>
            <c:idx val="165"/>
            <c:spPr>
              <a:solidFill>
                <a:srgbClr val="A36DC4"/>
              </a:solidFill>
            </c:spPr>
          </c:dPt>
          <c:dPt>
            <c:idx val="166"/>
            <c:spPr>
              <a:solidFill>
                <a:srgbClr val="FF0C0A"/>
              </a:solidFill>
            </c:spPr>
          </c:dPt>
          <c:dPt>
            <c:idx val="167"/>
            <c:spPr>
              <a:solidFill>
                <a:srgbClr val="23D694"/>
              </a:solidFill>
            </c:spPr>
          </c:dPt>
          <c:dPt>
            <c:idx val="168"/>
            <c:spPr>
              <a:solidFill>
                <a:srgbClr val="768750"/>
              </a:solidFill>
            </c:spPr>
          </c:dPt>
          <c:dPt>
            <c:idx val="169"/>
            <c:spPr>
              <a:solidFill>
                <a:srgbClr val="9E6ED6"/>
              </a:solidFill>
            </c:spPr>
          </c:dPt>
          <c:dPt>
            <c:idx val="170"/>
            <c:spPr>
              <a:solidFill>
                <a:srgbClr val="1FEF40"/>
              </a:solidFill>
            </c:spPr>
          </c:dPt>
          <c:dPt>
            <c:idx val="171"/>
            <c:spPr>
              <a:solidFill>
                <a:srgbClr val="DF87F8"/>
              </a:solidFill>
            </c:spPr>
          </c:dPt>
          <c:dPt>
            <c:idx val="172"/>
            <c:spPr>
              <a:solidFill>
                <a:srgbClr val="FF3F57"/>
              </a:solidFill>
            </c:spPr>
          </c:dPt>
          <c:dPt>
            <c:idx val="173"/>
            <c:spPr>
              <a:solidFill>
                <a:srgbClr val="5AE7A5"/>
              </a:solidFill>
            </c:spPr>
          </c:dPt>
          <c:dPt>
            <c:idx val="174"/>
            <c:spPr>
              <a:solidFill>
                <a:srgbClr val="AEAB54"/>
              </a:solidFill>
            </c:spPr>
          </c:dPt>
          <c:dPt>
            <c:idx val="175"/>
            <c:spPr>
              <a:solidFill>
                <a:srgbClr val="A7A712"/>
              </a:solidFill>
            </c:spPr>
          </c:dPt>
          <c:dPt>
            <c:idx val="176"/>
            <c:spPr>
              <a:solidFill>
                <a:srgbClr val="1F0B8C"/>
              </a:solidFill>
            </c:spPr>
          </c:dPt>
          <c:dPt>
            <c:idx val="177"/>
            <c:spPr>
              <a:solidFill>
                <a:srgbClr val="1B9F2B"/>
              </a:solidFill>
            </c:spPr>
          </c:dPt>
          <c:dPt>
            <c:idx val="178"/>
            <c:spPr>
              <a:solidFill>
                <a:srgbClr val="FF6BA3"/>
              </a:solidFill>
            </c:spPr>
          </c:dPt>
          <c:dPt>
            <c:idx val="179"/>
            <c:spPr>
              <a:solidFill>
                <a:srgbClr val="92FBB6"/>
              </a:solidFill>
            </c:spPr>
          </c:dPt>
          <c:dPt>
            <c:idx val="180"/>
            <c:spPr>
              <a:solidFill>
                <a:srgbClr val="E7CF57"/>
              </a:solidFill>
            </c:spPr>
          </c:dPt>
          <c:dPt>
            <c:idx val="181"/>
            <c:spPr>
              <a:solidFill>
                <a:srgbClr val="A7DF4F"/>
              </a:solidFill>
            </c:spPr>
          </c:dPt>
          <c:dPt>
            <c:idx val="182"/>
            <c:spPr>
              <a:solidFill>
                <a:srgbClr val="1F1FD7"/>
              </a:solidFill>
            </c:spPr>
          </c:dPt>
          <c:dPt>
            <c:idx val="183"/>
            <c:spPr>
              <a:solidFill>
                <a:srgbClr val="57B75F"/>
              </a:solidFill>
            </c:spPr>
          </c:dPt>
          <c:dPt>
            <c:idx val="184"/>
            <c:spPr>
              <a:solidFill>
                <a:srgbClr val="FF8FEF"/>
              </a:solidFill>
            </c:spPr>
          </c:dPt>
          <c:dPt>
            <c:idx val="185"/>
            <c:spPr>
              <a:solidFill>
                <a:srgbClr val="C70FC7"/>
              </a:solidFill>
            </c:spPr>
          </c:dPt>
          <c:dPt>
            <c:idx val="186"/>
            <c:spPr>
              <a:solidFill>
                <a:srgbClr val="24F55A"/>
              </a:solidFill>
            </c:spPr>
          </c:dPt>
          <c:dPt>
            <c:idx val="187"/>
            <c:spPr>
              <a:solidFill>
                <a:srgbClr val="AF178C"/>
              </a:solidFill>
            </c:spPr>
          </c:dPt>
          <c:dPt>
            <c:idx val="188"/>
            <c:spPr>
              <a:solidFill>
                <a:srgbClr val="232B22"/>
              </a:solidFill>
            </c:spPr>
          </c:dPt>
          <c:dPt>
            <c:idx val="189"/>
            <c:spPr>
              <a:solidFill>
                <a:srgbClr val="97D793"/>
              </a:solidFill>
            </c:spPr>
          </c:dPt>
          <c:dPt>
            <c:idx val="190"/>
            <c:spPr>
              <a:solidFill>
                <a:srgbClr val="FFBB3B"/>
              </a:solidFill>
            </c:spPr>
          </c:dPt>
          <c:dPt>
            <c:idx val="191"/>
            <c:spPr>
              <a:solidFill>
                <a:srgbClr val="FF23D8"/>
              </a:solidFill>
            </c:spPr>
          </c:dPt>
          <c:dPt>
            <c:idx val="192"/>
            <c:spPr>
              <a:solidFill>
                <a:srgbClr val="5D195E"/>
              </a:solidFill>
            </c:spPr>
          </c:dPt>
          <c:dPt>
            <c:idx val="193"/>
            <c:spPr>
              <a:solidFill>
                <a:srgbClr val="B757C8"/>
              </a:solidFill>
            </c:spPr>
          </c:dPt>
          <c:dPt>
            <c:idx val="194"/>
            <c:spPr>
              <a:solidFill>
                <a:srgbClr val="233F6E"/>
              </a:solidFill>
            </c:spPr>
          </c:dPt>
          <c:dPt>
            <c:idx val="195"/>
            <c:spPr>
              <a:solidFill>
                <a:srgbClr val="D3EFC6"/>
              </a:solidFill>
            </c:spPr>
          </c:dPt>
          <c:dPt>
            <c:idx val="196"/>
            <c:spPr>
              <a:solidFill>
                <a:srgbClr val="FFEF87"/>
              </a:solidFill>
            </c:spPr>
          </c:dPt>
          <c:dPt>
            <c:idx val="197"/>
            <c:spPr>
              <a:solidFill>
                <a:srgbClr val="3737E9"/>
              </a:solidFill>
            </c:spPr>
          </c:dPt>
          <c:dPt>
            <c:idx val="198"/>
            <c:spPr>
              <a:solidFill>
                <a:srgbClr val="953D61"/>
              </a:solidFill>
            </c:spPr>
          </c:dPt>
          <c:dPt>
            <c:idx val="199"/>
            <c:spPr>
              <a:solidFill>
                <a:srgbClr val="BF8805"/>
              </a:solidFill>
            </c:spPr>
          </c:dPt>
          <c:dPt>
            <c:idx val="200"/>
            <c:spPr>
              <a:solidFill>
                <a:srgbClr val="235BB9"/>
              </a:solidFill>
            </c:spPr>
          </c:dPt>
          <c:dPt>
            <c:idx val="201"/>
            <c:spPr>
              <a:solidFill>
                <a:srgbClr val="0E07FA"/>
              </a:solidFill>
            </c:spPr>
          </c:dPt>
          <c:dPt>
            <c:idx val="202"/>
            <c:spPr>
              <a:solidFill>
                <a:srgbClr val="FF1BD4"/>
              </a:solidFill>
            </c:spPr>
          </c:dPt>
          <c:dPt>
            <c:idx val="203"/>
            <c:spPr>
              <a:solidFill>
                <a:srgbClr val="6F4AFA"/>
              </a:solidFill>
            </c:spPr>
          </c:dPt>
          <c:dPt>
            <c:idx val="204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World!$A$7:$A$210</c:f>
            </c:strRef>
          </c:cat>
          <c:val>
            <c:numRef>
              <c:f>World!$D$7:$D$211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I213" displayName="Table_13" id="13">
  <tableColumns count="9">
    <tableColumn name="LOCATION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World-style" showColumnStripes="0" showFirstColumn="1" showLastColumn="1" showRowStripes="1"/>
</table>
</file>

<file path=xl/tables/table2.xml><?xml version="1.0" encoding="utf-8"?>
<table xmlns="http://schemas.openxmlformats.org/spreadsheetml/2006/main" ref="M6:M213" displayName="Table_14" id="14">
  <tableColumns count="1">
    <tableColumn name="Deaths" id="1"/>
  </tableColumns>
  <tableStyleInfo name="World-style 2" showColumnStripes="0" showFirstColumn="1" showLastColumn="1" showRowStripes="1"/>
</table>
</file>

<file path=xl/tables/table3.xml><?xml version="1.0" encoding="utf-8"?>
<table xmlns="http://schemas.openxmlformats.org/spreadsheetml/2006/main" ref="L6:L213" displayName="Table_15" id="15">
  <tableColumns count="1">
    <tableColumn name="Cases" id="1"/>
  </tableColumns>
  <tableStyleInfo name="World-style 3" showColumnStripes="0" showFirstColumn="1" showLastColumn="1" showRowStripes="1"/>
</table>
</file>

<file path=xl/tables/table4.xml><?xml version="1.0" encoding="utf-8"?>
<table xmlns="http://schemas.openxmlformats.org/spreadsheetml/2006/main" ref="A5:I70" displayName="Table_5" id="5">
  <tableColumns count="9">
    <tableColumn name="UNITED STATES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USA-style" showColumnStripes="0" showFirstColumn="1" showLastColumn="1" showRowStripes="1"/>
</table>
</file>

<file path=xl/tables/table5.xml><?xml version="1.0" encoding="utf-8"?>
<table xmlns="http://schemas.openxmlformats.org/spreadsheetml/2006/main" headerRowCount="0" ref="M5:N6" displayName="Table_6" id="6">
  <tableColumns count="2">
    <tableColumn name="Column1" id="1"/>
    <tableColumn name="Column2" id="2"/>
  </tableColumns>
  <tableStyleInfo name="USA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L5:L6" displayName="Table_7" id="7">
  <tableColumns count="1">
    <tableColumn name="Cases" id="1"/>
  </tableColumns>
  <tableStyleInfo name="USA-style 3" showColumnStripes="0" showFirstColumn="1" showLastColumn="1" showRowStripes="1"/>
</table>
</file>

<file path=xl/tables/table7.xml><?xml version="1.0" encoding="utf-8"?>
<table xmlns="http://schemas.openxmlformats.org/spreadsheetml/2006/main" ref="A5:I18" displayName="Table_1" id="1">
  <tableColumns count="9">
    <tableColumn name="AUSTRALIA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Australia-style" showColumnStripes="0" showFirstColumn="1" showLastColumn="1" showRowStripes="1"/>
</table>
</file>

<file path=xl/tables/table8.xml><?xml version="1.0" encoding="utf-8"?>
<table xmlns="http://schemas.openxmlformats.org/spreadsheetml/2006/main" ref="L5:M18" displayName="Table_2" id="2">
  <tableColumns count="2">
    <tableColumn name="Cases" id="1"/>
    <tableColumn name="Deaths" id="2"/>
  </tableColumns>
  <tableStyleInfo name="Australia-style 2" showColumnStripes="0" showFirstColumn="1" showLastColumn="1" showRowStripes="1"/>
</table>
</file>

<file path=xl/tables/table9.xml><?xml version="1.0" encoding="utf-8"?>
<table xmlns="http://schemas.openxmlformats.org/spreadsheetml/2006/main" ref="K5:L18" displayName="Table_3" id="3">
  <tableColumns count="2">
    <tableColumn name="Cases" id="1"/>
    <tableColumn name="Deaths" id="2"/>
  </tableColumns>
  <tableStyleInfo name="Cruise ships-style" showColumnStripes="0" showFirstColumn="1" showLastColumn="1" showRowStripes="1"/>
</table>
</file>

<file path=xl/tables/table10.xml><?xml version="1.0" encoding="utf-8"?>
<table xmlns="http://schemas.openxmlformats.org/spreadsheetml/2006/main" ref="A5:H18" displayName="Table_4" id="4">
  <tableColumns count="8">
    <tableColumn name="CRUISE SHIPS" id="1"/>
    <tableColumn name="Cases" id="2"/>
    <tableColumn name="Deaths" id="3"/>
    <tableColumn name="On board" id="4"/>
    <tableColumn name="Infection rate" id="5"/>
    <tableColumn name="Death rate" id="6"/>
    <tableColumn name="Recovered" id="7"/>
    <tableColumn name="Links" id="8"/>
  </tableColumns>
  <tableStyleInfo name="Cruise ships-style 2" showColumnStripes="0" showFirstColumn="1" showLastColumn="1" showRowStripes="1"/>
</table>
</file>

<file path=xl/tables/table11.xml><?xml version="1.0" encoding="utf-8"?>
<table xmlns="http://schemas.openxmlformats.org/spreadsheetml/2006/main" ref="L5:M20" displayName="Table_8" id="8">
  <tableColumns count="2">
    <tableColumn name="Cases" id="1"/>
    <tableColumn name="Deaths" id="2"/>
  </tableColumns>
  <tableStyleInfo name="Canada-style" showColumnStripes="0" showFirstColumn="1" showLastColumn="1" showRowStripes="1"/>
</table>
</file>

<file path=xl/tables/table12.xml><?xml version="1.0" encoding="utf-8"?>
<table xmlns="http://schemas.openxmlformats.org/spreadsheetml/2006/main" ref="A5:I20" displayName="Table_9" id="9">
  <tableColumns count="9">
    <tableColumn name="CANADA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Canada-style 2" showColumnStripes="0" showFirstColumn="1" showLastColumn="1" showRowStripes="1"/>
</table>
</file>

<file path=xl/tables/table13.xml><?xml version="1.0" encoding="utf-8"?>
<table xmlns="http://schemas.openxmlformats.org/spreadsheetml/2006/main" headerRowCount="0" ref="A5:G16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hin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F2:K3" displayName="Table_11" id="1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ot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ref="A5:E24" displayName="Table_12" id="12">
  <tableColumns count="5">
    <tableColumn name="Mundo Hispano" id="1"/>
    <tableColumn name="Casos" id="2"/>
    <tableColumn name="Muertes" id="3"/>
    <tableColumn name="Serios" id="4"/>
    <tableColumn name="Recuperados" id="5"/>
  </tableColumns>
  <tableStyleInfo name="América Lati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1.xml"/><Relationship Id="rId5" Type="http://schemas.openxmlformats.org/officeDocument/2006/relationships/table" Target="../tables/table1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2" max="2" width="13.0"/>
    <col customWidth="1" min="3" max="3" width="8.43"/>
    <col customWidth="1" min="4" max="4" width="9.0"/>
    <col customWidth="1" min="5" max="5" width="9.43"/>
    <col customWidth="1" min="6" max="6" width="8.71"/>
    <col customWidth="1" min="7" max="7" width="9.71"/>
    <col customWidth="1" min="8" max="8" width="11.57"/>
    <col customWidth="1" min="9" max="9" width="10.0"/>
    <col customWidth="1" min="10" max="10" width="0.71"/>
    <col customWidth="1" min="12" max="12" width="13.0"/>
    <col customWidth="1" min="13" max="13" width="9.0"/>
  </cols>
  <sheetData>
    <row r="1">
      <c r="A1" s="2" t="s">
        <v>0</v>
      </c>
      <c r="B1" s="4"/>
      <c r="C1" s="4"/>
      <c r="D1" s="4"/>
      <c r="E1" s="5"/>
      <c r="F1" s="5"/>
      <c r="G1" s="5"/>
      <c r="H1" s="8"/>
      <c r="I1" s="9"/>
      <c r="J1" s="6"/>
      <c r="K1" s="10"/>
      <c r="L1" s="4"/>
      <c r="M1" s="4"/>
      <c r="N1" s="3"/>
      <c r="O1" s="3"/>
      <c r="P1" s="3"/>
    </row>
    <row r="2">
      <c r="A2" s="4"/>
      <c r="B2" s="4"/>
      <c r="C2" s="4"/>
      <c r="D2" s="4"/>
      <c r="E2" s="5"/>
      <c r="F2" s="5"/>
      <c r="G2" s="5"/>
      <c r="H2" s="8"/>
      <c r="I2" s="9"/>
      <c r="J2" s="6"/>
      <c r="K2" s="11"/>
      <c r="L2" s="4"/>
      <c r="M2" s="4"/>
      <c r="N2" s="3"/>
      <c r="O2" s="3"/>
      <c r="P2" s="3"/>
    </row>
    <row r="3">
      <c r="A3" s="4" t="s">
        <v>1</v>
      </c>
      <c r="B3" s="12" t="s">
        <v>2</v>
      </c>
      <c r="C3" s="5" t="s">
        <v>3</v>
      </c>
      <c r="E3" s="7" t="s">
        <v>4</v>
      </c>
      <c r="H3" s="8"/>
      <c r="I3" s="9"/>
      <c r="J3" s="6"/>
      <c r="K3" s="11"/>
      <c r="L3" s="12" t="s">
        <v>2</v>
      </c>
      <c r="N3" s="3"/>
      <c r="O3" s="3"/>
      <c r="P3" s="3"/>
    </row>
    <row r="4">
      <c r="A4" s="13">
        <f>SUM(B212, B213)</f>
        <v>1703214</v>
      </c>
      <c r="B4" s="14">
        <f>SUM(D212, D213)</f>
        <v>102976</v>
      </c>
      <c r="C4" s="15">
        <f>SUM(H212, H213)</f>
        <v>382341</v>
      </c>
      <c r="E4" s="17">
        <f>MINUS(A4,B4 + C4)</f>
        <v>1217897</v>
      </c>
      <c r="G4" s="5"/>
      <c r="H4" s="8"/>
      <c r="I4" s="9"/>
      <c r="J4" s="6"/>
      <c r="K4" s="11"/>
      <c r="L4" s="18">
        <f>SUM(N212, N213)</f>
        <v>0</v>
      </c>
      <c r="N4" s="20"/>
      <c r="O4" s="3"/>
      <c r="P4" s="3"/>
    </row>
    <row r="5">
      <c r="A5" s="19"/>
      <c r="B5" s="9"/>
      <c r="C5" s="9"/>
      <c r="D5" s="9"/>
      <c r="E5" s="8"/>
      <c r="F5" s="8"/>
      <c r="G5" s="8"/>
      <c r="H5" s="8"/>
      <c r="I5" s="9"/>
      <c r="J5" s="6"/>
      <c r="K5" s="11"/>
      <c r="L5" s="9"/>
      <c r="M5" s="9"/>
      <c r="N5" s="3"/>
      <c r="O5" s="3"/>
      <c r="P5" s="3"/>
    </row>
    <row r="6" ht="30.0" customHeight="1">
      <c r="A6" s="22" t="s">
        <v>6</v>
      </c>
      <c r="B6" s="24" t="s">
        <v>8</v>
      </c>
      <c r="C6" s="25" t="s">
        <v>9</v>
      </c>
      <c r="D6" s="24" t="s">
        <v>10</v>
      </c>
      <c r="E6" s="26" t="s">
        <v>11</v>
      </c>
      <c r="F6" s="26" t="s">
        <v>12</v>
      </c>
      <c r="G6" s="26" t="s">
        <v>13</v>
      </c>
      <c r="H6" s="28" t="s">
        <v>14</v>
      </c>
      <c r="I6" s="24" t="s">
        <v>15</v>
      </c>
      <c r="J6" s="29"/>
      <c r="K6" s="33"/>
      <c r="L6" s="24" t="s">
        <v>8</v>
      </c>
      <c r="M6" s="24" t="s">
        <v>10</v>
      </c>
      <c r="N6" s="31"/>
      <c r="O6" s="35"/>
      <c r="P6" s="31"/>
    </row>
    <row r="7" ht="30.0" customHeight="1">
      <c r="A7" s="37" t="s">
        <v>18</v>
      </c>
      <c r="B7" s="39">
        <f>USA!A3</f>
        <v>502396</v>
      </c>
      <c r="C7" s="41">
        <f t="shared" ref="C7:C198" si="1">MINUS(B7,L7)</f>
        <v>0</v>
      </c>
      <c r="D7" s="39">
        <f>USA!B3</f>
        <v>18703</v>
      </c>
      <c r="E7" s="46">
        <f t="shared" ref="E7:E211" si="2">MINUS(D7, M7)</f>
        <v>0</v>
      </c>
      <c r="F7" s="42">
        <f t="shared" ref="F7:F210" si="3">DIVIDE(D7, B7)</f>
        <v>0.03722760532</v>
      </c>
      <c r="G7" s="49">
        <f>USA!G68</f>
        <v>6819</v>
      </c>
      <c r="H7" s="49">
        <f>USA!C3</f>
        <v>28511</v>
      </c>
      <c r="I7" s="52" t="str">
        <f>HYPERLINK("https://bnonews.com/index.php/2019/12/tracking-coronavirus-u-s-data/","Source")</f>
        <v>Source</v>
      </c>
      <c r="J7" s="53"/>
      <c r="K7" s="55"/>
      <c r="L7" s="39">
        <v>502396.0</v>
      </c>
      <c r="M7" s="57">
        <v>18703.0</v>
      </c>
      <c r="N7" s="31"/>
      <c r="O7" s="31"/>
      <c r="P7" s="31"/>
    </row>
    <row r="8" ht="30.0" customHeight="1">
      <c r="A8" s="37" t="s">
        <v>21</v>
      </c>
      <c r="B8" s="39">
        <v>158273.0</v>
      </c>
      <c r="C8" s="41">
        <f t="shared" si="1"/>
        <v>0</v>
      </c>
      <c r="D8" s="64">
        <v>16081.0</v>
      </c>
      <c r="E8" s="46">
        <f t="shared" si="2"/>
        <v>0</v>
      </c>
      <c r="F8" s="59">
        <f t="shared" si="3"/>
        <v>0.1016029266</v>
      </c>
      <c r="G8" s="49">
        <v>7482.0</v>
      </c>
      <c r="H8" s="49">
        <v>55668.0</v>
      </c>
      <c r="I8" s="52" t="str">
        <f>HYPERLINK("https://covid19.isciii.es/","Source")</f>
        <v>Source</v>
      </c>
      <c r="J8" s="67"/>
      <c r="K8" s="69"/>
      <c r="L8" s="39">
        <v>158273.0</v>
      </c>
      <c r="M8" s="64">
        <v>16081.0</v>
      </c>
      <c r="N8" s="31"/>
      <c r="O8" s="31"/>
      <c r="P8" s="31"/>
    </row>
    <row r="9" ht="30.0" customHeight="1">
      <c r="A9" s="37" t="s">
        <v>27</v>
      </c>
      <c r="B9" s="39">
        <v>147577.0</v>
      </c>
      <c r="C9" s="41">
        <f t="shared" si="1"/>
        <v>0</v>
      </c>
      <c r="D9" s="39">
        <v>18849.0</v>
      </c>
      <c r="E9" s="46">
        <f t="shared" si="2"/>
        <v>0</v>
      </c>
      <c r="F9" s="59">
        <f t="shared" si="3"/>
        <v>0.1277231547</v>
      </c>
      <c r="G9" s="49">
        <v>3605.0</v>
      </c>
      <c r="H9" s="49">
        <v>28470.0</v>
      </c>
      <c r="I9" s="52" t="str">
        <f>HYPERLINK("https://pbs.twimg.com/media/EVQUff8UUAE76Jr?format=jpg&amp;name=large","Source")</f>
        <v>Source</v>
      </c>
      <c r="J9" s="51"/>
      <c r="K9" s="69"/>
      <c r="L9" s="39">
        <v>147577.0</v>
      </c>
      <c r="M9" s="39">
        <v>18849.0</v>
      </c>
      <c r="N9" s="31"/>
      <c r="O9" s="31"/>
      <c r="P9" s="31"/>
    </row>
    <row r="10" ht="30.0" customHeight="1">
      <c r="A10" s="37" t="s">
        <v>30</v>
      </c>
      <c r="B10" s="39">
        <v>124869.0</v>
      </c>
      <c r="C10" s="41">
        <f t="shared" si="1"/>
        <v>0</v>
      </c>
      <c r="D10" s="39">
        <v>13197.0</v>
      </c>
      <c r="E10" s="46">
        <f t="shared" si="2"/>
        <v>0</v>
      </c>
      <c r="F10" s="59">
        <f t="shared" si="3"/>
        <v>0.1056867597</v>
      </c>
      <c r="G10" s="49">
        <v>7004.0</v>
      </c>
      <c r="H10" s="49">
        <v>24932.0</v>
      </c>
      <c r="I10" s="52" t="str">
        <f>HYPERLINK("https://www.santepubliquefrance.fr/maladies-et-traumatismes/maladies-et-infections-respiratoires/infection-a-coronavirus/articles/infection-au-nouveau-coronavirus-sars-cov-2-covid-19-france-et-monde","Source")</f>
        <v>Source</v>
      </c>
      <c r="J10" s="51"/>
      <c r="K10" s="72" t="s">
        <v>24</v>
      </c>
      <c r="L10" s="39">
        <v>124869.0</v>
      </c>
      <c r="M10" s="39">
        <v>13197.0</v>
      </c>
      <c r="N10" s="31"/>
      <c r="O10" s="31"/>
      <c r="P10" s="31"/>
    </row>
    <row r="11" ht="30.0" customHeight="1">
      <c r="A11" s="37" t="s">
        <v>34</v>
      </c>
      <c r="B11" s="64">
        <v>122780.0</v>
      </c>
      <c r="C11" s="41">
        <f t="shared" si="1"/>
        <v>306</v>
      </c>
      <c r="D11" s="39">
        <v>2736.0</v>
      </c>
      <c r="E11" s="46">
        <f t="shared" si="2"/>
        <v>6</v>
      </c>
      <c r="F11" s="42">
        <f t="shared" si="3"/>
        <v>0.02228375957</v>
      </c>
      <c r="G11" s="49">
        <v>2696.0</v>
      </c>
      <c r="H11" s="49">
        <v>61252.0</v>
      </c>
      <c r="I11" s="52" t="str">
        <f>HYPERLINK("https://dts-nachrichtenagentur.de/corona-fallzahlen","Source")</f>
        <v>Source</v>
      </c>
      <c r="J11" s="67"/>
      <c r="K11" s="69"/>
      <c r="L11" s="64">
        <v>122474.0</v>
      </c>
      <c r="M11" s="39">
        <v>2730.0</v>
      </c>
      <c r="N11" s="31"/>
      <c r="O11" s="31"/>
      <c r="P11" s="31"/>
    </row>
    <row r="12" ht="30.0" customHeight="1">
      <c r="A12" s="37" t="s">
        <v>36</v>
      </c>
      <c r="B12" s="39">
        <f>China!A3</f>
        <v>84028</v>
      </c>
      <c r="C12" s="41">
        <f t="shared" si="1"/>
        <v>66</v>
      </c>
      <c r="D12" s="39">
        <f>China!B3</f>
        <v>3339</v>
      </c>
      <c r="E12" s="46">
        <f t="shared" si="2"/>
        <v>3</v>
      </c>
      <c r="F12" s="42">
        <f t="shared" si="3"/>
        <v>0.03973675442</v>
      </c>
      <c r="G12" s="49">
        <f>China!D15</f>
        <v>141</v>
      </c>
      <c r="H12" s="49">
        <f>China!D3</f>
        <v>78000</v>
      </c>
      <c r="I12" s="52" t="str">
        <f>HYPERLINK("https://bnonews.com/index.php/2020/03/tracking-coronavirus-china-data/","Source")</f>
        <v>Source</v>
      </c>
      <c r="J12" s="29"/>
      <c r="K12" s="72" t="s">
        <v>24</v>
      </c>
      <c r="L12" s="39">
        <v>83962.0</v>
      </c>
      <c r="M12" s="39">
        <v>3336.0</v>
      </c>
      <c r="N12" s="31"/>
      <c r="O12" s="31"/>
      <c r="P12" s="31"/>
    </row>
    <row r="13" ht="30.0" customHeight="1">
      <c r="A13" s="37" t="s">
        <v>41</v>
      </c>
      <c r="B13" s="39">
        <v>73758.0</v>
      </c>
      <c r="C13" s="41">
        <f t="shared" si="1"/>
        <v>0</v>
      </c>
      <c r="D13" s="39">
        <v>8958.0</v>
      </c>
      <c r="E13" s="46">
        <f t="shared" si="2"/>
        <v>0</v>
      </c>
      <c r="F13" s="59">
        <f t="shared" si="3"/>
        <v>0.1214512324</v>
      </c>
      <c r="G13" s="73" t="s">
        <v>22</v>
      </c>
      <c r="H13" s="49">
        <v>1918.0</v>
      </c>
      <c r="I13" s="52" t="str">
        <f>HYPERLINK("https://twitter.com/DHSCgovuk/status/1248659493610758144","Source")</f>
        <v>Source</v>
      </c>
      <c r="J13" s="74"/>
      <c r="K13" s="69"/>
      <c r="L13" s="39">
        <v>73758.0</v>
      </c>
      <c r="M13" s="39">
        <v>8958.0</v>
      </c>
      <c r="N13" s="31"/>
      <c r="O13" s="31"/>
      <c r="P13" s="31"/>
    </row>
    <row r="14" ht="30.0" customHeight="1">
      <c r="A14" s="37" t="s">
        <v>44</v>
      </c>
      <c r="B14" s="39">
        <v>68192.0</v>
      </c>
      <c r="C14" s="41">
        <f t="shared" si="1"/>
        <v>0</v>
      </c>
      <c r="D14" s="39">
        <v>4232.0</v>
      </c>
      <c r="E14" s="46">
        <f t="shared" si="2"/>
        <v>0</v>
      </c>
      <c r="F14" s="42">
        <f t="shared" si="3"/>
        <v>0.0620600657</v>
      </c>
      <c r="G14" s="49">
        <v>3969.0</v>
      </c>
      <c r="H14" s="49">
        <v>35465.0</v>
      </c>
      <c r="I14" s="52" t="str">
        <f>HYPERLINK("https://twitter.com/AbasAslani/status/1248184152656052225","Source")</f>
        <v>Source</v>
      </c>
      <c r="J14" s="29"/>
      <c r="K14" s="72" t="s">
        <v>24</v>
      </c>
      <c r="L14" s="39">
        <v>68192.0</v>
      </c>
      <c r="M14" s="39">
        <v>4232.0</v>
      </c>
      <c r="N14" s="31"/>
      <c r="O14" s="31"/>
      <c r="P14" s="31"/>
    </row>
    <row r="15" ht="27.75" customHeight="1">
      <c r="A15" s="37" t="s">
        <v>47</v>
      </c>
      <c r="B15" s="39">
        <v>47029.0</v>
      </c>
      <c r="C15" s="41">
        <f t="shared" si="1"/>
        <v>0</v>
      </c>
      <c r="D15" s="39">
        <v>1006.0</v>
      </c>
      <c r="E15" s="46">
        <f t="shared" si="2"/>
        <v>0</v>
      </c>
      <c r="F15" s="59">
        <f t="shared" si="3"/>
        <v>0.02139105658</v>
      </c>
      <c r="G15" s="49">
        <v>1667.0</v>
      </c>
      <c r="H15" s="49">
        <v>2423.0</v>
      </c>
      <c r="I15" s="52" t="str">
        <f>HYPERLINK("https://covid19.saglik.gov.tr/","Source")</f>
        <v>Source</v>
      </c>
      <c r="J15" s="51"/>
      <c r="K15" s="72" t="s">
        <v>24</v>
      </c>
      <c r="L15" s="39">
        <v>47029.0</v>
      </c>
      <c r="M15" s="39">
        <v>1006.0</v>
      </c>
      <c r="N15" s="31"/>
      <c r="O15" s="31"/>
      <c r="P15" s="31"/>
    </row>
    <row r="16" ht="30.0" customHeight="1">
      <c r="A16" s="37" t="s">
        <v>51</v>
      </c>
      <c r="B16" s="39">
        <v>26667.0</v>
      </c>
      <c r="C16" s="41">
        <f t="shared" si="1"/>
        <v>0</v>
      </c>
      <c r="D16" s="39">
        <v>3019.0</v>
      </c>
      <c r="E16" s="46">
        <f t="shared" si="2"/>
        <v>0</v>
      </c>
      <c r="F16" s="42">
        <f t="shared" si="3"/>
        <v>0.1132110849</v>
      </c>
      <c r="G16" s="49">
        <v>1278.0</v>
      </c>
      <c r="H16" s="49">
        <v>5162.0</v>
      </c>
      <c r="I16" s="52" t="str">
        <f>HYPERLINK("https://www.youtube.com/watch?v=53GrjGw8MAE","Source")</f>
        <v>Source</v>
      </c>
      <c r="J16" s="29"/>
      <c r="K16" s="72" t="s">
        <v>24</v>
      </c>
      <c r="L16" s="39">
        <v>26667.0</v>
      </c>
      <c r="M16" s="39">
        <v>3019.0</v>
      </c>
      <c r="N16" s="31"/>
      <c r="O16" s="31"/>
      <c r="P16" s="31"/>
    </row>
    <row r="17" ht="30.0" customHeight="1">
      <c r="A17" s="37" t="s">
        <v>54</v>
      </c>
      <c r="B17" s="39">
        <v>24551.0</v>
      </c>
      <c r="C17" s="41">
        <f t="shared" si="1"/>
        <v>0</v>
      </c>
      <c r="D17" s="39">
        <v>1002.0</v>
      </c>
      <c r="E17" s="46">
        <f t="shared" si="2"/>
        <v>0</v>
      </c>
      <c r="F17" s="42">
        <f t="shared" si="3"/>
        <v>0.04081300151</v>
      </c>
      <c r="G17" s="73" t="s">
        <v>22</v>
      </c>
      <c r="H17" s="49">
        <v>11100.0</v>
      </c>
      <c r="I17" s="52" t="str">
        <f>HYPERLINK("https://rsalzer.github.io/COVID_19_CH/","Source")</f>
        <v>Source</v>
      </c>
      <c r="J17" s="67"/>
      <c r="K17" s="69"/>
      <c r="L17" s="39">
        <v>24551.0</v>
      </c>
      <c r="M17" s="39">
        <v>1002.0</v>
      </c>
      <c r="N17" s="31"/>
      <c r="O17" s="31"/>
      <c r="P17" s="31"/>
    </row>
    <row r="18" ht="30.0" customHeight="1">
      <c r="A18" s="37" t="s">
        <v>55</v>
      </c>
      <c r="B18" s="39">
        <v>23097.0</v>
      </c>
      <c r="C18" s="41">
        <f t="shared" si="1"/>
        <v>0</v>
      </c>
      <c r="D18" s="64">
        <v>2511.0</v>
      </c>
      <c r="E18" s="46">
        <f t="shared" si="2"/>
        <v>0</v>
      </c>
      <c r="F18" s="42">
        <f t="shared" si="3"/>
        <v>0.1087154176</v>
      </c>
      <c r="G18" s="49">
        <v>1172.0</v>
      </c>
      <c r="H18" s="49">
        <v>3459.0</v>
      </c>
      <c r="I18" s="52" t="str">
        <f>HYPERLINK("https://www.rivm.nl/nieuws/actuele-informatie-over-coronavirus","Source")</f>
        <v>Source</v>
      </c>
      <c r="J18" s="51"/>
      <c r="K18" s="72" t="s">
        <v>24</v>
      </c>
      <c r="L18" s="39">
        <v>23097.0</v>
      </c>
      <c r="M18" s="64">
        <v>2511.0</v>
      </c>
      <c r="N18" s="31"/>
      <c r="O18" s="31"/>
      <c r="P18" s="31"/>
    </row>
    <row r="19" ht="30.0" customHeight="1">
      <c r="A19" s="37" t="s">
        <v>57</v>
      </c>
      <c r="B19" s="39">
        <f>Canada!A3</f>
        <v>22148</v>
      </c>
      <c r="C19" s="41">
        <f t="shared" si="1"/>
        <v>0</v>
      </c>
      <c r="D19" s="39">
        <f>Canada!B3</f>
        <v>569</v>
      </c>
      <c r="E19" s="46">
        <f t="shared" si="2"/>
        <v>0</v>
      </c>
      <c r="F19" s="42">
        <f t="shared" si="3"/>
        <v>0.0256908073</v>
      </c>
      <c r="G19" s="49">
        <f>Canada!G20</f>
        <v>360</v>
      </c>
      <c r="H19" s="49">
        <f>Canada!C3</f>
        <v>6013</v>
      </c>
      <c r="I19" s="52" t="str">
        <f>HYPERLINK("https://bnonews.com/index.php/2019/12/tracking-coronavirus-canada-data/","Source")</f>
        <v>Source</v>
      </c>
      <c r="J19" s="29"/>
      <c r="K19" s="69"/>
      <c r="L19" s="57">
        <v>22148.0</v>
      </c>
      <c r="M19" s="57">
        <v>569.0</v>
      </c>
      <c r="N19" s="31"/>
      <c r="O19" s="31"/>
      <c r="P19" s="31"/>
    </row>
    <row r="20" ht="30.0" customHeight="1">
      <c r="A20" s="37" t="s">
        <v>61</v>
      </c>
      <c r="B20" s="39">
        <v>19943.0</v>
      </c>
      <c r="C20" s="41">
        <f t="shared" si="1"/>
        <v>21</v>
      </c>
      <c r="D20" s="39">
        <v>1086.0</v>
      </c>
      <c r="E20" s="46">
        <f t="shared" si="2"/>
        <v>0</v>
      </c>
      <c r="F20" s="42">
        <f t="shared" si="3"/>
        <v>0.05445519731</v>
      </c>
      <c r="G20" s="73" t="s">
        <v>22</v>
      </c>
      <c r="H20" s="73" t="s">
        <v>22</v>
      </c>
      <c r="I20" s="52" t="str">
        <f>HYPERLINK("https://g1.globo.com/bemestar/coronavirus/noticia/2020/04/10/casos-de-coronavirus-no-brasil-em-10-de-abril.ghtml","Source")</f>
        <v>Source</v>
      </c>
      <c r="J20" s="67"/>
      <c r="K20" s="69"/>
      <c r="L20" s="39">
        <v>19922.0</v>
      </c>
      <c r="M20" s="39">
        <v>1086.0</v>
      </c>
      <c r="N20" s="31"/>
      <c r="O20" s="31"/>
      <c r="P20" s="31"/>
    </row>
    <row r="21" ht="30.0" customHeight="1">
      <c r="A21" s="37" t="s">
        <v>63</v>
      </c>
      <c r="B21" s="39">
        <v>15472.0</v>
      </c>
      <c r="C21" s="41">
        <f t="shared" si="1"/>
        <v>0</v>
      </c>
      <c r="D21" s="57">
        <v>435.0</v>
      </c>
      <c r="E21" s="46">
        <f t="shared" si="2"/>
        <v>0</v>
      </c>
      <c r="F21" s="59">
        <f t="shared" si="3"/>
        <v>0.02811530507</v>
      </c>
      <c r="G21" s="73">
        <v>226.0</v>
      </c>
      <c r="H21" s="73">
        <v>233.0</v>
      </c>
      <c r="I21" s="52" t="str">
        <f>HYPERLINK("https://covid19.min-saude.pt/ponto-de-situacao-atual-em-portugal/","Source")</f>
        <v>Source</v>
      </c>
      <c r="J21" s="51"/>
      <c r="K21" s="72" t="s">
        <v>24</v>
      </c>
      <c r="L21" s="39">
        <v>15472.0</v>
      </c>
      <c r="M21" s="57">
        <v>435.0</v>
      </c>
      <c r="N21" s="31"/>
      <c r="O21" s="31"/>
      <c r="P21" s="31"/>
    </row>
    <row r="22" ht="30.0" customHeight="1">
      <c r="A22" s="37" t="s">
        <v>65</v>
      </c>
      <c r="B22" s="39">
        <v>13560.0</v>
      </c>
      <c r="C22" s="41">
        <f t="shared" si="1"/>
        <v>9</v>
      </c>
      <c r="D22" s="57">
        <v>319.0</v>
      </c>
      <c r="E22" s="46">
        <f t="shared" si="2"/>
        <v>0</v>
      </c>
      <c r="F22" s="59">
        <f t="shared" si="3"/>
        <v>0.02352507375</v>
      </c>
      <c r="G22" s="73">
        <v>261.0</v>
      </c>
      <c r="H22" s="49">
        <v>6064.0</v>
      </c>
      <c r="I22" s="52" t="str">
        <f>HYPERLINK("https://info.gesundheitsministerium.at/","Source")</f>
        <v>Source</v>
      </c>
      <c r="J22" s="67"/>
      <c r="K22" s="72" t="s">
        <v>67</v>
      </c>
      <c r="L22" s="39">
        <v>13551.0</v>
      </c>
      <c r="M22" s="57">
        <v>319.0</v>
      </c>
      <c r="N22" s="31"/>
      <c r="O22" s="31"/>
      <c r="P22" s="31"/>
    </row>
    <row r="23" ht="30.0" customHeight="1">
      <c r="A23" s="37" t="s">
        <v>68</v>
      </c>
      <c r="B23" s="39">
        <v>11917.0</v>
      </c>
      <c r="C23" s="41">
        <f t="shared" si="1"/>
        <v>0</v>
      </c>
      <c r="D23" s="57">
        <v>94.0</v>
      </c>
      <c r="E23" s="46">
        <f t="shared" si="2"/>
        <v>0</v>
      </c>
      <c r="F23" s="42">
        <f t="shared" si="3"/>
        <v>0.007887891248</v>
      </c>
      <c r="G23" s="73" t="s">
        <v>22</v>
      </c>
      <c r="H23" s="73">
        <v>795.0</v>
      </c>
      <c r="I23" s="52" t="str">
        <f>HYPERLINK("https://xn--80aesfpebagmfblc0a.xn--p1ai/#operational-data","Source")</f>
        <v>Source</v>
      </c>
      <c r="J23" s="51"/>
      <c r="K23" s="72" t="s">
        <v>24</v>
      </c>
      <c r="L23" s="39">
        <v>11917.0</v>
      </c>
      <c r="M23" s="57">
        <v>94.0</v>
      </c>
      <c r="N23" s="31"/>
      <c r="O23" s="31"/>
      <c r="P23" s="31"/>
    </row>
    <row r="24" ht="30.0" customHeight="1">
      <c r="A24" s="37" t="s">
        <v>70</v>
      </c>
      <c r="B24" s="39">
        <v>10480.0</v>
      </c>
      <c r="C24" s="41">
        <f t="shared" si="1"/>
        <v>30</v>
      </c>
      <c r="D24" s="57">
        <v>211.0</v>
      </c>
      <c r="E24" s="46">
        <f t="shared" si="2"/>
        <v>3</v>
      </c>
      <c r="F24" s="59">
        <f t="shared" si="3"/>
        <v>0.02013358779</v>
      </c>
      <c r="G24" s="73" t="s">
        <v>22</v>
      </c>
      <c r="H24" s="49">
        <v>7117.0</v>
      </c>
      <c r="I24" s="52" t="str">
        <f>HYPERLINK("http://ncov.mohw.go.kr/tcmBoardView.do?brdId=&amp;brdGubun=&amp;dataGubun=&amp;ncvContSeq=354028&amp;contSeq=354028&amp;board_id=&amp;gubun=ALL","Source")</f>
        <v>Source</v>
      </c>
      <c r="J24" s="29"/>
      <c r="K24" s="72" t="s">
        <v>24</v>
      </c>
      <c r="L24" s="39">
        <v>10450.0</v>
      </c>
      <c r="M24" s="57">
        <v>208.0</v>
      </c>
      <c r="N24" s="31"/>
      <c r="O24" s="31"/>
      <c r="P24" s="31"/>
    </row>
    <row r="25" ht="30.0" customHeight="1">
      <c r="A25" s="37" t="s">
        <v>72</v>
      </c>
      <c r="B25" s="39">
        <v>10408.0</v>
      </c>
      <c r="C25" s="41">
        <f t="shared" si="1"/>
        <v>0</v>
      </c>
      <c r="D25" s="57">
        <v>95.0</v>
      </c>
      <c r="E25" s="46">
        <f t="shared" si="2"/>
        <v>0</v>
      </c>
      <c r="F25" s="42">
        <f t="shared" si="3"/>
        <v>0.009127594158</v>
      </c>
      <c r="G25" s="73">
        <v>167.0</v>
      </c>
      <c r="H25" s="49">
        <v>1183.0</v>
      </c>
      <c r="I25" s="52" t="str">
        <f>HYPERLINK("https://www.ynetnews.com/article/Syi1NcaDL","Source")</f>
        <v>Source</v>
      </c>
      <c r="J25" s="67"/>
      <c r="K25" s="72" t="s">
        <v>74</v>
      </c>
      <c r="L25" s="39">
        <v>10408.0</v>
      </c>
      <c r="M25" s="57">
        <v>95.0</v>
      </c>
      <c r="N25" s="31"/>
      <c r="O25" s="31"/>
      <c r="P25" s="31"/>
    </row>
    <row r="26" ht="30.0" customHeight="1">
      <c r="A26" s="37" t="s">
        <v>75</v>
      </c>
      <c r="B26" s="39">
        <v>9685.0</v>
      </c>
      <c r="C26" s="41">
        <f t="shared" si="1"/>
        <v>0</v>
      </c>
      <c r="D26" s="57">
        <v>870.0</v>
      </c>
      <c r="E26" s="46">
        <f t="shared" si="2"/>
        <v>0</v>
      </c>
      <c r="F26" s="59">
        <f t="shared" si="3"/>
        <v>0.08982963345</v>
      </c>
      <c r="G26" s="73">
        <v>749.0</v>
      </c>
      <c r="H26" s="73" t="s">
        <v>22</v>
      </c>
      <c r="I26" s="52" t="str">
        <f>HYPERLINK("https://experience.arcgis.com/experience/09f821667ce64bf7be6f9f87457ed9aa","Source")</f>
        <v>Source</v>
      </c>
      <c r="J26" s="29"/>
      <c r="K26" s="72" t="s">
        <v>24</v>
      </c>
      <c r="L26" s="39">
        <v>9685.0</v>
      </c>
      <c r="M26" s="57">
        <v>870.0</v>
      </c>
      <c r="N26" s="31"/>
      <c r="O26" s="31"/>
      <c r="P26" s="31"/>
    </row>
    <row r="27" ht="30.0" customHeight="1">
      <c r="A27" s="37" t="s">
        <v>78</v>
      </c>
      <c r="B27" s="39">
        <v>8089.0</v>
      </c>
      <c r="C27" s="41">
        <f t="shared" si="1"/>
        <v>0</v>
      </c>
      <c r="D27" s="57">
        <v>287.0</v>
      </c>
      <c r="E27" s="46">
        <f t="shared" si="2"/>
        <v>0</v>
      </c>
      <c r="F27" s="42">
        <f t="shared" si="3"/>
        <v>0.03548028186</v>
      </c>
      <c r="G27" s="73">
        <v>25.0</v>
      </c>
      <c r="H27" s="73" t="s">
        <v>22</v>
      </c>
      <c r="I27" s="52" t="str">
        <f>HYPERLINK("https://www.gov.ie/en/press-release/0f1615-statement-from-the-national-public-health-emergency-team-wednesday-8/","Source")</f>
        <v>Source</v>
      </c>
      <c r="J27" s="94"/>
      <c r="K27" s="66" t="s">
        <v>24</v>
      </c>
      <c r="L27" s="39">
        <v>8089.0</v>
      </c>
      <c r="M27" s="57">
        <v>287.0</v>
      </c>
      <c r="N27" s="31"/>
      <c r="O27" s="31"/>
      <c r="P27" s="31"/>
    </row>
    <row r="28" ht="30.0" customHeight="1">
      <c r="A28" s="37" t="s">
        <v>80</v>
      </c>
      <c r="B28" s="39">
        <v>7618.0</v>
      </c>
      <c r="C28" s="41">
        <f t="shared" si="1"/>
        <v>20</v>
      </c>
      <c r="D28" s="57">
        <v>249.0</v>
      </c>
      <c r="E28" s="46">
        <f t="shared" si="2"/>
        <v>3</v>
      </c>
      <c r="F28" s="59">
        <f t="shared" si="3"/>
        <v>0.03268574429</v>
      </c>
      <c r="G28" s="73" t="s">
        <v>22</v>
      </c>
      <c r="H28" s="73">
        <v>774.0</v>
      </c>
      <c r="I28" s="52" t="str">
        <f>HYPERLINK("https://www.covid19india.org/","Source")</f>
        <v>Source</v>
      </c>
      <c r="J28" s="67"/>
      <c r="K28" s="33"/>
      <c r="L28" s="39">
        <v>7598.0</v>
      </c>
      <c r="M28" s="57">
        <v>246.0</v>
      </c>
      <c r="N28" s="31"/>
      <c r="O28" s="31"/>
      <c r="P28" s="31"/>
    </row>
    <row r="29" ht="30.0" customHeight="1">
      <c r="A29" s="37" t="s">
        <v>85</v>
      </c>
      <c r="B29" s="39">
        <v>7161.0</v>
      </c>
      <c r="C29" s="41">
        <f t="shared" si="1"/>
        <v>0</v>
      </c>
      <c r="D29" s="57">
        <v>297.0</v>
      </c>
      <c r="E29" s="46">
        <f t="shared" si="2"/>
        <v>0</v>
      </c>
      <c r="F29" s="42">
        <f t="shared" si="3"/>
        <v>0.04147465438</v>
      </c>
      <c r="G29" s="73" t="s">
        <v>22</v>
      </c>
      <c r="H29" s="73">
        <v>368.0</v>
      </c>
      <c r="I29" s="52" t="str">
        <f>HYPERLINK("https://twitter.com/Salud_Ec/status/1248644876612308992","Source")</f>
        <v>Source</v>
      </c>
      <c r="J29" s="51"/>
      <c r="K29" s="66" t="s">
        <v>24</v>
      </c>
      <c r="L29" s="39">
        <v>7161.0</v>
      </c>
      <c r="M29" s="57">
        <v>297.0</v>
      </c>
      <c r="N29" s="31"/>
      <c r="O29" s="31"/>
      <c r="P29" s="31"/>
    </row>
    <row r="30" ht="30.0" customHeight="1">
      <c r="A30" s="37" t="s">
        <v>88</v>
      </c>
      <c r="B30" s="39">
        <v>6501.0</v>
      </c>
      <c r="C30" s="41">
        <f t="shared" si="1"/>
        <v>0</v>
      </c>
      <c r="D30" s="57">
        <v>65.0</v>
      </c>
      <c r="E30" s="46">
        <f t="shared" si="2"/>
        <v>0</v>
      </c>
      <c r="F30" s="59">
        <f t="shared" si="3"/>
        <v>0.009998461775</v>
      </c>
      <c r="G30" s="73">
        <v>383.0</v>
      </c>
      <c r="H30" s="49">
        <v>1571.0</v>
      </c>
      <c r="I30" s="52" t="str">
        <f>HYPERLINK("https://cdn.digital.gob.cl/public_files/Campa%C3%B1as/Corona-Virus/Reportes/10.04.2020_Reporte_Covid19.pdf","Source")</f>
        <v>Source</v>
      </c>
      <c r="J30" s="51"/>
      <c r="K30" s="66" t="s">
        <v>24</v>
      </c>
      <c r="L30" s="39">
        <v>6501.0</v>
      </c>
      <c r="M30" s="57">
        <v>65.0</v>
      </c>
      <c r="N30" s="31"/>
      <c r="O30" s="31"/>
      <c r="P30" s="31"/>
    </row>
    <row r="31" ht="30.0" customHeight="1">
      <c r="A31" s="37" t="s">
        <v>91</v>
      </c>
      <c r="B31" s="39">
        <v>6313.0</v>
      </c>
      <c r="C31" s="41">
        <f t="shared" si="1"/>
        <v>0</v>
      </c>
      <c r="D31" s="57">
        <v>113.0</v>
      </c>
      <c r="E31" s="46">
        <f t="shared" si="2"/>
        <v>0</v>
      </c>
      <c r="F31" s="42">
        <f t="shared" si="3"/>
        <v>0.01789957231</v>
      </c>
      <c r="G31" s="73">
        <v>67.0</v>
      </c>
      <c r="H31" s="73" t="s">
        <v>22</v>
      </c>
      <c r="I31" s="52" t="str">
        <f>HYPERLINK("https://www.vg.no/spesial/2020/corona/","Source")</f>
        <v>Source</v>
      </c>
      <c r="J31" s="67"/>
      <c r="K31" s="33"/>
      <c r="L31" s="39">
        <v>6313.0</v>
      </c>
      <c r="M31" s="57">
        <v>113.0</v>
      </c>
      <c r="N31" s="31"/>
      <c r="O31" s="31"/>
      <c r="P31" s="31"/>
    </row>
    <row r="32" ht="30.0" customHeight="1">
      <c r="A32" s="37" t="s">
        <v>93</v>
      </c>
      <c r="B32" s="39">
        <f>Australia!A3</f>
        <v>6283</v>
      </c>
      <c r="C32" s="41">
        <f t="shared" si="1"/>
        <v>68</v>
      </c>
      <c r="D32" s="39">
        <f>Australia!B3</f>
        <v>56</v>
      </c>
      <c r="E32" s="46">
        <f t="shared" si="2"/>
        <v>2</v>
      </c>
      <c r="F32" s="59">
        <f t="shared" si="3"/>
        <v>0.008912939678</v>
      </c>
      <c r="G32" s="49">
        <f>Australia!G17</f>
        <v>79</v>
      </c>
      <c r="H32" s="49">
        <f>Australia!C3</f>
        <v>1793</v>
      </c>
      <c r="I32" s="52" t="str">
        <f>HYPERLINK("https://bnonews.com/index.php/2019/12/tracking-coronavirus-australia-data/","Source")</f>
        <v>Source</v>
      </c>
      <c r="J32" s="29"/>
      <c r="K32" s="33"/>
      <c r="L32" s="57">
        <v>6215.0</v>
      </c>
      <c r="M32" s="57">
        <v>54.0</v>
      </c>
      <c r="N32" s="31"/>
      <c r="O32" s="31"/>
      <c r="P32" s="31"/>
    </row>
    <row r="33" ht="30.0" customHeight="1">
      <c r="A33" s="37" t="s">
        <v>97</v>
      </c>
      <c r="B33" s="39">
        <v>6184.0</v>
      </c>
      <c r="C33" s="41">
        <f t="shared" si="1"/>
        <v>0</v>
      </c>
      <c r="D33" s="57">
        <v>120.0</v>
      </c>
      <c r="E33" s="46">
        <f t="shared" si="2"/>
        <v>0</v>
      </c>
      <c r="F33" s="59">
        <f t="shared" si="3"/>
        <v>0.01940491591</v>
      </c>
      <c r="G33" s="73">
        <v>117.0</v>
      </c>
      <c r="H33" s="73">
        <v>714.0</v>
      </c>
      <c r="I33" s="52" t="str">
        <f>HYPERLINK("https://www3.nhk.or.jp/news/html/20200410/k10012379151000.html?utm_int=word_contents_list-items_013&amp;word_result=%E6%96%B0%E5%9E%8B%E3%82%B3%E3%83%AD%E3%83%8A%E3%82%A6%E3%82%A4%E3%83%AB%E3%82%B9","Source")</f>
        <v>Source</v>
      </c>
      <c r="J33" s="94"/>
      <c r="K33" s="33"/>
      <c r="L33" s="39">
        <v>6184.0</v>
      </c>
      <c r="M33" s="57">
        <v>120.0</v>
      </c>
      <c r="N33" s="31"/>
      <c r="O33" s="31"/>
      <c r="P33" s="31"/>
    </row>
    <row r="34" ht="30.0" customHeight="1">
      <c r="A34" s="37" t="s">
        <v>100</v>
      </c>
      <c r="B34" s="39">
        <v>6003.0</v>
      </c>
      <c r="C34" s="41">
        <f t="shared" si="1"/>
        <v>0</v>
      </c>
      <c r="D34" s="57">
        <v>247.0</v>
      </c>
      <c r="E34" s="46">
        <f t="shared" si="2"/>
        <v>0</v>
      </c>
      <c r="F34" s="42">
        <f t="shared" si="3"/>
        <v>0.04114609362</v>
      </c>
      <c r="G34" s="73">
        <v>113.0</v>
      </c>
      <c r="H34" s="73">
        <v>3.0</v>
      </c>
      <c r="I34" s="52" t="str">
        <f>HYPERLINK("https://www.sst.dk/da/corona/tal-og-overvaagning","Source")</f>
        <v>Source</v>
      </c>
      <c r="J34" s="51"/>
      <c r="K34" s="66" t="s">
        <v>24</v>
      </c>
      <c r="L34" s="39">
        <v>6003.0</v>
      </c>
      <c r="M34" s="57">
        <v>247.0</v>
      </c>
      <c r="N34" s="31"/>
      <c r="O34" s="31"/>
      <c r="P34" s="31"/>
    </row>
    <row r="35" ht="27.75" customHeight="1">
      <c r="A35" s="37" t="s">
        <v>102</v>
      </c>
      <c r="B35" s="39">
        <v>5955.0</v>
      </c>
      <c r="C35" s="41">
        <f t="shared" si="1"/>
        <v>0</v>
      </c>
      <c r="D35" s="57">
        <v>181.0</v>
      </c>
      <c r="E35" s="46">
        <f t="shared" si="2"/>
        <v>0</v>
      </c>
      <c r="F35" s="59">
        <f t="shared" si="3"/>
        <v>0.03039462636</v>
      </c>
      <c r="G35" s="73" t="s">
        <v>22</v>
      </c>
      <c r="H35" s="73">
        <v>318.0</v>
      </c>
      <c r="I35" s="52" t="str">
        <f>HYPERLINK("https://twitter.com/MZ_GOV_PL/status/1248627562349088768","Source")</f>
        <v>Source</v>
      </c>
      <c r="J35" s="67"/>
      <c r="K35" s="66" t="s">
        <v>48</v>
      </c>
      <c r="L35" s="39">
        <v>5955.0</v>
      </c>
      <c r="M35" s="57">
        <v>181.0</v>
      </c>
      <c r="N35" s="31"/>
      <c r="O35" s="31"/>
      <c r="P35" s="31"/>
    </row>
    <row r="36" ht="30.0" customHeight="1">
      <c r="A36" s="37" t="s">
        <v>105</v>
      </c>
      <c r="B36" s="39">
        <v>5897.0</v>
      </c>
      <c r="C36" s="41">
        <f t="shared" si="1"/>
        <v>0</v>
      </c>
      <c r="D36" s="57">
        <v>169.0</v>
      </c>
      <c r="E36" s="46">
        <f t="shared" si="2"/>
        <v>0</v>
      </c>
      <c r="F36" s="59">
        <f t="shared" si="3"/>
        <v>0.02865863999</v>
      </c>
      <c r="G36" s="73">
        <v>113.0</v>
      </c>
      <c r="H36" s="73">
        <v>989.0</v>
      </c>
      <c r="I36" s="96" t="str">
        <f>HYPERLINK("https://twitter.com/Minsa_Peru/status/1248660255850012672","Source")</f>
        <v>Source</v>
      </c>
      <c r="J36" s="51"/>
      <c r="K36" s="66" t="s">
        <v>24</v>
      </c>
      <c r="L36" s="39">
        <v>5897.0</v>
      </c>
      <c r="M36" s="57">
        <v>169.0</v>
      </c>
      <c r="N36" s="31"/>
      <c r="O36" s="31"/>
      <c r="P36" s="31"/>
    </row>
    <row r="37" ht="30.0" customHeight="1">
      <c r="A37" s="37" t="s">
        <v>107</v>
      </c>
      <c r="B37" s="39">
        <v>5732.0</v>
      </c>
      <c r="C37" s="41">
        <f t="shared" si="1"/>
        <v>0</v>
      </c>
      <c r="D37" s="57">
        <v>119.0</v>
      </c>
      <c r="E37" s="46">
        <f t="shared" si="2"/>
        <v>0</v>
      </c>
      <c r="F37" s="59">
        <f t="shared" si="3"/>
        <v>0.02076064201</v>
      </c>
      <c r="G37" s="73">
        <v>103.0</v>
      </c>
      <c r="H37" s="73">
        <v>243.0</v>
      </c>
      <c r="I37" s="52" t="str">
        <f>HYPERLINK("https://onemocneni-aktualne.mzcr.cz/covid-19","Source")</f>
        <v>Source</v>
      </c>
      <c r="J37" s="67"/>
      <c r="K37" s="66" t="s">
        <v>109</v>
      </c>
      <c r="L37" s="39">
        <v>5732.0</v>
      </c>
      <c r="M37" s="57">
        <v>119.0</v>
      </c>
      <c r="N37" s="31"/>
      <c r="O37" s="31"/>
      <c r="P37" s="31"/>
    </row>
    <row r="38" ht="30.0" customHeight="1">
      <c r="A38" s="37" t="s">
        <v>110</v>
      </c>
      <c r="B38" s="39">
        <v>5467.0</v>
      </c>
      <c r="C38" s="41">
        <f t="shared" si="1"/>
        <v>0</v>
      </c>
      <c r="D38" s="57">
        <v>270.0</v>
      </c>
      <c r="E38" s="46">
        <f t="shared" si="2"/>
        <v>0</v>
      </c>
      <c r="F38" s="42">
        <f t="shared" si="3"/>
        <v>0.04938723249</v>
      </c>
      <c r="G38" s="73">
        <v>119.0</v>
      </c>
      <c r="H38" s="73">
        <v>729.0</v>
      </c>
      <c r="I38" s="52" t="str">
        <f>HYPERLINK("http://www.ms.ro/2020/04/10/decese-266-270/","Source")</f>
        <v>Source</v>
      </c>
      <c r="J38" s="67"/>
      <c r="K38" s="66" t="s">
        <v>112</v>
      </c>
      <c r="L38" s="39">
        <v>5467.0</v>
      </c>
      <c r="M38" s="57">
        <v>270.0</v>
      </c>
      <c r="N38" s="31"/>
      <c r="O38" s="31"/>
      <c r="P38" s="31"/>
    </row>
    <row r="39" ht="30.0" customHeight="1">
      <c r="A39" s="37" t="s">
        <v>113</v>
      </c>
      <c r="B39" s="39">
        <v>4788.0</v>
      </c>
      <c r="C39" s="41">
        <f t="shared" si="1"/>
        <v>93</v>
      </c>
      <c r="D39" s="57">
        <v>98.0</v>
      </c>
      <c r="E39" s="46">
        <f t="shared" si="2"/>
        <v>0</v>
      </c>
      <c r="F39" s="42">
        <f t="shared" si="3"/>
        <v>0.02046783626</v>
      </c>
      <c r="G39" s="73">
        <v>45.0</v>
      </c>
      <c r="H39" s="73">
        <v>727.0</v>
      </c>
      <c r="I39" s="52" t="str">
        <f>HYPERLINK("https://www.dawn.com/live-blog/","Source")</f>
        <v>Source</v>
      </c>
      <c r="J39" s="67"/>
      <c r="K39" s="66" t="s">
        <v>115</v>
      </c>
      <c r="L39" s="39">
        <v>4695.0</v>
      </c>
      <c r="M39" s="57">
        <v>98.0</v>
      </c>
      <c r="N39" s="31"/>
      <c r="O39" s="31"/>
      <c r="P39" s="31"/>
    </row>
    <row r="40" ht="30.0" customHeight="1">
      <c r="A40" s="37" t="s">
        <v>117</v>
      </c>
      <c r="B40" s="39">
        <v>4346.0</v>
      </c>
      <c r="C40" s="41">
        <f t="shared" si="1"/>
        <v>0</v>
      </c>
      <c r="D40" s="57">
        <v>70.0</v>
      </c>
      <c r="E40" s="46">
        <f t="shared" si="2"/>
        <v>0</v>
      </c>
      <c r="F40" s="59">
        <f t="shared" si="3"/>
        <v>0.01610676484</v>
      </c>
      <c r="G40" s="73">
        <v>69.0</v>
      </c>
      <c r="H40" s="49">
        <v>1830.0</v>
      </c>
      <c r="I40" s="52" t="str">
        <f>HYPERLINK("https://twitter.com/KKMPutrajaya/status/1248543964484890624","Source")</f>
        <v>Source</v>
      </c>
      <c r="J40" s="51"/>
      <c r="K40" s="66" t="s">
        <v>24</v>
      </c>
      <c r="L40" s="39">
        <v>4346.0</v>
      </c>
      <c r="M40" s="57">
        <v>70.0</v>
      </c>
      <c r="N40" s="31"/>
      <c r="O40" s="31"/>
      <c r="P40" s="31"/>
    </row>
    <row r="41" ht="30.0" customHeight="1">
      <c r="A41" s="37" t="s">
        <v>119</v>
      </c>
      <c r="B41" s="39">
        <v>4195.0</v>
      </c>
      <c r="C41" s="41">
        <f t="shared" si="1"/>
        <v>0</v>
      </c>
      <c r="D41" s="57">
        <v>221.0</v>
      </c>
      <c r="E41" s="46">
        <f t="shared" si="2"/>
        <v>0</v>
      </c>
      <c r="F41" s="42">
        <f t="shared" si="3"/>
        <v>0.052681764</v>
      </c>
      <c r="G41" s="73" t="s">
        <v>22</v>
      </c>
      <c r="H41" s="73">
        <v>140.0</v>
      </c>
      <c r="I41" s="96" t="str">
        <f>HYPERLINK("https://twitter.com/gmanews/status/1248521553140056064","Source")</f>
        <v>Source</v>
      </c>
      <c r="J41" s="51"/>
      <c r="K41" s="66" t="s">
        <v>24</v>
      </c>
      <c r="L41" s="39">
        <v>4195.0</v>
      </c>
      <c r="M41" s="57">
        <v>221.0</v>
      </c>
      <c r="N41" s="31"/>
      <c r="O41" s="31"/>
      <c r="P41" s="31"/>
    </row>
    <row r="42" ht="30.0" customHeight="1">
      <c r="A42" s="37" t="s">
        <v>122</v>
      </c>
      <c r="B42" s="39">
        <v>3844.0</v>
      </c>
      <c r="C42" s="41">
        <f t="shared" si="1"/>
        <v>0</v>
      </c>
      <c r="D42" s="57">
        <v>233.0</v>
      </c>
      <c r="E42" s="46">
        <f t="shared" si="2"/>
        <v>0</v>
      </c>
      <c r="F42" s="42">
        <f t="shared" si="3"/>
        <v>0.06061394381</v>
      </c>
      <c r="G42" s="73">
        <v>822.0</v>
      </c>
      <c r="H42" s="49">
        <v>1614.0</v>
      </c>
      <c r="I42" s="96" t="str">
        <f>HYPERLINK("https://twitter.com/SSalud_mx/status/1248762466609156096","Source")</f>
        <v>Source</v>
      </c>
      <c r="J42" s="51"/>
      <c r="K42" s="66" t="s">
        <v>24</v>
      </c>
      <c r="L42" s="39">
        <v>3844.0</v>
      </c>
      <c r="M42" s="57">
        <v>233.0</v>
      </c>
      <c r="N42" s="31"/>
      <c r="O42" s="31"/>
      <c r="P42" s="31"/>
    </row>
    <row r="43" ht="30.0" customHeight="1">
      <c r="A43" s="37" t="s">
        <v>124</v>
      </c>
      <c r="B43" s="39">
        <v>3651.0</v>
      </c>
      <c r="C43" s="41">
        <f t="shared" si="1"/>
        <v>0</v>
      </c>
      <c r="D43" s="57">
        <v>47.0</v>
      </c>
      <c r="E43" s="46">
        <f t="shared" si="2"/>
        <v>0</v>
      </c>
      <c r="F43" s="42">
        <f t="shared" si="3"/>
        <v>0.01287318543</v>
      </c>
      <c r="G43" s="73" t="s">
        <v>22</v>
      </c>
      <c r="H43" s="73">
        <v>685.0</v>
      </c>
      <c r="I43" s="52" t="str">
        <f>HYPERLINK("https://twitter.com/SaudiMOH/status/1248594454543507458","Source")</f>
        <v>Source</v>
      </c>
      <c r="J43" s="51"/>
      <c r="K43" s="66" t="s">
        <v>24</v>
      </c>
      <c r="L43" s="39">
        <v>3651.0</v>
      </c>
      <c r="M43" s="57">
        <v>47.0</v>
      </c>
      <c r="N43" s="31"/>
      <c r="O43" s="31"/>
      <c r="P43" s="31"/>
    </row>
    <row r="44" ht="30.0" customHeight="1">
      <c r="A44" s="37" t="s">
        <v>126</v>
      </c>
      <c r="B44" s="39">
        <v>3512.0</v>
      </c>
      <c r="C44" s="41">
        <f t="shared" si="1"/>
        <v>0</v>
      </c>
      <c r="D44" s="57">
        <v>306.0</v>
      </c>
      <c r="E44" s="46">
        <f t="shared" si="2"/>
        <v>0</v>
      </c>
      <c r="F44" s="59">
        <f t="shared" si="3"/>
        <v>0.08712984055</v>
      </c>
      <c r="G44" s="73" t="s">
        <v>22</v>
      </c>
      <c r="H44" s="73">
        <v>282.0</v>
      </c>
      <c r="I44" s="52" t="str">
        <f>HYPERLINK("https://www.cnnindonesia.com/nasional/20200410130423-20-492352/update-corona-10-april-3512-kasus-positif-306-meninggal?utm_campaign=cnnsocmed&amp;utm_medium=oa&amp;utm_source=twitter","Source")</f>
        <v>Source</v>
      </c>
      <c r="J44" s="51"/>
      <c r="K44" s="66" t="s">
        <v>24</v>
      </c>
      <c r="L44" s="39">
        <v>3512.0</v>
      </c>
      <c r="M44" s="57">
        <v>306.0</v>
      </c>
      <c r="N44" s="31"/>
      <c r="O44" s="31"/>
      <c r="P44" s="31"/>
    </row>
    <row r="45" ht="30.0" customHeight="1">
      <c r="A45" s="37" t="s">
        <v>128</v>
      </c>
      <c r="B45" s="39">
        <v>3360.0</v>
      </c>
      <c r="C45" s="41">
        <f t="shared" si="1"/>
        <v>0</v>
      </c>
      <c r="D45" s="57">
        <v>16.0</v>
      </c>
      <c r="E45" s="46">
        <f t="shared" si="2"/>
        <v>0</v>
      </c>
      <c r="F45" s="59">
        <f t="shared" si="3"/>
        <v>0.004761904762</v>
      </c>
      <c r="G45" s="73" t="s">
        <v>22</v>
      </c>
      <c r="H45" s="73">
        <v>418.0</v>
      </c>
      <c r="I45" s="52" t="str">
        <f>HYPERLINK("https://twitter.com/DHA_Dubai/status/1248678434286579713","Source")</f>
        <v>Source</v>
      </c>
      <c r="J45" s="51"/>
      <c r="K45" s="66" t="s">
        <v>24</v>
      </c>
      <c r="L45" s="39">
        <v>3360.0</v>
      </c>
      <c r="M45" s="57">
        <v>16.0</v>
      </c>
      <c r="N45" s="31"/>
      <c r="O45" s="31"/>
      <c r="P45" s="31"/>
    </row>
    <row r="46" ht="30.0" customHeight="1">
      <c r="A46" s="37" t="s">
        <v>131</v>
      </c>
      <c r="B46" s="39">
        <v>3223.0</v>
      </c>
      <c r="C46" s="41">
        <f t="shared" si="1"/>
        <v>0</v>
      </c>
      <c r="D46" s="57">
        <v>54.0</v>
      </c>
      <c r="E46" s="46">
        <f t="shared" si="2"/>
        <v>0</v>
      </c>
      <c r="F46" s="42">
        <f t="shared" si="3"/>
        <v>0.01675457648</v>
      </c>
      <c r="G46" s="73">
        <v>32.0</v>
      </c>
      <c r="H46" s="73">
        <v>412.0</v>
      </c>
      <c r="I46" s="96" t="str">
        <f>HYPERLINK("https://gouvernement.lu/fr/dossiers.gouv_msan+fr+dossiers+2020+corona-virus.html","Source")</f>
        <v>Source</v>
      </c>
      <c r="J46" s="51"/>
      <c r="K46" s="66" t="s">
        <v>24</v>
      </c>
      <c r="L46" s="39">
        <v>3223.0</v>
      </c>
      <c r="M46" s="57">
        <v>54.0</v>
      </c>
      <c r="N46" s="31"/>
      <c r="O46" s="31"/>
      <c r="P46" s="31"/>
    </row>
    <row r="47" ht="27.75" customHeight="1">
      <c r="A47" s="37" t="s">
        <v>133</v>
      </c>
      <c r="B47" s="39">
        <v>3105.0</v>
      </c>
      <c r="C47" s="41">
        <f t="shared" si="1"/>
        <v>0</v>
      </c>
      <c r="D47" s="57">
        <v>71.0</v>
      </c>
      <c r="E47" s="46">
        <f t="shared" si="2"/>
        <v>0</v>
      </c>
      <c r="F47" s="42">
        <f t="shared" si="3"/>
        <v>0.02286634461</v>
      </c>
      <c r="G47" s="73">
        <v>136.0</v>
      </c>
      <c r="H47" s="73" t="s">
        <v>22</v>
      </c>
      <c r="I47" s="52" t="str">
        <f>HYPERLINK("http://www.politika.rs/scc/clanak/451979/Epidemija-je-pod-kontrolom","Source")</f>
        <v>Source</v>
      </c>
      <c r="J47" s="51"/>
      <c r="K47" s="66" t="s">
        <v>24</v>
      </c>
      <c r="L47" s="39">
        <v>3105.0</v>
      </c>
      <c r="M47" s="57">
        <v>71.0</v>
      </c>
      <c r="N47" s="31"/>
      <c r="O47" s="31"/>
      <c r="P47" s="31"/>
    </row>
    <row r="48" ht="27.75" customHeight="1">
      <c r="A48" s="37" t="s">
        <v>136</v>
      </c>
      <c r="B48" s="39">
        <v>2974.0</v>
      </c>
      <c r="C48" s="41">
        <f t="shared" si="1"/>
        <v>0</v>
      </c>
      <c r="D48" s="57">
        <v>74.0</v>
      </c>
      <c r="E48" s="46">
        <f t="shared" si="2"/>
        <v>0</v>
      </c>
      <c r="F48" s="59">
        <f t="shared" si="3"/>
        <v>0.02488231338</v>
      </c>
      <c r="G48" s="73">
        <v>101.0</v>
      </c>
      <c r="H48" s="73">
        <v>17.0</v>
      </c>
      <c r="I48" s="96" t="str">
        <f>HYPERLINK("https://twitter.com/TReporta/status/1248759607083839489","Source")</f>
        <v>Source</v>
      </c>
      <c r="J48" s="51"/>
      <c r="K48" s="66" t="s">
        <v>24</v>
      </c>
      <c r="L48" s="39">
        <v>2974.0</v>
      </c>
      <c r="M48" s="57">
        <v>74.0</v>
      </c>
      <c r="N48" s="31"/>
      <c r="O48" s="31"/>
      <c r="P48" s="31"/>
    </row>
    <row r="49" ht="30.0" customHeight="1">
      <c r="A49" s="37" t="s">
        <v>141</v>
      </c>
      <c r="B49" s="39">
        <v>2769.0</v>
      </c>
      <c r="C49" s="41">
        <f t="shared" si="1"/>
        <v>0</v>
      </c>
      <c r="D49" s="57">
        <v>48.0</v>
      </c>
      <c r="E49" s="46">
        <f t="shared" si="2"/>
        <v>0</v>
      </c>
      <c r="F49" s="42">
        <f t="shared" si="3"/>
        <v>0.0173347779</v>
      </c>
      <c r="G49" s="73">
        <v>81.0</v>
      </c>
      <c r="H49" s="73">
        <v>10.0</v>
      </c>
      <c r="I49" s="52" t="str">
        <f>HYPERLINK("https://thl.fi/fi/web/infektiotaudit-ja-rokotukset/ajankohtaista/ajankohtaista-koronaviruksesta-covid-19/tilannekatsaus-koronaviruksesta","Source")</f>
        <v>Source</v>
      </c>
      <c r="J49" s="51"/>
      <c r="K49" s="66" t="s">
        <v>24</v>
      </c>
      <c r="L49" s="39">
        <v>2769.0</v>
      </c>
      <c r="M49" s="57">
        <v>48.0</v>
      </c>
      <c r="N49" s="31"/>
      <c r="O49" s="31"/>
      <c r="P49" s="31"/>
    </row>
    <row r="50" ht="30.0" customHeight="1">
      <c r="A50" s="37" t="s">
        <v>144</v>
      </c>
      <c r="B50" s="39">
        <v>2620.0</v>
      </c>
      <c r="C50" s="41">
        <f t="shared" si="1"/>
        <v>0</v>
      </c>
      <c r="D50" s="57">
        <v>126.0</v>
      </c>
      <c r="E50" s="46">
        <f t="shared" si="2"/>
        <v>0</v>
      </c>
      <c r="F50" s="59">
        <f t="shared" si="3"/>
        <v>0.04809160305</v>
      </c>
      <c r="G50" s="73" t="s">
        <v>22</v>
      </c>
      <c r="H50" s="73">
        <v>98.0</v>
      </c>
      <c r="I50" s="52" t="str">
        <f>HYPERLINK("https://twitter.com/SaludPublicaRD/status/1248653650324488193","Source")</f>
        <v>Source</v>
      </c>
      <c r="J50" s="97"/>
      <c r="K50" s="66" t="s">
        <v>24</v>
      </c>
      <c r="L50" s="39">
        <v>2620.0</v>
      </c>
      <c r="M50" s="57">
        <v>126.0</v>
      </c>
      <c r="N50" s="31"/>
      <c r="O50" s="31"/>
      <c r="P50" s="31"/>
    </row>
    <row r="51" ht="30.0" customHeight="1">
      <c r="A51" s="37" t="s">
        <v>147</v>
      </c>
      <c r="B51" s="39">
        <v>2512.0</v>
      </c>
      <c r="C51" s="41">
        <f t="shared" si="1"/>
        <v>0</v>
      </c>
      <c r="D51" s="57">
        <v>6.0</v>
      </c>
      <c r="E51" s="46">
        <f t="shared" si="2"/>
        <v>0</v>
      </c>
      <c r="F51" s="42">
        <f t="shared" si="3"/>
        <v>0.002388535032</v>
      </c>
      <c r="G51" s="73" t="s">
        <v>22</v>
      </c>
      <c r="H51" s="73">
        <v>227.0</v>
      </c>
      <c r="I51" s="52" t="str">
        <f>HYPERLINK("https://twitter.com/MOPHQatar/status/1248548209179402240","Source")</f>
        <v>Source</v>
      </c>
      <c r="J51" s="51"/>
      <c r="K51" s="33"/>
      <c r="L51" s="39">
        <v>2512.0</v>
      </c>
      <c r="M51" s="57">
        <v>6.0</v>
      </c>
      <c r="N51" s="31"/>
      <c r="O51" s="31"/>
      <c r="P51" s="31"/>
    </row>
    <row r="52" ht="30.0" customHeight="1">
      <c r="A52" s="37" t="s">
        <v>151</v>
      </c>
      <c r="B52" s="39">
        <v>2473.0</v>
      </c>
      <c r="C52" s="41">
        <f t="shared" si="1"/>
        <v>0</v>
      </c>
      <c r="D52" s="57">
        <v>33.0</v>
      </c>
      <c r="E52" s="46">
        <f t="shared" si="2"/>
        <v>0</v>
      </c>
      <c r="F52" s="59">
        <f t="shared" si="3"/>
        <v>0.01334411646</v>
      </c>
      <c r="G52" s="73" t="s">
        <v>22</v>
      </c>
      <c r="H52" s="49">
        <v>1013.0</v>
      </c>
      <c r="I52" s="52" t="str">
        <f>HYPERLINK("https://news.trust.org/item/20200410042214-tyteb","Source")</f>
        <v>Source</v>
      </c>
      <c r="J52" s="51"/>
      <c r="K52" s="66" t="s">
        <v>24</v>
      </c>
      <c r="L52" s="39">
        <v>2473.0</v>
      </c>
      <c r="M52" s="57">
        <v>33.0</v>
      </c>
      <c r="N52" s="31"/>
      <c r="O52" s="31"/>
      <c r="P52" s="31"/>
    </row>
    <row r="53" ht="27.75" customHeight="1">
      <c r="A53" s="37" t="s">
        <v>154</v>
      </c>
      <c r="B53" s="39">
        <v>2473.0</v>
      </c>
      <c r="C53" s="41">
        <f t="shared" si="1"/>
        <v>0</v>
      </c>
      <c r="D53" s="57">
        <v>80.0</v>
      </c>
      <c r="E53" s="46">
        <f t="shared" si="2"/>
        <v>0</v>
      </c>
      <c r="F53" s="42">
        <f t="shared" si="3"/>
        <v>0.03234937323</v>
      </c>
      <c r="G53" s="73" t="s">
        <v>22</v>
      </c>
      <c r="H53" s="73">
        <v>197.0</v>
      </c>
      <c r="I53" s="96" t="str">
        <f>HYPERLINK("https://twitter.com/MinSaludCol/status/1248718807448895490","Source")</f>
        <v>Source</v>
      </c>
      <c r="J53" s="51"/>
      <c r="K53" s="33"/>
      <c r="L53" s="39">
        <v>2473.0</v>
      </c>
      <c r="M53" s="57">
        <v>80.0</v>
      </c>
      <c r="N53" s="31"/>
      <c r="O53" s="31"/>
      <c r="P53" s="31"/>
    </row>
    <row r="54" ht="30.0" customHeight="1">
      <c r="A54" s="37" t="s">
        <v>156</v>
      </c>
      <c r="B54" s="39">
        <v>2203.0</v>
      </c>
      <c r="C54" s="41">
        <f t="shared" si="1"/>
        <v>0</v>
      </c>
      <c r="D54" s="57">
        <v>69.0</v>
      </c>
      <c r="E54" s="46">
        <f t="shared" si="2"/>
        <v>0</v>
      </c>
      <c r="F54" s="59">
        <f t="shared" si="3"/>
        <v>0.03132092601</v>
      </c>
      <c r="G54" s="73">
        <v>43.0</v>
      </c>
      <c r="H54" s="73">
        <v>61.0</v>
      </c>
      <c r="I54" s="52" t="str">
        <f>HYPERLINK("https://t.me/s/COVID19_Ukraine","Source")</f>
        <v>Source</v>
      </c>
      <c r="J54" s="51"/>
      <c r="K54" s="66" t="s">
        <v>24</v>
      </c>
      <c r="L54" s="39">
        <v>2203.0</v>
      </c>
      <c r="M54" s="57">
        <v>69.0</v>
      </c>
      <c r="N54" s="31"/>
      <c r="O54" s="31"/>
      <c r="P54" s="31"/>
    </row>
    <row r="55" ht="30.0" customHeight="1">
      <c r="A55" s="37" t="s">
        <v>159</v>
      </c>
      <c r="B55" s="39">
        <v>2108.0</v>
      </c>
      <c r="C55" s="41">
        <f t="shared" si="1"/>
        <v>0</v>
      </c>
      <c r="D55" s="57">
        <v>7.0</v>
      </c>
      <c r="E55" s="46">
        <f t="shared" si="2"/>
        <v>0</v>
      </c>
      <c r="F55" s="42">
        <f t="shared" si="3"/>
        <v>0.003320683112</v>
      </c>
      <c r="G55" s="73">
        <v>32.0</v>
      </c>
      <c r="H55" s="73">
        <v>492.0</v>
      </c>
      <c r="I55" s="52" t="str">
        <f>HYPERLINK("https://www.moh.gov.sg/news-highlights/details/32-more-cases-discharged-198-new-cases-of-covid-19-infection-confirmed","Source")</f>
        <v>Source</v>
      </c>
      <c r="J55" s="51"/>
      <c r="K55" s="33"/>
      <c r="L55" s="39">
        <v>2108.0</v>
      </c>
      <c r="M55" s="57">
        <v>7.0</v>
      </c>
      <c r="N55" s="31"/>
      <c r="O55" s="31"/>
      <c r="P55" s="31"/>
    </row>
    <row r="56" ht="30.0" customHeight="1">
      <c r="A56" s="37" t="s">
        <v>162</v>
      </c>
      <c r="B56" s="39">
        <v>1981.0</v>
      </c>
      <c r="C56" s="41">
        <f t="shared" si="1"/>
        <v>0</v>
      </c>
      <c r="D56" s="57">
        <v>19.0</v>
      </c>
      <c r="E56" s="46">
        <f t="shared" si="2"/>
        <v>0</v>
      </c>
      <c r="F56" s="42">
        <f t="shared" si="3"/>
        <v>0.009591115598</v>
      </c>
      <c r="G56" s="73">
        <v>72.0</v>
      </c>
      <c r="H56" s="73">
        <v>169.0</v>
      </c>
      <c r="I56" s="52" t="str">
        <f>HYPERLINK("https://people.onliner.by/2020/04/10/stat-11","Source")</f>
        <v>Source</v>
      </c>
      <c r="J56" s="51"/>
      <c r="K56" s="66" t="s">
        <v>24</v>
      </c>
      <c r="L56" s="39">
        <v>1981.0</v>
      </c>
      <c r="M56" s="57">
        <v>19.0</v>
      </c>
      <c r="N56" s="31"/>
      <c r="O56" s="31"/>
      <c r="P56" s="31"/>
    </row>
    <row r="57" ht="30.0" customHeight="1">
      <c r="A57" s="37" t="s">
        <v>166</v>
      </c>
      <c r="B57" s="39">
        <v>2011.0</v>
      </c>
      <c r="C57" s="41">
        <f t="shared" si="1"/>
        <v>0</v>
      </c>
      <c r="D57" s="57">
        <v>90.0</v>
      </c>
      <c r="E57" s="46">
        <f t="shared" si="2"/>
        <v>0</v>
      </c>
      <c r="F57" s="59">
        <f t="shared" si="3"/>
        <v>0.0447538538</v>
      </c>
      <c r="G57" s="73">
        <v>84.0</v>
      </c>
      <c r="H57" s="73">
        <v>90.0</v>
      </c>
      <c r="I57" s="52" t="str">
        <f>HYPERLINK("https://covid19.gov.gr/covid19-live-analytics/","Source")</f>
        <v>Source</v>
      </c>
      <c r="J57" s="29"/>
      <c r="K57" s="66" t="s">
        <v>24</v>
      </c>
      <c r="L57" s="39">
        <v>2011.0</v>
      </c>
      <c r="M57" s="57">
        <v>90.0</v>
      </c>
      <c r="N57" s="31"/>
      <c r="O57" s="31"/>
      <c r="P57" s="31"/>
    </row>
    <row r="58" ht="27.75" customHeight="1">
      <c r="A58" s="37" t="s">
        <v>169</v>
      </c>
      <c r="B58" s="39">
        <v>2003.0</v>
      </c>
      <c r="C58" s="41">
        <f t="shared" si="1"/>
        <v>0</v>
      </c>
      <c r="D58" s="57">
        <v>24.0</v>
      </c>
      <c r="E58" s="46">
        <f t="shared" si="2"/>
        <v>0</v>
      </c>
      <c r="F58" s="59">
        <f t="shared" si="3"/>
        <v>0.01198202696</v>
      </c>
      <c r="G58" s="73">
        <v>4.0</v>
      </c>
      <c r="H58" s="73">
        <v>45.0</v>
      </c>
      <c r="I58" s="52" t="str">
        <f>HYPERLINK("https://www.health24.com/Medical/Infectious-diseases/Coronavirus/coronavirus-in-sa-all-the-confirmed-cases-20200312","Source")</f>
        <v>Source</v>
      </c>
      <c r="J58" s="29"/>
      <c r="K58" s="66" t="s">
        <v>24</v>
      </c>
      <c r="L58" s="39">
        <v>2003.0</v>
      </c>
      <c r="M58" s="57">
        <v>24.0</v>
      </c>
      <c r="N58" s="31"/>
      <c r="O58" s="31"/>
      <c r="P58" s="31"/>
    </row>
    <row r="59" ht="27.75" customHeight="1">
      <c r="A59" s="37" t="s">
        <v>171</v>
      </c>
      <c r="B59" s="39">
        <v>1894.0</v>
      </c>
      <c r="C59" s="41">
        <f t="shared" si="1"/>
        <v>0</v>
      </c>
      <c r="D59" s="57">
        <v>82.0</v>
      </c>
      <c r="E59" s="46">
        <f t="shared" si="2"/>
        <v>0</v>
      </c>
      <c r="F59" s="42">
        <f t="shared" si="3"/>
        <v>0.04329461457</v>
      </c>
      <c r="G59" s="73" t="s">
        <v>22</v>
      </c>
      <c r="H59" s="73">
        <v>375.0</v>
      </c>
      <c r="I59" s="96" t="str">
        <f>HYPERLINK("https://www.clarin.com/sociedad/coronavirus-argentina-murieron-hombres-81-victimas-fatales-pais_0_gS7byq3iX.html","Source")</f>
        <v>Source</v>
      </c>
      <c r="J59" s="115"/>
      <c r="K59" s="66" t="s">
        <v>173</v>
      </c>
      <c r="L59" s="39">
        <v>1894.0</v>
      </c>
      <c r="M59" s="57">
        <v>82.0</v>
      </c>
      <c r="N59" s="31"/>
      <c r="O59" s="31"/>
      <c r="P59" s="31"/>
    </row>
    <row r="60" ht="30.0" customHeight="1">
      <c r="A60" s="37" t="s">
        <v>174</v>
      </c>
      <c r="B60" s="39">
        <v>1794.0</v>
      </c>
      <c r="C60" s="41">
        <f t="shared" si="1"/>
        <v>0</v>
      </c>
      <c r="D60" s="57">
        <v>135.0</v>
      </c>
      <c r="E60" s="46">
        <f t="shared" si="2"/>
        <v>0</v>
      </c>
      <c r="F60" s="59">
        <f t="shared" si="3"/>
        <v>0.07525083612</v>
      </c>
      <c r="G60" s="73" t="s">
        <v>22</v>
      </c>
      <c r="H60" s="73">
        <v>384.0</v>
      </c>
      <c r="I60" s="96" t="str">
        <f>HYPERLINK("https://www.facebook.com/EgyMohpSpokes/photos/a.353628178307691/1144993882504446/?type=3&amp;__xts__%5B0%5D=68.ARCd9DuvrQHSQH1jidiyNSyj4Kjbv1U40rl8rn3VhD0CMvGzsdA2d0goEZWrAuPH6DTMFz6rSve4W9nTNPCysvuuQCsZl_mRe8e5aPx645aEXIsJ-b8UNgYAgK8oYAWD3B4pjkFTGHlHxKNkaymP"&amp;"aUNNYSblWjXahEKJ3jQlzwoF9c4hdJEXkvBGXzzgC7GReJlG8XT4mvfayuRC7m5-x9axsVoHr8hD5a_auTrxml9W9T1XS2QuKAk3VOyUt0AJYrq7dd4GX8Rk1L1KGxdXSE6rMUC4eKsS0SwMPqeHlDaPj06zvkMCYMWKz8fz3Goxbhs6_OygBcgY8Iz6UVdBjlxGmw&amp;__tn__=-R","Source")</f>
        <v>Source</v>
      </c>
      <c r="J60" s="51"/>
      <c r="K60" s="66" t="s">
        <v>24</v>
      </c>
      <c r="L60" s="39">
        <v>1794.0</v>
      </c>
      <c r="M60" s="57">
        <v>135.0</v>
      </c>
      <c r="N60" s="31"/>
      <c r="O60" s="31"/>
      <c r="P60" s="31"/>
    </row>
    <row r="61" ht="30.0" customHeight="1">
      <c r="A61" s="37" t="s">
        <v>177</v>
      </c>
      <c r="B61" s="39">
        <v>1761.0</v>
      </c>
      <c r="C61" s="41">
        <f t="shared" si="1"/>
        <v>0</v>
      </c>
      <c r="D61" s="57">
        <v>256.0</v>
      </c>
      <c r="E61" s="46">
        <f t="shared" si="2"/>
        <v>0</v>
      </c>
      <c r="F61" s="42">
        <f t="shared" si="3"/>
        <v>0.1453719478</v>
      </c>
      <c r="G61" s="73" t="s">
        <v>22</v>
      </c>
      <c r="H61" s="73">
        <v>113.0</v>
      </c>
      <c r="I61" s="52" t="str">
        <f>HYPERLINK("http://www.aps.dz/algerie/103912-coronavirus-95-nouveaux-cas-confirmes-en-algerie","Source")</f>
        <v>Source</v>
      </c>
      <c r="J61" s="51"/>
      <c r="K61" s="66" t="s">
        <v>24</v>
      </c>
      <c r="L61" s="39">
        <v>1761.0</v>
      </c>
      <c r="M61" s="57">
        <v>256.0</v>
      </c>
      <c r="N61" s="31"/>
      <c r="O61" s="31"/>
      <c r="P61" s="31"/>
    </row>
    <row r="62" ht="30.0" customHeight="1">
      <c r="A62" s="37" t="s">
        <v>179</v>
      </c>
      <c r="B62" s="39">
        <v>1675.0</v>
      </c>
      <c r="C62" s="41">
        <f t="shared" si="1"/>
        <v>0</v>
      </c>
      <c r="D62" s="57">
        <v>4.0</v>
      </c>
      <c r="E62" s="46">
        <f t="shared" si="2"/>
        <v>0</v>
      </c>
      <c r="F62" s="42">
        <f t="shared" si="3"/>
        <v>0.002388059701</v>
      </c>
      <c r="G62" s="73">
        <v>11.0</v>
      </c>
      <c r="H62" s="73">
        <v>751.0</v>
      </c>
      <c r="I62" s="52" t="str">
        <f>HYPERLINK("https://www.covid.is/tolulegar-upplysingar","Source")</f>
        <v>Source</v>
      </c>
      <c r="J62" s="119"/>
      <c r="K62" s="66" t="s">
        <v>24</v>
      </c>
      <c r="L62" s="39">
        <v>1675.0</v>
      </c>
      <c r="M62" s="57">
        <v>4.0</v>
      </c>
      <c r="N62" s="31"/>
      <c r="O62" s="31"/>
      <c r="P62" s="31"/>
    </row>
    <row r="63" ht="30.0" customHeight="1">
      <c r="A63" s="37" t="s">
        <v>181</v>
      </c>
      <c r="B63" s="39">
        <v>1495.0</v>
      </c>
      <c r="C63" s="41">
        <f t="shared" si="1"/>
        <v>0</v>
      </c>
      <c r="D63" s="57">
        <v>21.0</v>
      </c>
      <c r="E63" s="46">
        <f t="shared" si="2"/>
        <v>0</v>
      </c>
      <c r="F63" s="42">
        <f t="shared" si="3"/>
        <v>0.01404682274</v>
      </c>
      <c r="G63" s="73">
        <v>34.0</v>
      </c>
      <c r="H63" s="73">
        <v>231.0</v>
      </c>
      <c r="I63" s="52" t="str">
        <f>HYPERLINK("https://www.koronavirus.hr/najnovije/ukupno-dosad-1495-osoba-zarazenih-koronavirusom/35","Source")</f>
        <v>Source</v>
      </c>
      <c r="J63" s="94"/>
      <c r="K63" s="66" t="s">
        <v>24</v>
      </c>
      <c r="L63" s="39">
        <v>1495.0</v>
      </c>
      <c r="M63" s="57">
        <v>21.0</v>
      </c>
      <c r="N63" s="31"/>
      <c r="O63" s="31"/>
      <c r="P63" s="31"/>
    </row>
    <row r="64" ht="30.0" customHeight="1">
      <c r="A64" s="37" t="s">
        <v>182</v>
      </c>
      <c r="B64" s="39">
        <v>1448.0</v>
      </c>
      <c r="C64" s="41">
        <f t="shared" si="1"/>
        <v>0</v>
      </c>
      <c r="D64" s="57">
        <v>107.0</v>
      </c>
      <c r="E64" s="46">
        <f t="shared" si="2"/>
        <v>0</v>
      </c>
      <c r="F64" s="59">
        <f t="shared" si="3"/>
        <v>0.07389502762</v>
      </c>
      <c r="G64" s="73" t="s">
        <v>22</v>
      </c>
      <c r="H64" s="73">
        <v>122.0</v>
      </c>
      <c r="I64" s="52" t="str">
        <f>HYPERLINK("http://www.covidmaroc.ma/Pages/AccueilAR.aspx","Source")</f>
        <v>Source</v>
      </c>
      <c r="J64" s="67"/>
      <c r="K64" s="66" t="s">
        <v>183</v>
      </c>
      <c r="L64" s="39">
        <v>1448.0</v>
      </c>
      <c r="M64" s="57">
        <v>107.0</v>
      </c>
      <c r="N64" s="31"/>
      <c r="O64" s="31"/>
      <c r="P64" s="31"/>
    </row>
    <row r="65" ht="27.75" customHeight="1">
      <c r="A65" s="37" t="s">
        <v>184</v>
      </c>
      <c r="B65" s="39">
        <v>1438.0</v>
      </c>
      <c r="C65" s="41">
        <f t="shared" si="1"/>
        <v>0</v>
      </c>
      <c r="D65" s="57">
        <v>29.0</v>
      </c>
      <c r="E65" s="46">
        <f t="shared" si="2"/>
        <v>0</v>
      </c>
      <c r="F65" s="59">
        <f t="shared" si="3"/>
        <v>0.02016689847</v>
      </c>
      <c r="G65" s="73" t="s">
        <v>22</v>
      </c>
      <c r="H65" s="73">
        <v>56.0</v>
      </c>
      <c r="I65" s="52" t="str">
        <f>HYPERLINK("https://gismoldova.maps.arcgis.com/apps/opsdashboard/index.html#/d274da857ed345efa66e1fbc959b021b","Source")</f>
        <v>Source</v>
      </c>
      <c r="J65" s="51"/>
      <c r="K65" s="66" t="s">
        <v>24</v>
      </c>
      <c r="L65" s="39">
        <v>1438.0</v>
      </c>
      <c r="M65" s="57">
        <v>29.0</v>
      </c>
      <c r="N65" s="31"/>
      <c r="O65" s="31"/>
      <c r="P65" s="31"/>
    </row>
    <row r="66" ht="30.0" customHeight="1">
      <c r="A66" s="37" t="s">
        <v>186</v>
      </c>
      <c r="B66" s="39">
        <v>1312.0</v>
      </c>
      <c r="C66" s="41">
        <f t="shared" si="1"/>
        <v>0</v>
      </c>
      <c r="D66" s="57">
        <v>4.0</v>
      </c>
      <c r="E66" s="46">
        <f t="shared" si="2"/>
        <v>0</v>
      </c>
      <c r="F66" s="42">
        <f t="shared" si="3"/>
        <v>0.003048780488</v>
      </c>
      <c r="G66" s="73">
        <v>5.0</v>
      </c>
      <c r="H66" s="73">
        <v>422.0</v>
      </c>
      <c r="I66" s="52" t="str">
        <f>HYPERLINK("https://www.health.govt.nz/news-media/media-releases/second-death-linked-covid-19-44-new-cases","Source")</f>
        <v>Source</v>
      </c>
      <c r="J66" s="51"/>
      <c r="K66" s="33"/>
      <c r="L66" s="39">
        <v>1312.0</v>
      </c>
      <c r="M66" s="57">
        <v>4.0</v>
      </c>
      <c r="N66" s="31"/>
      <c r="O66" s="31"/>
      <c r="P66" s="31"/>
    </row>
    <row r="67" ht="30.0" customHeight="1">
      <c r="A67" s="37" t="s">
        <v>188</v>
      </c>
      <c r="B67" s="39">
        <v>1279.0</v>
      </c>
      <c r="C67" s="41">
        <f t="shared" si="1"/>
        <v>0</v>
      </c>
      <c r="D67" s="57">
        <v>70.0</v>
      </c>
      <c r="E67" s="46">
        <f t="shared" si="2"/>
        <v>0</v>
      </c>
      <c r="F67" s="59">
        <f t="shared" si="3"/>
        <v>0.05473025801</v>
      </c>
      <c r="G67" s="73" t="s">
        <v>22</v>
      </c>
      <c r="H67" s="73">
        <v>550.0</v>
      </c>
      <c r="I67" s="52" t="str">
        <f>HYPERLINK("https://www.facebook.com/MOH.GOV.IQ/photos/a.860171854037214/2862614777126235/?type=3&amp;__xts__%5B0%5D=68.ARCyw8oRVWqDR3--B_xnMyalNWePI--W54Cdr2lXWmXffeq4yqf0kSx0c_yHj5N1UgyGt5dxejoLs3o74s6gay8Ym-ptCnLXJqNakJ2GbDMLZwvmGS9utvCiszYlg_xNjOYn3ED4bmmJuN7BudFcIPq"&amp;"jBMcq9afg6e6IVJo0jFVlYUq-rTOZvbB0i_0UAfRrqRDKbegDiDWa4pwFdMbnKcA1Bkau4DyVujXYbwsR_G69N0TgUYvMgIEo0OJnsy1bV6KjnWSVh5zc4BZycv2gfRKa3mlTVAPGiNh-qgJn1Py2bg6uHZFHpXpUTRDH_PPUSBUkpDDV2HhmF28UQCfQYMoLQw&amp;__tn__=-R","Source")</f>
        <v>Source</v>
      </c>
      <c r="J67" s="51"/>
      <c r="K67" s="66" t="s">
        <v>24</v>
      </c>
      <c r="L67" s="39">
        <v>1279.0</v>
      </c>
      <c r="M67" s="57">
        <v>70.0</v>
      </c>
      <c r="N67" s="31"/>
      <c r="O67" s="31"/>
      <c r="P67" s="31"/>
    </row>
    <row r="68" ht="30.0" customHeight="1">
      <c r="A68" s="37" t="s">
        <v>192</v>
      </c>
      <c r="B68" s="39">
        <v>1258.0</v>
      </c>
      <c r="C68" s="41">
        <f t="shared" si="1"/>
        <v>0</v>
      </c>
      <c r="D68" s="57">
        <v>24.0</v>
      </c>
      <c r="E68" s="46">
        <f t="shared" si="2"/>
        <v>0</v>
      </c>
      <c r="F68" s="42">
        <f t="shared" si="3"/>
        <v>0.01907790143</v>
      </c>
      <c r="G68" s="73">
        <v>12.0</v>
      </c>
      <c r="H68" s="73">
        <v>69.0</v>
      </c>
      <c r="I68" s="96" t="str">
        <f>HYPERLINK("https://www.terviseamet.ee/et/uudised/oopaevaga-lisandus-42-positiivset-testi","Source")</f>
        <v>Source</v>
      </c>
      <c r="J68" s="51"/>
      <c r="K68" s="66" t="s">
        <v>24</v>
      </c>
      <c r="L68" s="39">
        <v>1258.0</v>
      </c>
      <c r="M68" s="57">
        <v>24.0</v>
      </c>
      <c r="N68" s="31"/>
      <c r="O68" s="31"/>
      <c r="P68" s="31"/>
    </row>
    <row r="69" ht="30.0" customHeight="1">
      <c r="A69" s="37" t="s">
        <v>194</v>
      </c>
      <c r="B69" s="39">
        <v>1190.0</v>
      </c>
      <c r="C69" s="41">
        <f t="shared" si="1"/>
        <v>0</v>
      </c>
      <c r="D69" s="57">
        <v>77.0</v>
      </c>
      <c r="E69" s="46">
        <f t="shared" si="2"/>
        <v>0</v>
      </c>
      <c r="F69" s="42">
        <f t="shared" si="3"/>
        <v>0.06470588235</v>
      </c>
      <c r="G69" s="73">
        <v>23.0</v>
      </c>
      <c r="H69" s="73">
        <v>112.0</v>
      </c>
      <c r="I69" s="52" t="str">
        <f>HYPERLINK("https://koronavirus.gov.hu/elhunytak","Source")</f>
        <v>Source</v>
      </c>
      <c r="J69" s="51"/>
      <c r="K69" s="66" t="s">
        <v>24</v>
      </c>
      <c r="L69" s="39">
        <v>1190.0</v>
      </c>
      <c r="M69" s="57">
        <v>77.0</v>
      </c>
      <c r="N69" s="31"/>
      <c r="O69" s="31"/>
      <c r="P69" s="31"/>
    </row>
    <row r="70" ht="27.75" customHeight="1">
      <c r="A70" s="37" t="s">
        <v>198</v>
      </c>
      <c r="B70" s="39">
        <v>1160.0</v>
      </c>
      <c r="C70" s="41">
        <f t="shared" si="1"/>
        <v>0</v>
      </c>
      <c r="D70" s="57">
        <v>45.0</v>
      </c>
      <c r="E70" s="46">
        <f t="shared" si="2"/>
        <v>0</v>
      </c>
      <c r="F70" s="59">
        <f t="shared" si="3"/>
        <v>0.03879310345</v>
      </c>
      <c r="G70" s="73">
        <v>36.0</v>
      </c>
      <c r="H70" s="73">
        <v>92.0</v>
      </c>
      <c r="I70" s="52" t="str">
        <f>HYPERLINK("https://www.gov.si/en/topics/coronavirus-disease-covid-19/","Source")</f>
        <v>Source</v>
      </c>
      <c r="J70" s="51"/>
      <c r="K70" s="66" t="s">
        <v>24</v>
      </c>
      <c r="L70" s="39">
        <v>1160.0</v>
      </c>
      <c r="M70" s="57">
        <v>45.0</v>
      </c>
      <c r="N70" s="31"/>
      <c r="O70" s="31"/>
      <c r="P70" s="31"/>
    </row>
    <row r="71" ht="30.0" customHeight="1">
      <c r="A71" s="37" t="s">
        <v>201</v>
      </c>
      <c r="B71" s="57">
        <v>999.0</v>
      </c>
      <c r="C71" s="41">
        <f t="shared" si="1"/>
        <v>0</v>
      </c>
      <c r="D71" s="57">
        <v>17.0</v>
      </c>
      <c r="E71" s="46">
        <f t="shared" si="2"/>
        <v>0</v>
      </c>
      <c r="F71" s="42">
        <f t="shared" si="3"/>
        <v>0.01701701702</v>
      </c>
      <c r="G71" s="73" t="s">
        <v>22</v>
      </c>
      <c r="H71" s="73">
        <v>8.0</v>
      </c>
      <c r="I71" s="52" t="str">
        <f>HYPERLINK("http://sam.lrv.lt/koronavirusas","Source")</f>
        <v>Source</v>
      </c>
      <c r="J71" s="94"/>
      <c r="K71" s="66" t="s">
        <v>24</v>
      </c>
      <c r="L71" s="57">
        <v>999.0</v>
      </c>
      <c r="M71" s="57">
        <v>17.0</v>
      </c>
      <c r="N71" s="31"/>
      <c r="O71" s="31"/>
      <c r="P71" s="31"/>
    </row>
    <row r="72" ht="30.0" customHeight="1">
      <c r="A72" s="37" t="s">
        <v>206</v>
      </c>
      <c r="B72" s="57">
        <v>993.0</v>
      </c>
      <c r="C72" s="41">
        <f t="shared" si="1"/>
        <v>0</v>
      </c>
      <c r="D72" s="57">
        <v>1.0</v>
      </c>
      <c r="E72" s="46">
        <f t="shared" si="2"/>
        <v>0</v>
      </c>
      <c r="F72" s="42">
        <f t="shared" si="3"/>
        <v>0.001007049345</v>
      </c>
      <c r="G72" s="73">
        <v>26.0</v>
      </c>
      <c r="H72" s="73">
        <v>123.0</v>
      </c>
      <c r="I72" s="52" t="str">
        <f>HYPERLINK("https://twitter.com/KUWAIT_MOH/status/1248540212273336321","Source")</f>
        <v>Source</v>
      </c>
      <c r="J72" s="51"/>
      <c r="K72" s="66" t="s">
        <v>24</v>
      </c>
      <c r="L72" s="57">
        <v>993.0</v>
      </c>
      <c r="M72" s="57">
        <v>1.0</v>
      </c>
      <c r="N72" s="31"/>
      <c r="O72" s="31"/>
      <c r="P72" s="31"/>
    </row>
    <row r="73" ht="30.0" customHeight="1">
      <c r="A73" s="37" t="s">
        <v>212</v>
      </c>
      <c r="B73" s="57">
        <v>991.0</v>
      </c>
      <c r="C73" s="41">
        <f t="shared" si="1"/>
        <v>0</v>
      </c>
      <c r="D73" s="57">
        <v>10.0</v>
      </c>
      <c r="E73" s="46">
        <f t="shared" si="2"/>
        <v>0</v>
      </c>
      <c r="F73" s="42">
        <f t="shared" si="3"/>
        <v>0.01009081736</v>
      </c>
      <c r="G73" s="73">
        <v>40.0</v>
      </c>
      <c r="H73" s="73">
        <v>159.0</v>
      </c>
      <c r="I73" s="52" t="str">
        <f>HYPERLINK("https://koronavirusinfo.az/az","Source")</f>
        <v>Source</v>
      </c>
      <c r="J73" s="94"/>
      <c r="K73" s="33"/>
      <c r="L73" s="57">
        <v>991.0</v>
      </c>
      <c r="M73" s="57">
        <v>10.0</v>
      </c>
      <c r="N73" s="31"/>
      <c r="O73" s="31"/>
      <c r="P73" s="31"/>
    </row>
    <row r="74" ht="30.0" customHeight="1">
      <c r="A74" s="37" t="s">
        <v>215</v>
      </c>
      <c r="B74" s="57">
        <v>990.0</v>
      </c>
      <c r="C74" s="41">
        <f t="shared" si="1"/>
        <v>0</v>
      </c>
      <c r="D74" s="57">
        <v>4.0</v>
      </c>
      <c r="E74" s="46">
        <f t="shared" si="2"/>
        <v>0</v>
      </c>
      <c r="F74" s="59">
        <f t="shared" si="3"/>
        <v>0.00404040404</v>
      </c>
      <c r="G74" s="73">
        <v>15.0</v>
      </c>
      <c r="H74" s="73">
        <v>309.0</v>
      </c>
      <c r="I74" s="96" t="str">
        <f>HYPERLINK("https://chp-dashboard.geodata.gov.hk/covid-19/en.html","Source")</f>
        <v>Source</v>
      </c>
      <c r="J74" s="51"/>
      <c r="K74" s="66" t="s">
        <v>24</v>
      </c>
      <c r="L74" s="57">
        <v>990.0</v>
      </c>
      <c r="M74" s="57">
        <v>4.0</v>
      </c>
      <c r="N74" s="31"/>
      <c r="O74" s="31"/>
      <c r="P74" s="31"/>
    </row>
    <row r="75" ht="30.0" customHeight="1">
      <c r="A75" s="37" t="s">
        <v>216</v>
      </c>
      <c r="B75" s="57">
        <v>937.0</v>
      </c>
      <c r="C75" s="41">
        <f t="shared" si="1"/>
        <v>0</v>
      </c>
      <c r="D75" s="57">
        <v>11.0</v>
      </c>
      <c r="E75" s="46">
        <f t="shared" si="2"/>
        <v>0</v>
      </c>
      <c r="F75" s="59">
        <f t="shared" si="3"/>
        <v>0.01173959445</v>
      </c>
      <c r="G75" s="73" t="s">
        <v>22</v>
      </c>
      <c r="H75" s="73">
        <v>149.0</v>
      </c>
      <c r="I75" s="52" t="str">
        <f>HYPERLINK("https://en.armradio.am/2020/04/10/armenia-reports-16-new-cases-of-covid-19/","Source")</f>
        <v>Source</v>
      </c>
      <c r="J75" s="51"/>
      <c r="K75" s="33"/>
      <c r="L75" s="57">
        <v>937.0</v>
      </c>
      <c r="M75" s="57">
        <v>11.0</v>
      </c>
      <c r="N75" s="31"/>
      <c r="O75" s="31"/>
      <c r="P75" s="31"/>
    </row>
    <row r="76" ht="30.0" customHeight="1">
      <c r="A76" s="37" t="s">
        <v>220</v>
      </c>
      <c r="B76" s="57">
        <v>913.0</v>
      </c>
      <c r="C76" s="41">
        <f t="shared" si="1"/>
        <v>0</v>
      </c>
      <c r="D76" s="57">
        <v>6.0</v>
      </c>
      <c r="E76" s="46">
        <f t="shared" si="2"/>
        <v>0</v>
      </c>
      <c r="F76" s="42">
        <f t="shared" si="3"/>
        <v>0.006571741512</v>
      </c>
      <c r="G76" s="73">
        <v>3.0</v>
      </c>
      <c r="H76" s="73">
        <v>530.0</v>
      </c>
      <c r="I76" s="52" t="str">
        <f>HYPERLINK("https://www.moh.gov.bh/COVID19","Source")</f>
        <v>Source</v>
      </c>
      <c r="J76" s="94"/>
      <c r="K76" s="66" t="s">
        <v>24</v>
      </c>
      <c r="L76" s="57">
        <v>913.0</v>
      </c>
      <c r="M76" s="57">
        <v>6.0</v>
      </c>
      <c r="N76" s="31"/>
      <c r="O76" s="31"/>
      <c r="P76" s="31"/>
    </row>
    <row r="77" ht="27.75" customHeight="1">
      <c r="A77" s="37" t="s">
        <v>224</v>
      </c>
      <c r="B77" s="57">
        <v>901.0</v>
      </c>
      <c r="C77" s="41">
        <f t="shared" si="1"/>
        <v>0</v>
      </c>
      <c r="D77" s="57">
        <v>37.0</v>
      </c>
      <c r="E77" s="46">
        <f t="shared" si="2"/>
        <v>0</v>
      </c>
      <c r="F77" s="42">
        <f t="shared" si="3"/>
        <v>0.0410654828</v>
      </c>
      <c r="G77" s="73" t="s">
        <v>22</v>
      </c>
      <c r="H77" s="73">
        <v>129.0</v>
      </c>
      <c r="I77" s="52" t="str">
        <f>HYPERLINK("https://www.klix.ba/vijesti/bih/u-bih-15-novih-slucajeva-koronavirusa-broj-zarazenih-porastao-na-901/200410186","Source")</f>
        <v>Source</v>
      </c>
      <c r="J77" s="51"/>
      <c r="K77" s="66" t="s">
        <v>24</v>
      </c>
      <c r="L77" s="57">
        <v>901.0</v>
      </c>
      <c r="M77" s="57">
        <v>37.0</v>
      </c>
      <c r="N77" s="31"/>
      <c r="O77" s="31"/>
      <c r="P77" s="31"/>
    </row>
    <row r="78" ht="27.75" customHeight="1">
      <c r="A78" s="37" t="s">
        <v>228</v>
      </c>
      <c r="B78" s="57">
        <v>820.0</v>
      </c>
      <c r="C78" s="41">
        <f t="shared" si="1"/>
        <v>0</v>
      </c>
      <c r="D78" s="57">
        <v>12.0</v>
      </c>
      <c r="E78" s="46">
        <f t="shared" si="2"/>
        <v>0</v>
      </c>
      <c r="F78" s="42">
        <f t="shared" si="3"/>
        <v>0.01463414634</v>
      </c>
      <c r="G78" s="73" t="s">
        <v>22</v>
      </c>
      <c r="H78" s="73">
        <v>98.0</v>
      </c>
      <c r="I78" s="52" t="str">
        <f>HYPERLINK("https://twitter.com/CRTV_web/status/1248685444486873089","Source")</f>
        <v>Source</v>
      </c>
      <c r="J78" s="51"/>
      <c r="K78" s="66" t="s">
        <v>24</v>
      </c>
      <c r="L78" s="57">
        <v>820.0</v>
      </c>
      <c r="M78" s="57">
        <v>12.0</v>
      </c>
      <c r="N78" s="31"/>
      <c r="O78" s="31"/>
      <c r="P78" s="31"/>
    </row>
    <row r="79" ht="30.0" customHeight="1">
      <c r="A79" s="37" t="s">
        <v>231</v>
      </c>
      <c r="B79" s="57">
        <v>764.0</v>
      </c>
      <c r="C79" s="41">
        <f t="shared" si="1"/>
        <v>0</v>
      </c>
      <c r="D79" s="57">
        <v>6.0</v>
      </c>
      <c r="E79" s="46">
        <f t="shared" si="2"/>
        <v>0</v>
      </c>
      <c r="F79" s="59">
        <f t="shared" si="3"/>
        <v>0.007853403141</v>
      </c>
      <c r="G79" s="73" t="s">
        <v>22</v>
      </c>
      <c r="H79" s="73">
        <v>58.0</v>
      </c>
      <c r="I79" s="52" t="str">
        <f>HYPERLINK("https://www.facebook.com/MinzdravRK/posts/1453057844872073?__xts__%5B0%5D=68.ARAPbJU4-_DqjGDkcv1oQKQssFCC1TxSI6ctdy4oj0SH-r19IiSfZI7uzoFIo8OQ_S0T7wTMBg4nRq0C5eEdCgl1LWzLJC_nj6xwbmbUWxkwp5FlUJsGWkZPzDv0OPB_vRfqGfbOjgYNzu9Dika0ooizenSmx-9CvSwD4VBG-rNi5fJAe0"&amp;"qDCtYOkOwAnNJMATCUt-KrrxHb0BuMqRv6RrrUj5iYSYhdp2vFj_3c4GUcJ1vtgqez3Solk6Vt2yoLxcLT-SL4vIb-Cg3Y8y9F6na92nxmPHhi7mh2ADphPt5j7wMekqTNRTeizM_oL0PLGjNgVQt7RqqleItmg-WIbcgROQ&amp;__tn__=-R","Source")</f>
        <v>Source</v>
      </c>
      <c r="J79" s="67"/>
      <c r="K79" s="66" t="s">
        <v>48</v>
      </c>
      <c r="L79" s="57">
        <v>764.0</v>
      </c>
      <c r="M79" s="57">
        <v>6.0</v>
      </c>
      <c r="N79" s="31"/>
      <c r="O79" s="31"/>
      <c r="P79" s="31"/>
    </row>
    <row r="80" ht="30.0" customHeight="1">
      <c r="A80" s="37" t="s">
        <v>238</v>
      </c>
      <c r="B80" s="57">
        <v>715.0</v>
      </c>
      <c r="C80" s="41">
        <f t="shared" si="1"/>
        <v>0</v>
      </c>
      <c r="D80" s="57">
        <v>2.0</v>
      </c>
      <c r="E80" s="46">
        <f t="shared" si="2"/>
        <v>0</v>
      </c>
      <c r="F80" s="42">
        <f t="shared" si="3"/>
        <v>0.002797202797</v>
      </c>
      <c r="G80" s="73" t="s">
        <v>22</v>
      </c>
      <c r="H80" s="73">
        <v>23.0</v>
      </c>
      <c r="I80" s="52" t="str">
        <f>HYPERLINK("https://ezdravie.nczisk.sk/sk?category=COVID","Source")</f>
        <v>Source</v>
      </c>
      <c r="J80" s="51"/>
      <c r="K80" s="66" t="s">
        <v>24</v>
      </c>
      <c r="L80" s="57">
        <v>715.0</v>
      </c>
      <c r="M80" s="57">
        <v>2.0</v>
      </c>
      <c r="N80" s="31"/>
      <c r="O80" s="31"/>
      <c r="P80" s="31"/>
    </row>
    <row r="81" ht="30.0" customHeight="1">
      <c r="A81" s="37" t="s">
        <v>241</v>
      </c>
      <c r="B81" s="57">
        <v>712.0</v>
      </c>
      <c r="C81" s="41">
        <f t="shared" si="1"/>
        <v>0</v>
      </c>
      <c r="D81" s="57">
        <v>12.0</v>
      </c>
      <c r="E81" s="46">
        <f t="shared" si="2"/>
        <v>0</v>
      </c>
      <c r="F81" s="59">
        <f t="shared" si="3"/>
        <v>0.01685393258</v>
      </c>
      <c r="G81" s="73">
        <v>7.0</v>
      </c>
      <c r="H81" s="73">
        <v>639.0</v>
      </c>
      <c r="I81" s="52" t="str">
        <f>HYPERLINK("https://www3.nhk.or.jp/news/html/20200410/k10012381221000.html?utm_int=word_contents_list-items_061&amp;word_result=%E6%96%B0%E5%9E%8B%E3%82%B3%E3%83%AD%E3%83%8A%E3%82%A6%E3%82%A4%E3%83%AB%E3%82%B9","Source")</f>
        <v>Source</v>
      </c>
      <c r="J81" s="29"/>
      <c r="K81" s="33"/>
      <c r="L81" s="57">
        <v>712.0</v>
      </c>
      <c r="M81" s="57">
        <v>12.0</v>
      </c>
      <c r="N81" s="31"/>
      <c r="O81" s="31"/>
      <c r="P81" s="31"/>
    </row>
    <row r="82" ht="30.0" customHeight="1">
      <c r="A82" s="37" t="s">
        <v>245</v>
      </c>
      <c r="B82" s="57">
        <v>711.0</v>
      </c>
      <c r="C82" s="41">
        <f t="shared" si="1"/>
        <v>0</v>
      </c>
      <c r="D82" s="57">
        <v>32.0</v>
      </c>
      <c r="E82" s="46">
        <f t="shared" si="2"/>
        <v>0</v>
      </c>
      <c r="F82" s="59">
        <f t="shared" si="3"/>
        <v>0.04500703235</v>
      </c>
      <c r="G82" s="73" t="s">
        <v>22</v>
      </c>
      <c r="H82" s="73">
        <v>41.0</v>
      </c>
      <c r="I82" s="52" t="str">
        <f>HYPERLINK("https://koronavirus.gov.mk/vesti#stat","Source")</f>
        <v>Source</v>
      </c>
      <c r="J82" s="51"/>
      <c r="K82" s="66" t="s">
        <v>24</v>
      </c>
      <c r="L82" s="57">
        <v>711.0</v>
      </c>
      <c r="M82" s="57">
        <v>32.0</v>
      </c>
      <c r="N82" s="31"/>
      <c r="O82" s="31"/>
      <c r="P82" s="31"/>
    </row>
    <row r="83" ht="30.0" customHeight="1">
      <c r="A83" s="37" t="s">
        <v>248</v>
      </c>
      <c r="B83" s="57">
        <v>671.0</v>
      </c>
      <c r="C83" s="41">
        <f t="shared" si="1"/>
        <v>0</v>
      </c>
      <c r="D83" s="57">
        <v>25.0</v>
      </c>
      <c r="E83" s="46">
        <f t="shared" si="2"/>
        <v>0</v>
      </c>
      <c r="F83" s="42">
        <f t="shared" si="3"/>
        <v>0.03725782414</v>
      </c>
      <c r="G83" s="73" t="s">
        <v>22</v>
      </c>
      <c r="H83" s="73">
        <v>5.0</v>
      </c>
      <c r="I83" s="52" t="str">
        <f>HYPERLINK("https://www.facebook.com/santetunisie.rns.tn/photos/a.186499378055841/3015632005142550/?type=3&amp;__xts__%5B0%5D=68.ARB5fOuYjqfQzHNJLOzZ05AzqNSIZB3mhxNM1kiud6wVwLFRXAAAFJEjV6Y3Vya6k_tD0C-XMyGvhb52ssrUDVTpLB4OfJsCZDKRNhA7oYr7MToPI4mZ5U791eZF8H_ovWRAJkcQxO9lSw"&amp;"pebxaA5h0heye64iynRUjqRKUqCKwcBzjCa2xrdEze7ZIonZeb3j5AfBSWydtIZrodBkf9pn63MegnjRxdAckl5rmsFEacWxUtELjWyulkdZtAIBeFDY0dYaKCdg0XkrQb3AZT25ODJl9O-tdbE6ikUsU3frT0Yw1s8QUCdk8y1RkCn_FP2Tnv3hIF1he6aGEMpkz1PdGcAQ&amp;__tn__=-R","Source")</f>
        <v>Source</v>
      </c>
      <c r="J83" s="51"/>
      <c r="K83" s="33"/>
      <c r="L83" s="57">
        <v>671.0</v>
      </c>
      <c r="M83" s="57">
        <v>25.0</v>
      </c>
      <c r="N83" s="31"/>
      <c r="O83" s="31"/>
      <c r="P83" s="31"/>
    </row>
    <row r="84" ht="30.0" customHeight="1">
      <c r="A84" s="37" t="s">
        <v>252</v>
      </c>
      <c r="B84" s="57">
        <v>669.0</v>
      </c>
      <c r="C84" s="41">
        <f t="shared" si="1"/>
        <v>0</v>
      </c>
      <c r="D84" s="57">
        <v>2.0</v>
      </c>
      <c r="E84" s="46">
        <f t="shared" si="2"/>
        <v>0</v>
      </c>
      <c r="F84" s="42">
        <f t="shared" si="3"/>
        <v>0.002989536622</v>
      </c>
      <c r="G84" s="73">
        <v>9.0</v>
      </c>
      <c r="H84" s="73">
        <v>30.0</v>
      </c>
      <c r="I84" s="52" t="str">
        <f>HYPERLINK("https://t.me/s/ssvuz","Source")</f>
        <v>Source</v>
      </c>
      <c r="J84" s="115"/>
      <c r="K84" s="66" t="s">
        <v>48</v>
      </c>
      <c r="L84" s="57">
        <v>669.0</v>
      </c>
      <c r="M84" s="57">
        <v>2.0</v>
      </c>
      <c r="N84" s="31"/>
      <c r="O84" s="31"/>
      <c r="P84" s="31"/>
    </row>
    <row r="85" ht="30.0" customHeight="1">
      <c r="A85" s="37" t="s">
        <v>254</v>
      </c>
      <c r="B85" s="57">
        <v>635.0</v>
      </c>
      <c r="C85" s="41">
        <f t="shared" si="1"/>
        <v>0</v>
      </c>
      <c r="D85" s="57">
        <v>25.0</v>
      </c>
      <c r="E85" s="46">
        <f t="shared" si="2"/>
        <v>0</v>
      </c>
      <c r="F85" s="42">
        <f t="shared" si="3"/>
        <v>0.03937007874</v>
      </c>
      <c r="G85" s="73">
        <v>33.0</v>
      </c>
      <c r="H85" s="73">
        <v>54.0</v>
      </c>
      <c r="I85" s="52" t="str">
        <f>HYPERLINK("http://www.mh.government.bg/bg/novini/aktualno/635-sa-potvrdenite-sluchai-na-covid-19-u-nas/","Source")</f>
        <v>Source</v>
      </c>
      <c r="J85" s="67"/>
      <c r="K85" s="66" t="s">
        <v>74</v>
      </c>
      <c r="L85" s="57">
        <v>635.0</v>
      </c>
      <c r="M85" s="57">
        <v>25.0</v>
      </c>
      <c r="N85" s="31"/>
      <c r="O85" s="31"/>
      <c r="P85" s="31"/>
    </row>
    <row r="86" ht="30.0" customHeight="1">
      <c r="A86" s="37" t="s">
        <v>255</v>
      </c>
      <c r="B86" s="57">
        <v>612.0</v>
      </c>
      <c r="C86" s="41">
        <f t="shared" si="1"/>
        <v>0</v>
      </c>
      <c r="D86" s="57">
        <v>2.0</v>
      </c>
      <c r="E86" s="46">
        <f t="shared" si="2"/>
        <v>0</v>
      </c>
      <c r="F86" s="42">
        <f t="shared" si="3"/>
        <v>0.003267973856</v>
      </c>
      <c r="G86" s="73">
        <v>3.0</v>
      </c>
      <c r="H86" s="73" t="s">
        <v>22</v>
      </c>
      <c r="I86" s="52" t="str">
        <f>HYPERLINK("https://twitter.com/SPKCentrs/status/1247518068802084870","Source")</f>
        <v>Source</v>
      </c>
      <c r="J86" s="51"/>
      <c r="K86" s="33"/>
      <c r="L86" s="57">
        <v>612.0</v>
      </c>
      <c r="M86" s="57">
        <v>2.0</v>
      </c>
      <c r="N86" s="31"/>
      <c r="O86" s="31"/>
      <c r="P86" s="31"/>
    </row>
    <row r="87" ht="30.0" customHeight="1">
      <c r="A87" s="37" t="s">
        <v>256</v>
      </c>
      <c r="B87" s="57">
        <v>609.0</v>
      </c>
      <c r="C87" s="41">
        <f t="shared" si="1"/>
        <v>0</v>
      </c>
      <c r="D87" s="57">
        <v>20.0</v>
      </c>
      <c r="E87" s="46">
        <f t="shared" si="2"/>
        <v>0</v>
      </c>
      <c r="F87" s="59">
        <f t="shared" si="3"/>
        <v>0.0328407225</v>
      </c>
      <c r="G87" s="73">
        <v>28.0</v>
      </c>
      <c r="H87" s="73">
        <v>67.0</v>
      </c>
      <c r="I87" s="52" t="str">
        <f>HYPERLINK("https://corona.ministryinfo.gov.lb/?fbclid=IwAR3xVx5pwMVk5sTQfM_5bW8IcT4yJhIejV8paIIVMtkz00-xieZwbvXOi8I","Source")</f>
        <v>Source</v>
      </c>
      <c r="J87" s="51"/>
      <c r="K87" s="33"/>
      <c r="L87" s="57">
        <v>609.0</v>
      </c>
      <c r="M87" s="57">
        <v>20.0</v>
      </c>
      <c r="N87" s="31"/>
      <c r="O87" s="31"/>
      <c r="P87" s="31"/>
    </row>
    <row r="88" ht="30.0" customHeight="1">
      <c r="A88" s="37" t="s">
        <v>257</v>
      </c>
      <c r="B88" s="57">
        <v>601.0</v>
      </c>
      <c r="C88" s="41">
        <f t="shared" si="1"/>
        <v>0</v>
      </c>
      <c r="D88" s="57">
        <v>26.0</v>
      </c>
      <c r="E88" s="46">
        <f t="shared" si="2"/>
        <v>0</v>
      </c>
      <c r="F88" s="42">
        <f t="shared" si="3"/>
        <v>0.04326123128</v>
      </c>
      <c r="G88" s="73" t="s">
        <v>22</v>
      </c>
      <c r="H88" s="73">
        <v>71.0</v>
      </c>
      <c r="I88" s="52" t="str">
        <f>HYPERLINK("https://www.govern.ad/coronavirus","Source")</f>
        <v>Source</v>
      </c>
      <c r="J88" s="51"/>
      <c r="K88" s="66" t="s">
        <v>24</v>
      </c>
      <c r="L88" s="57">
        <v>601.0</v>
      </c>
      <c r="M88" s="57">
        <v>26.0</v>
      </c>
      <c r="N88" s="31"/>
      <c r="O88" s="31"/>
      <c r="P88" s="31"/>
    </row>
    <row r="89" ht="30.0" customHeight="1">
      <c r="A89" s="37" t="s">
        <v>258</v>
      </c>
      <c r="B89" s="57">
        <v>595.0</v>
      </c>
      <c r="C89" s="41">
        <f t="shared" si="1"/>
        <v>0</v>
      </c>
      <c r="D89" s="57">
        <v>15.0</v>
      </c>
      <c r="E89" s="46">
        <f t="shared" si="2"/>
        <v>0</v>
      </c>
      <c r="F89" s="59">
        <f t="shared" si="3"/>
        <v>0.02521008403</v>
      </c>
      <c r="G89" s="73">
        <v>15.0</v>
      </c>
      <c r="H89" s="73">
        <v>58.0</v>
      </c>
      <c r="I89" s="52" t="str">
        <f>HYPERLINK("https://in-cyprus.philenews.com/31-test-positive-for-covid-19-amid-signs-of-stabilisation/","Source")</f>
        <v>Source</v>
      </c>
      <c r="J89" s="51"/>
      <c r="K89" s="33"/>
      <c r="L89" s="57">
        <v>595.0</v>
      </c>
      <c r="M89" s="57">
        <v>15.0</v>
      </c>
      <c r="N89" s="31"/>
      <c r="O89" s="31"/>
      <c r="P89" s="31"/>
    </row>
    <row r="90" ht="27.75" customHeight="1">
      <c r="A90" s="37" t="s">
        <v>259</v>
      </c>
      <c r="B90" s="57">
        <v>564.0</v>
      </c>
      <c r="C90" s="41">
        <f t="shared" si="1"/>
        <v>0</v>
      </c>
      <c r="D90" s="57">
        <v>15.0</v>
      </c>
      <c r="E90" s="46">
        <f t="shared" si="2"/>
        <v>0</v>
      </c>
      <c r="F90" s="42">
        <f t="shared" si="3"/>
        <v>0.02659574468</v>
      </c>
      <c r="G90" s="73">
        <v>11.0</v>
      </c>
      <c r="H90" s="73">
        <v>51.0</v>
      </c>
      <c r="I90" s="52" t="str">
        <f>HYPERLINK("https://twitter.com/MINSAPCuba/status/1248627981523619842","Source")</f>
        <v>Source</v>
      </c>
      <c r="J90" s="51"/>
      <c r="K90" s="66" t="s">
        <v>24</v>
      </c>
      <c r="L90" s="57">
        <v>564.0</v>
      </c>
      <c r="M90" s="57">
        <v>15.0</v>
      </c>
      <c r="N90" s="31"/>
      <c r="O90" s="31"/>
      <c r="P90" s="31"/>
    </row>
    <row r="91" ht="30.0" customHeight="1">
      <c r="A91" s="37" t="s">
        <v>260</v>
      </c>
      <c r="B91" s="57">
        <v>558.0</v>
      </c>
      <c r="C91" s="41">
        <f t="shared" si="1"/>
        <v>0</v>
      </c>
      <c r="D91" s="57">
        <v>3.0</v>
      </c>
      <c r="E91" s="46">
        <f t="shared" si="2"/>
        <v>0</v>
      </c>
      <c r="F91" s="42">
        <f t="shared" si="3"/>
        <v>0.005376344086</v>
      </c>
      <c r="G91" s="73" t="s">
        <v>22</v>
      </c>
      <c r="H91" s="73">
        <v>42.0</v>
      </c>
      <c r="I91" s="52" t="str">
        <f>HYPERLINK("https://twitter.com/msaludcr/status/1248689697444036609","Source")</f>
        <v>Source</v>
      </c>
      <c r="J91" s="51"/>
      <c r="K91" s="66" t="s">
        <v>24</v>
      </c>
      <c r="L91" s="57">
        <v>558.0</v>
      </c>
      <c r="M91" s="57">
        <v>3.0</v>
      </c>
      <c r="N91" s="31"/>
      <c r="O91" s="31"/>
      <c r="P91" s="31"/>
    </row>
    <row r="92" ht="30.0" customHeight="1">
      <c r="A92" s="37" t="s">
        <v>261</v>
      </c>
      <c r="B92" s="57">
        <v>521.0</v>
      </c>
      <c r="C92" s="41">
        <f t="shared" si="1"/>
        <v>0</v>
      </c>
      <c r="D92" s="57">
        <v>15.0</v>
      </c>
      <c r="E92" s="46">
        <f t="shared" si="2"/>
        <v>0</v>
      </c>
      <c r="F92" s="59">
        <f t="shared" si="3"/>
        <v>0.02879078695</v>
      </c>
      <c r="G92" s="73" t="s">
        <v>22</v>
      </c>
      <c r="H92" s="73">
        <v>32.0</v>
      </c>
      <c r="I92" s="52" t="str">
        <f>HYPERLINK("https://uneplive.maps.arcgis.com/apps/opsdashboard/index.html#/4c8ca6b1d9bc44d6bde5e2fd54afc180","Source")</f>
        <v>Source</v>
      </c>
      <c r="J92" s="51"/>
      <c r="K92" s="33"/>
      <c r="L92" s="57">
        <v>521.0</v>
      </c>
      <c r="M92" s="57">
        <v>15.0</v>
      </c>
      <c r="N92" s="31"/>
      <c r="O92" s="31"/>
      <c r="P92" s="31"/>
    </row>
    <row r="93" ht="30.0" customHeight="1">
      <c r="A93" s="37" t="s">
        <v>262</v>
      </c>
      <c r="B93" s="57">
        <v>484.0</v>
      </c>
      <c r="C93" s="41">
        <f t="shared" si="1"/>
        <v>0</v>
      </c>
      <c r="D93" s="57">
        <v>3.0</v>
      </c>
      <c r="E93" s="46">
        <f t="shared" si="2"/>
        <v>0</v>
      </c>
      <c r="F93" s="42">
        <f t="shared" si="3"/>
        <v>0.006198347107</v>
      </c>
      <c r="G93" s="73">
        <v>0.0</v>
      </c>
      <c r="H93" s="73">
        <v>109.0</v>
      </c>
      <c r="I93" s="52" t="str">
        <f>HYPERLINK("https://covid19.moh.gov.om/#/home","Source")</f>
        <v>Source</v>
      </c>
      <c r="J93" s="94"/>
      <c r="K93" s="66" t="s">
        <v>24</v>
      </c>
      <c r="L93" s="57">
        <v>484.0</v>
      </c>
      <c r="M93" s="57">
        <v>3.0</v>
      </c>
      <c r="N93" s="31"/>
      <c r="O93" s="31"/>
      <c r="P93" s="31"/>
    </row>
    <row r="94" ht="27.75" customHeight="1">
      <c r="A94" s="37" t="s">
        <v>263</v>
      </c>
      <c r="B94" s="57">
        <v>480.0</v>
      </c>
      <c r="C94" s="41">
        <f t="shared" si="1"/>
        <v>0</v>
      </c>
      <c r="D94" s="57">
        <v>3.0</v>
      </c>
      <c r="E94" s="46">
        <f t="shared" si="2"/>
        <v>0</v>
      </c>
      <c r="F94" s="42">
        <f t="shared" si="3"/>
        <v>0.00625</v>
      </c>
      <c r="G94" s="73" t="s">
        <v>22</v>
      </c>
      <c r="H94" s="73">
        <v>54.0</v>
      </c>
      <c r="I94" s="52" t="str">
        <f>HYPERLINK("http://french.china.org.cn/foreign/txt/2020-04/11/content_75918443.htm","Source")</f>
        <v>Source</v>
      </c>
      <c r="J94" s="51"/>
      <c r="K94" s="33"/>
      <c r="L94" s="57">
        <v>480.0</v>
      </c>
      <c r="M94" s="57">
        <v>3.0</v>
      </c>
      <c r="N94" s="31"/>
      <c r="O94" s="31"/>
      <c r="P94" s="31"/>
    </row>
    <row r="95" ht="30.0" customHeight="1">
      <c r="A95" s="37" t="s">
        <v>264</v>
      </c>
      <c r="B95" s="57">
        <v>473.0</v>
      </c>
      <c r="C95" s="41">
        <f t="shared" si="1"/>
        <v>0</v>
      </c>
      <c r="D95" s="57">
        <v>7.0</v>
      </c>
      <c r="E95" s="46">
        <f t="shared" si="2"/>
        <v>0</v>
      </c>
      <c r="F95" s="59">
        <f t="shared" si="3"/>
        <v>0.01479915433</v>
      </c>
      <c r="G95" s="73">
        <v>13.0</v>
      </c>
      <c r="H95" s="73">
        <v>206.0</v>
      </c>
      <c r="I95" s="52" t="str">
        <f>HYPERLINK("https://www.gub.uy/sistema-nacional-emergencias/comunicacion/comunicados/informe-situacion-relacion-coronavirus-covid-19-uruguay-del-9420","Source")</f>
        <v>Source</v>
      </c>
      <c r="J95" s="51"/>
      <c r="K95" s="66" t="s">
        <v>24</v>
      </c>
      <c r="L95" s="57">
        <v>473.0</v>
      </c>
      <c r="M95" s="57">
        <v>7.0</v>
      </c>
      <c r="N95" s="31"/>
      <c r="O95" s="31"/>
      <c r="P95" s="31"/>
    </row>
    <row r="96" ht="27.75" customHeight="1">
      <c r="A96" s="37" t="s">
        <v>265</v>
      </c>
      <c r="B96" s="57">
        <v>443.0</v>
      </c>
      <c r="C96" s="41">
        <f t="shared" si="1"/>
        <v>0</v>
      </c>
      <c r="D96" s="57">
        <v>24.0</v>
      </c>
      <c r="E96" s="46">
        <f t="shared" si="2"/>
        <v>0</v>
      </c>
      <c r="F96" s="42">
        <f t="shared" si="3"/>
        <v>0.05417607223</v>
      </c>
      <c r="G96" s="73" t="s">
        <v>22</v>
      </c>
      <c r="H96" s="73">
        <v>146.0</v>
      </c>
      <c r="I96" s="52" t="str">
        <f>HYPERLINK("https://lefaso.net/spip.php?article96074","Source")</f>
        <v>Source</v>
      </c>
      <c r="J96" s="115"/>
      <c r="K96" s="33"/>
      <c r="L96" s="57">
        <v>443.0</v>
      </c>
      <c r="M96" s="57">
        <v>24.0</v>
      </c>
      <c r="N96" s="31"/>
      <c r="O96" s="31"/>
      <c r="P96" s="31"/>
    </row>
    <row r="97" ht="30.0" customHeight="1">
      <c r="A97" s="37" t="s">
        <v>266</v>
      </c>
      <c r="B97" s="57">
        <v>438.0</v>
      </c>
      <c r="C97" s="41">
        <f t="shared" si="1"/>
        <v>0</v>
      </c>
      <c r="D97" s="57">
        <v>11.0</v>
      </c>
      <c r="E97" s="46">
        <f t="shared" si="2"/>
        <v>0</v>
      </c>
      <c r="F97" s="59">
        <f t="shared" si="3"/>
        <v>0.02511415525</v>
      </c>
      <c r="G97" s="73" t="s">
        <v>22</v>
      </c>
      <c r="H97" s="73">
        <v>41.0</v>
      </c>
      <c r="I97" s="52" t="str">
        <f>HYPERLINK("https://coronavirus.ne/","Source")</f>
        <v>Source</v>
      </c>
      <c r="J97" s="51"/>
      <c r="K97" s="33"/>
      <c r="L97" s="57">
        <v>438.0</v>
      </c>
      <c r="M97" s="57">
        <v>11.0</v>
      </c>
      <c r="N97" s="31"/>
      <c r="O97" s="31"/>
      <c r="P97" s="158"/>
    </row>
    <row r="98" ht="27.75" customHeight="1">
      <c r="A98" s="37" t="s">
        <v>267</v>
      </c>
      <c r="B98" s="57">
        <v>424.0</v>
      </c>
      <c r="C98" s="41">
        <f t="shared" si="1"/>
        <v>0</v>
      </c>
      <c r="D98" s="57">
        <v>27.0</v>
      </c>
      <c r="E98" s="46">
        <f t="shared" si="2"/>
        <v>0</v>
      </c>
      <c r="F98" s="59">
        <f t="shared" si="3"/>
        <v>0.06367924528</v>
      </c>
      <c r="G98" s="73" t="s">
        <v>22</v>
      </c>
      <c r="H98" s="73">
        <v>33.0</v>
      </c>
      <c r="I98" s="52" t="str">
        <f>HYPERLINK("https://www.thedailystar.net/coronavirus-deadly-new-threat/news/bangladesh-reports-6-more-coronavirus-deaths-94-test-positive-24hrs-iedcr-1891474","Source")</f>
        <v>Source</v>
      </c>
      <c r="J98" s="51"/>
      <c r="K98" s="33"/>
      <c r="L98" s="57">
        <v>424.0</v>
      </c>
      <c r="M98" s="57">
        <v>27.0</v>
      </c>
      <c r="N98" s="31"/>
      <c r="O98" s="31"/>
      <c r="P98" s="31"/>
    </row>
    <row r="99" ht="30.0" customHeight="1">
      <c r="A99" s="37" t="s">
        <v>268</v>
      </c>
      <c r="B99" s="57">
        <v>416.0</v>
      </c>
      <c r="C99" s="41">
        <f t="shared" si="1"/>
        <v>0</v>
      </c>
      <c r="D99" s="57">
        <v>23.0</v>
      </c>
      <c r="E99" s="46">
        <f t="shared" si="2"/>
        <v>0</v>
      </c>
      <c r="F99" s="42">
        <f t="shared" si="3"/>
        <v>0.05528846154</v>
      </c>
      <c r="G99" s="73">
        <v>6.0</v>
      </c>
      <c r="H99" s="73">
        <v>182.0</v>
      </c>
      <c r="I99" s="52" t="str">
        <f>HYPERLINK("https://new.shendetesia.gov.al/covid-19-ministria-e-shendetesise-7-raste-te-reja-shkon-ne-416-numri-i-te-prekurve/","Source")</f>
        <v>Source</v>
      </c>
      <c r="J99" s="51"/>
      <c r="K99" s="66"/>
      <c r="L99" s="57">
        <v>416.0</v>
      </c>
      <c r="M99" s="57">
        <v>23.0</v>
      </c>
      <c r="N99" s="31"/>
      <c r="O99" s="31"/>
      <c r="P99" s="31"/>
    </row>
    <row r="100" ht="27.75" customHeight="1">
      <c r="A100" s="37" t="s">
        <v>269</v>
      </c>
      <c r="B100" s="57">
        <v>382.0</v>
      </c>
      <c r="C100" s="41">
        <f t="shared" si="1"/>
        <v>0</v>
      </c>
      <c r="D100" s="57">
        <v>23.0</v>
      </c>
      <c r="E100" s="46">
        <f t="shared" si="2"/>
        <v>0</v>
      </c>
      <c r="F100" s="59">
        <f t="shared" si="3"/>
        <v>0.06020942408</v>
      </c>
      <c r="G100" s="73" t="s">
        <v>22</v>
      </c>
      <c r="H100" s="73">
        <v>7.0</v>
      </c>
      <c r="I100" s="52" t="str">
        <f>HYPERLINK("https://covid19honduras.org/","Source")</f>
        <v>Source</v>
      </c>
      <c r="J100" s="115"/>
      <c r="K100" s="66" t="s">
        <v>24</v>
      </c>
      <c r="L100" s="57">
        <v>382.0</v>
      </c>
      <c r="M100" s="57">
        <v>23.0</v>
      </c>
      <c r="N100" s="31"/>
      <c r="O100" s="31"/>
      <c r="P100" s="31"/>
    </row>
    <row r="101" ht="30.0" customHeight="1">
      <c r="A101" s="37" t="s">
        <v>270</v>
      </c>
      <c r="B101" s="57">
        <v>382.0</v>
      </c>
      <c r="C101" s="41">
        <f t="shared" si="1"/>
        <v>0</v>
      </c>
      <c r="D101" s="57">
        <v>6.0</v>
      </c>
      <c r="E101" s="46">
        <f t="shared" si="2"/>
        <v>0</v>
      </c>
      <c r="F101" s="59">
        <f t="shared" si="3"/>
        <v>0.01570680628</v>
      </c>
      <c r="G101" s="73">
        <v>0.0</v>
      </c>
      <c r="H101" s="73">
        <v>80.0</v>
      </c>
      <c r="I101" s="52" t="str">
        <f>HYPERLINK("https://www.cdc.gov.tw/Bulletin/Detail/iZEuNqPALokd9Vsu4r433g?typeid=9","Source")</f>
        <v>Source</v>
      </c>
      <c r="J101" s="51"/>
      <c r="K101" s="66" t="s">
        <v>24</v>
      </c>
      <c r="L101" s="57">
        <v>382.0</v>
      </c>
      <c r="M101" s="57">
        <v>6.0</v>
      </c>
      <c r="N101" s="31"/>
      <c r="O101" s="31"/>
      <c r="P101" s="31"/>
    </row>
    <row r="102" ht="30.0" customHeight="1">
      <c r="A102" s="37" t="s">
        <v>271</v>
      </c>
      <c r="B102" s="57">
        <v>378.0</v>
      </c>
      <c r="C102" s="41">
        <f t="shared" si="1"/>
        <v>0</v>
      </c>
      <c r="D102" s="57">
        <v>6.0</v>
      </c>
      <c r="E102" s="46">
        <f t="shared" si="2"/>
        <v>0</v>
      </c>
      <c r="F102" s="59">
        <f t="shared" si="3"/>
        <v>0.01587301587</v>
      </c>
      <c r="G102" s="73">
        <v>2.0</v>
      </c>
      <c r="H102" s="73">
        <v>4.0</v>
      </c>
      <c r="I102" s="52" t="str">
        <f>HYPERLINK("https://www.ghanahealthservice.org/covid19/","Source")</f>
        <v>Source</v>
      </c>
      <c r="J102" s="51"/>
      <c r="K102" s="33"/>
      <c r="L102" s="57">
        <v>378.0</v>
      </c>
      <c r="M102" s="57">
        <v>6.0</v>
      </c>
      <c r="N102" s="31"/>
      <c r="O102" s="31"/>
      <c r="P102" s="31"/>
    </row>
    <row r="103" ht="30.0" customHeight="1">
      <c r="A103" s="37" t="s">
        <v>273</v>
      </c>
      <c r="B103" s="57">
        <v>372.0</v>
      </c>
      <c r="C103" s="41">
        <f t="shared" si="1"/>
        <v>0</v>
      </c>
      <c r="D103" s="57">
        <v>7.0</v>
      </c>
      <c r="E103" s="46">
        <f t="shared" si="2"/>
        <v>0</v>
      </c>
      <c r="F103" s="59">
        <f t="shared" si="3"/>
        <v>0.0188172043</v>
      </c>
      <c r="G103" s="73" t="s">
        <v>22</v>
      </c>
      <c r="H103" s="73">
        <v>170.0</v>
      </c>
      <c r="I103" s="52" t="str">
        <f>HYPERLINK("https://corona.moh.gov.jo/ar","Source")</f>
        <v>Source</v>
      </c>
      <c r="J103" s="51"/>
      <c r="K103" s="66" t="s">
        <v>24</v>
      </c>
      <c r="L103" s="57">
        <v>372.0</v>
      </c>
      <c r="M103" s="57">
        <v>7.0</v>
      </c>
      <c r="N103" s="31"/>
      <c r="O103" s="31"/>
      <c r="P103" s="31"/>
    </row>
    <row r="104" ht="27.75" customHeight="1">
      <c r="A104" s="37" t="s">
        <v>277</v>
      </c>
      <c r="B104" s="57">
        <v>350.0</v>
      </c>
      <c r="C104" s="41">
        <f t="shared" si="1"/>
        <v>0</v>
      </c>
      <c r="D104" s="57">
        <v>2.0</v>
      </c>
      <c r="E104" s="46">
        <f t="shared" si="2"/>
        <v>0</v>
      </c>
      <c r="F104" s="42">
        <f t="shared" si="3"/>
        <v>0.005714285714</v>
      </c>
      <c r="G104" s="73" t="s">
        <v>22</v>
      </c>
      <c r="H104" s="73">
        <v>5.0</v>
      </c>
      <c r="I104" s="52" t="str">
        <f>HYPERLINK("https://timesofmalta.com/articles/view/watch-live-health-authorities-announce-latest-coronavirus-cases.784667","Source")</f>
        <v>Source</v>
      </c>
      <c r="J104" s="51"/>
      <c r="K104" s="66" t="s">
        <v>24</v>
      </c>
      <c r="L104" s="57">
        <v>350.0</v>
      </c>
      <c r="M104" s="57">
        <v>2.0</v>
      </c>
      <c r="N104" s="31"/>
      <c r="O104" s="31"/>
      <c r="P104" s="31"/>
    </row>
    <row r="105" ht="30.0" customHeight="1">
      <c r="A105" s="37" t="s">
        <v>284</v>
      </c>
      <c r="B105" s="57">
        <v>344.0</v>
      </c>
      <c r="C105" s="41">
        <f t="shared" si="1"/>
        <v>0</v>
      </c>
      <c r="D105" s="57">
        <v>34.0</v>
      </c>
      <c r="E105" s="46">
        <f t="shared" si="2"/>
        <v>0</v>
      </c>
      <c r="F105" s="59">
        <f t="shared" si="3"/>
        <v>0.0988372093</v>
      </c>
      <c r="G105" s="73">
        <v>14.0</v>
      </c>
      <c r="H105" s="73">
        <v>50.0</v>
      </c>
      <c r="I105" s="52" t="str">
        <f>HYPERLINK("http://www.iss.sm/on-line/home/articolo49014248.html","Source")</f>
        <v>Source</v>
      </c>
      <c r="J105" s="119"/>
      <c r="K105" s="66" t="s">
        <v>24</v>
      </c>
      <c r="L105" s="57">
        <v>344.0</v>
      </c>
      <c r="M105" s="57">
        <v>34.0</v>
      </c>
      <c r="N105" s="31"/>
      <c r="O105" s="31"/>
      <c r="P105" s="31"/>
    </row>
    <row r="106" ht="30.0" customHeight="1">
      <c r="A106" s="37" t="s">
        <v>287</v>
      </c>
      <c r="B106" s="57">
        <v>318.0</v>
      </c>
      <c r="C106" s="41">
        <f t="shared" si="1"/>
        <v>0</v>
      </c>
      <c r="D106" s="57">
        <v>9.0</v>
      </c>
      <c r="E106" s="46">
        <f t="shared" si="2"/>
        <v>0</v>
      </c>
      <c r="F106" s="59">
        <f t="shared" si="3"/>
        <v>0.02830188679</v>
      </c>
      <c r="G106" s="73" t="s">
        <v>22</v>
      </c>
      <c r="H106" s="73">
        <v>8.0</v>
      </c>
      <c r="I106" s="52" t="str">
        <f>HYPERLINK("https://www.lemauricien.com/covid19/","Source")</f>
        <v>Source</v>
      </c>
      <c r="J106" s="51"/>
      <c r="K106" s="33"/>
      <c r="L106" s="57">
        <v>318.0</v>
      </c>
      <c r="M106" s="57">
        <v>9.0</v>
      </c>
      <c r="N106" s="31"/>
      <c r="O106" s="31"/>
      <c r="P106" s="31"/>
    </row>
    <row r="107" ht="30.0" customHeight="1">
      <c r="A107" s="37" t="s">
        <v>288</v>
      </c>
      <c r="B107" s="57">
        <v>305.0</v>
      </c>
      <c r="C107" s="41">
        <f t="shared" si="1"/>
        <v>0</v>
      </c>
      <c r="D107" s="57">
        <v>7.0</v>
      </c>
      <c r="E107" s="46">
        <f t="shared" si="2"/>
        <v>0</v>
      </c>
      <c r="F107" s="59">
        <f t="shared" si="3"/>
        <v>0.02295081967</v>
      </c>
      <c r="G107" s="73" t="s">
        <v>22</v>
      </c>
      <c r="H107" s="73">
        <v>58.0</v>
      </c>
      <c r="I107" s="52" t="str">
        <f>HYPERLINK("https://twitter.com/NCDCgov/status/1248712004564594689","Source")</f>
        <v>Source</v>
      </c>
      <c r="J107" s="51"/>
      <c r="K107" s="33"/>
      <c r="L107" s="57">
        <v>305.0</v>
      </c>
      <c r="M107" s="57">
        <v>7.0</v>
      </c>
      <c r="N107" s="31"/>
      <c r="O107" s="31"/>
      <c r="P107" s="31"/>
    </row>
    <row r="108" ht="30.0" customHeight="1">
      <c r="A108" s="37" t="s">
        <v>293</v>
      </c>
      <c r="B108" s="57">
        <v>298.0</v>
      </c>
      <c r="C108" s="41">
        <f t="shared" si="1"/>
        <v>0</v>
      </c>
      <c r="D108" s="57">
        <v>5.0</v>
      </c>
      <c r="E108" s="46">
        <f t="shared" si="2"/>
        <v>0</v>
      </c>
      <c r="F108" s="42">
        <f t="shared" si="3"/>
        <v>0.01677852349</v>
      </c>
      <c r="G108" s="73">
        <v>5.0</v>
      </c>
      <c r="H108" s="73">
        <v>30.0</v>
      </c>
      <c r="I108" s="52" t="str">
        <f>HYPERLINK("https://www.facebook.com/minzdravKR/posts/2821100248009280?__xts__%5B0%5D=68.ARB3sFhQlKr_t-FZIyJQBYofWeABC-QdnCTuUoqxTMllLxcisn0_unG4XEV7AJ80CGTGuxOLO_qQ1Evrjf6uQsPzv04U9V6ataMAEj-OWLmm5589g4VBJhdThuieJEQM8dlhmh3UkoO1p8K0R7Ascc74wknI9ozpyth-xQxvPg5kQdvxVG"&amp;"gZZxv6Bvn2C6KlO0z3SbpFkCNqu_iUg4D7x-SfldFtT6X3v3b6sfZSI-w2ThCAa3229YBmn7yFWEzn7VT-8a-r6JAwDvW1dPLyVilnFwdscWSlay01gI49yUff_Mieta6b82GLLhO2Y0NXfd4jHGAhK6gGLqJl870QNgXl5Q&amp;__tn__=-R","Source")</f>
        <v>Source</v>
      </c>
      <c r="J108" s="51"/>
      <c r="K108" s="33"/>
      <c r="L108" s="57">
        <v>298.0</v>
      </c>
      <c r="M108" s="57">
        <v>5.0</v>
      </c>
      <c r="N108" s="31"/>
      <c r="O108" s="31"/>
      <c r="P108" s="31"/>
    </row>
    <row r="109" ht="30.0" customHeight="1">
      <c r="A109" s="37" t="s">
        <v>290</v>
      </c>
      <c r="B109" s="57">
        <v>268.0</v>
      </c>
      <c r="C109" s="41">
        <f t="shared" si="1"/>
        <v>0</v>
      </c>
      <c r="D109" s="57">
        <v>19.0</v>
      </c>
      <c r="E109" s="46">
        <f t="shared" si="2"/>
        <v>0</v>
      </c>
      <c r="F109" s="59">
        <f t="shared" si="3"/>
        <v>0.07089552239</v>
      </c>
      <c r="G109" s="73" t="s">
        <v>22</v>
      </c>
      <c r="H109" s="73">
        <v>2.0</v>
      </c>
      <c r="I109" s="52" t="str">
        <f>HYPERLINK("https://twitter.com/MinSaludBolivia/status/1248410617444102153","Source")</f>
        <v>Source</v>
      </c>
      <c r="J109" s="51"/>
      <c r="K109" s="66" t="s">
        <v>24</v>
      </c>
      <c r="L109" s="57">
        <v>268.0</v>
      </c>
      <c r="M109" s="57">
        <v>19.0</v>
      </c>
      <c r="N109" s="31"/>
      <c r="O109" s="31"/>
      <c r="P109" s="31"/>
    </row>
    <row r="110" ht="30.0" customHeight="1">
      <c r="A110" s="37" t="s">
        <v>296</v>
      </c>
      <c r="B110" s="57">
        <v>267.0</v>
      </c>
      <c r="C110" s="41">
        <f t="shared" si="1"/>
        <v>0</v>
      </c>
      <c r="D110" s="57">
        <v>2.0</v>
      </c>
      <c r="E110" s="46">
        <f t="shared" si="2"/>
        <v>0</v>
      </c>
      <c r="F110" s="59">
        <f t="shared" si="3"/>
        <v>0.007490636704</v>
      </c>
      <c r="G110" s="73">
        <v>0.0</v>
      </c>
      <c r="H110" s="73">
        <v>44.0</v>
      </c>
      <c r="I110" s="52" t="str">
        <f>HYPERLINK("https://corona.ps/","Source")</f>
        <v>Source</v>
      </c>
      <c r="J110" s="115"/>
      <c r="K110" s="66" t="s">
        <v>48</v>
      </c>
      <c r="L110" s="57">
        <v>267.0</v>
      </c>
      <c r="M110" s="57">
        <v>2.0</v>
      </c>
      <c r="N110" s="31"/>
      <c r="O110" s="31"/>
      <c r="P110" s="31"/>
    </row>
    <row r="111" ht="30.0" customHeight="1">
      <c r="A111" s="37" t="s">
        <v>297</v>
      </c>
      <c r="B111" s="57">
        <v>265.0</v>
      </c>
      <c r="C111" s="41">
        <f t="shared" si="1"/>
        <v>0</v>
      </c>
      <c r="D111" s="57">
        <v>2.0</v>
      </c>
      <c r="E111" s="46">
        <f t="shared" si="2"/>
        <v>0</v>
      </c>
      <c r="F111" s="42">
        <f t="shared" si="3"/>
        <v>0.007547169811</v>
      </c>
      <c r="G111" s="73" t="s">
        <v>22</v>
      </c>
      <c r="H111" s="73">
        <v>137.0</v>
      </c>
      <c r="I111" s="52" t="str">
        <f>HYPERLINK("https://twitter.com/MinisteredelaS1/status/1248554796677767169","Source")</f>
        <v>Source</v>
      </c>
      <c r="J111" s="97"/>
      <c r="K111" s="66" t="s">
        <v>24</v>
      </c>
      <c r="L111" s="57">
        <v>265.0</v>
      </c>
      <c r="M111" s="57">
        <v>2.0</v>
      </c>
      <c r="N111" s="31"/>
      <c r="O111" s="31"/>
      <c r="P111" s="31"/>
    </row>
    <row r="112" ht="30.0" customHeight="1">
      <c r="A112" s="37" t="s">
        <v>298</v>
      </c>
      <c r="B112" s="57">
        <v>257.0</v>
      </c>
      <c r="C112" s="41">
        <f t="shared" si="1"/>
        <v>0</v>
      </c>
      <c r="D112" s="57">
        <v>2.0</v>
      </c>
      <c r="E112" s="46">
        <f t="shared" si="2"/>
        <v>0</v>
      </c>
      <c r="F112" s="59">
        <f t="shared" si="3"/>
        <v>0.007782101167</v>
      </c>
      <c r="G112" s="73" t="s">
        <v>22</v>
      </c>
      <c r="H112" s="73" t="s">
        <v>22</v>
      </c>
      <c r="I112" s="52" t="str">
        <f>HYPERLINK("https://twitter.com/ijzcg/status/1248628048942915591","Source")</f>
        <v>Source</v>
      </c>
      <c r="J112" s="51"/>
      <c r="K112" s="66" t="s">
        <v>173</v>
      </c>
      <c r="L112" s="57">
        <v>257.0</v>
      </c>
      <c r="M112" s="57">
        <v>2.0</v>
      </c>
      <c r="N112" s="31"/>
      <c r="O112" s="31"/>
      <c r="P112" s="31"/>
    </row>
    <row r="113" ht="30.0" customHeight="1">
      <c r="A113" s="37" t="s">
        <v>299</v>
      </c>
      <c r="B113" s="57">
        <v>257.0</v>
      </c>
      <c r="C113" s="41">
        <f t="shared" si="1"/>
        <v>0</v>
      </c>
      <c r="D113" s="57">
        <v>0.0</v>
      </c>
      <c r="E113" s="46">
        <f t="shared" si="2"/>
        <v>0</v>
      </c>
      <c r="F113" s="59">
        <f t="shared" si="3"/>
        <v>0</v>
      </c>
      <c r="G113" s="73" t="s">
        <v>22</v>
      </c>
      <c r="H113" s="73">
        <v>144.0</v>
      </c>
      <c r="I113" s="52" t="str">
        <f>HYPERLINK("http://news.chinhphu.vn/Home/Two-more-COVID19-infection-cases-confirmed-patient-tally-rises-to-257/20204/39647.vgp","Source")</f>
        <v>Source</v>
      </c>
      <c r="J113" s="51"/>
      <c r="K113" s="33"/>
      <c r="L113" s="57">
        <v>257.0</v>
      </c>
      <c r="M113" s="57">
        <v>0.0</v>
      </c>
      <c r="N113" s="31"/>
      <c r="O113" s="31"/>
      <c r="P113" s="31"/>
    </row>
    <row r="114" ht="30.0" customHeight="1">
      <c r="A114" s="37" t="s">
        <v>300</v>
      </c>
      <c r="B114" s="57">
        <v>250.0</v>
      </c>
      <c r="C114" s="41">
        <f t="shared" si="1"/>
        <v>0</v>
      </c>
      <c r="D114" s="57">
        <v>7.0</v>
      </c>
      <c r="E114" s="46">
        <f t="shared" si="2"/>
        <v>0</v>
      </c>
      <c r="F114" s="59">
        <f t="shared" si="3"/>
        <v>0.028</v>
      </c>
      <c r="G114" s="73" t="s">
        <v>22</v>
      </c>
      <c r="H114" s="73">
        <v>52.0</v>
      </c>
      <c r="I114" s="52" t="str">
        <f>HYPERLINK("https://kosova.health/en/","Source")</f>
        <v>Source</v>
      </c>
      <c r="J114" s="51"/>
      <c r="K114" s="33"/>
      <c r="L114" s="57">
        <v>250.0</v>
      </c>
      <c r="M114" s="57">
        <v>7.0</v>
      </c>
      <c r="N114" s="31"/>
      <c r="O114" s="31"/>
      <c r="P114" s="31"/>
    </row>
    <row r="115" ht="30.0" customHeight="1">
      <c r="A115" s="37" t="s">
        <v>45</v>
      </c>
      <c r="B115" s="57">
        <v>230.0</v>
      </c>
      <c r="C115" s="41">
        <f t="shared" si="1"/>
        <v>0</v>
      </c>
      <c r="D115" s="57">
        <v>3.0</v>
      </c>
      <c r="E115" s="46">
        <f t="shared" si="2"/>
        <v>0</v>
      </c>
      <c r="F115" s="42">
        <f t="shared" si="3"/>
        <v>0.01304347826</v>
      </c>
      <c r="G115" s="73">
        <v>1.0</v>
      </c>
      <c r="H115" s="73">
        <v>52.0</v>
      </c>
      <c r="I115" s="52" t="str">
        <f>HYPERLINK("https://stopcov.ge/en","Source")</f>
        <v>Source</v>
      </c>
      <c r="J115" s="51"/>
      <c r="K115" s="66" t="s">
        <v>24</v>
      </c>
      <c r="L115" s="57">
        <v>230.0</v>
      </c>
      <c r="M115" s="57">
        <v>3.0</v>
      </c>
      <c r="N115" s="31"/>
      <c r="O115" s="31"/>
      <c r="P115" s="31"/>
    </row>
    <row r="116" ht="30.0" customHeight="1">
      <c r="A116" s="37" t="s">
        <v>301</v>
      </c>
      <c r="B116" s="57">
        <v>215.0</v>
      </c>
      <c r="C116" s="41">
        <f t="shared" si="1"/>
        <v>0</v>
      </c>
      <c r="D116" s="57">
        <v>20.0</v>
      </c>
      <c r="E116" s="46">
        <f t="shared" si="2"/>
        <v>0</v>
      </c>
      <c r="F116" s="59">
        <f t="shared" si="3"/>
        <v>0.09302325581</v>
      </c>
      <c r="G116" s="73" t="s">
        <v>22</v>
      </c>
      <c r="H116" s="73">
        <v>13.0</v>
      </c>
      <c r="I116" s="52" t="str">
        <f>HYPERLINK("https://pbs.twimg.com/media/EU_bPchWAAAsSKc.jpg","Source")</f>
        <v>Source</v>
      </c>
      <c r="J116" s="51"/>
      <c r="K116" s="66" t="s">
        <v>302</v>
      </c>
      <c r="L116" s="57">
        <v>215.0</v>
      </c>
      <c r="M116" s="57">
        <v>20.0</v>
      </c>
      <c r="N116" s="31"/>
      <c r="O116" s="31"/>
      <c r="P116" s="31"/>
    </row>
    <row r="117" ht="30.0" customHeight="1">
      <c r="A117" s="37" t="s">
        <v>303</v>
      </c>
      <c r="B117" s="57">
        <v>212.0</v>
      </c>
      <c r="C117" s="41">
        <f t="shared" si="1"/>
        <v>0</v>
      </c>
      <c r="D117" s="57">
        <v>0.0</v>
      </c>
      <c r="E117" s="46">
        <f t="shared" si="2"/>
        <v>0</v>
      </c>
      <c r="F117" s="42">
        <f t="shared" si="3"/>
        <v>0</v>
      </c>
      <c r="G117" s="73" t="s">
        <v>22</v>
      </c>
      <c r="H117" s="73">
        <v>15.0</v>
      </c>
      <c r="I117" s="52" t="str">
        <f>HYPERLINK("https://www.facebook.com/Sanitaire.net/photos/a.194942754289491/890985258018567/?type=3&amp;theater","Source")</f>
        <v>Source</v>
      </c>
      <c r="J117" s="51"/>
      <c r="K117" s="33"/>
      <c r="L117" s="57">
        <v>212.0</v>
      </c>
      <c r="M117" s="57">
        <v>0.0</v>
      </c>
      <c r="N117" s="31"/>
      <c r="O117" s="31"/>
      <c r="P117" s="31"/>
    </row>
    <row r="118" ht="30.0" customHeight="1">
      <c r="A118" s="37" t="s">
        <v>304</v>
      </c>
      <c r="B118" s="57">
        <v>201.0</v>
      </c>
      <c r="C118" s="41">
        <f t="shared" si="1"/>
        <v>0</v>
      </c>
      <c r="D118" s="57">
        <v>1.0</v>
      </c>
      <c r="E118" s="46">
        <f t="shared" si="2"/>
        <v>0</v>
      </c>
      <c r="F118" s="59">
        <f t="shared" si="3"/>
        <v>0.004975124378</v>
      </c>
      <c r="G118" s="73" t="s">
        <v>22</v>
      </c>
      <c r="H118" s="73">
        <v>103.0</v>
      </c>
      <c r="I118" s="52" t="str">
        <f>HYPERLINK("https://covid19.gov.im/general-information/latest-updates/","Source")</f>
        <v>Source</v>
      </c>
      <c r="J118" s="51"/>
      <c r="K118" s="66" t="s">
        <v>74</v>
      </c>
      <c r="L118" s="57">
        <v>201.0</v>
      </c>
      <c r="M118" s="57">
        <v>1.0</v>
      </c>
      <c r="N118" s="31"/>
      <c r="O118" s="31"/>
      <c r="P118" s="31"/>
    </row>
    <row r="119" ht="30.0" customHeight="1">
      <c r="A119" s="37" t="s">
        <v>305</v>
      </c>
      <c r="B119" s="57">
        <v>200.0</v>
      </c>
      <c r="C119" s="41">
        <f t="shared" si="1"/>
        <v>0</v>
      </c>
      <c r="D119" s="57">
        <v>6.0</v>
      </c>
      <c r="E119" s="46">
        <f t="shared" si="2"/>
        <v>0</v>
      </c>
      <c r="F119" s="59">
        <f t="shared" si="3"/>
        <v>0.03</v>
      </c>
      <c r="G119" s="73">
        <v>0.0</v>
      </c>
      <c r="H119" s="73">
        <v>42.0</v>
      </c>
      <c r="I119" s="52" t="str">
        <f>HYPERLINK("https://www.itv.com/news/channel/2020-03-12/live-updates-number-of-coronavirus-cases-in-the-channel-islands/","Source")</f>
        <v>Source</v>
      </c>
      <c r="J119" s="51"/>
      <c r="K119" s="66" t="s">
        <v>24</v>
      </c>
      <c r="L119" s="57">
        <v>200.0</v>
      </c>
      <c r="M119" s="57">
        <v>6.0</v>
      </c>
      <c r="N119" s="31"/>
      <c r="O119" s="31"/>
      <c r="P119" s="31"/>
    </row>
    <row r="120" ht="30.0" customHeight="1">
      <c r="A120" s="37" t="s">
        <v>306</v>
      </c>
      <c r="B120" s="57">
        <v>198.0</v>
      </c>
      <c r="C120" s="41">
        <f t="shared" si="1"/>
        <v>0</v>
      </c>
      <c r="D120" s="57">
        <v>3.0</v>
      </c>
      <c r="E120" s="46">
        <f t="shared" si="2"/>
        <v>0</v>
      </c>
      <c r="F120" s="59">
        <f t="shared" si="3"/>
        <v>0.01515151515</v>
      </c>
      <c r="G120" s="73" t="s">
        <v>22</v>
      </c>
      <c r="H120" s="73" t="s">
        <v>22</v>
      </c>
      <c r="I120" s="52" t="str">
        <f>HYPERLINK("https://www.gov.je/Health/Coronavirus/Pages/CoronavirusCases.aspx","Source")</f>
        <v>Source</v>
      </c>
      <c r="J120" s="51"/>
      <c r="K120" s="33"/>
      <c r="L120" s="57">
        <v>198.0</v>
      </c>
      <c r="M120" s="57">
        <v>3.0</v>
      </c>
      <c r="N120" s="31"/>
      <c r="O120" s="31"/>
      <c r="P120" s="31"/>
    </row>
    <row r="121" ht="30.0" customHeight="1">
      <c r="A121" s="37" t="s">
        <v>307</v>
      </c>
      <c r="B121" s="57">
        <v>190.0</v>
      </c>
      <c r="C121" s="41">
        <f t="shared" si="1"/>
        <v>0</v>
      </c>
      <c r="D121" s="57">
        <v>7.0</v>
      </c>
      <c r="E121" s="46">
        <f t="shared" si="2"/>
        <v>0</v>
      </c>
      <c r="F121" s="59">
        <f t="shared" si="3"/>
        <v>0.03684210526</v>
      </c>
      <c r="G121" s="73" t="s">
        <v>22</v>
      </c>
      <c r="H121" s="73">
        <v>54.0</v>
      </c>
      <c r="I121" s="52" t="str">
        <f>HYPERLINK("http://www.colombopage.com/archive_20A/Apr10_1586529787CH.php","Source")</f>
        <v>Source</v>
      </c>
      <c r="J121" s="51"/>
      <c r="K121" s="33"/>
      <c r="L121" s="57">
        <v>190.0</v>
      </c>
      <c r="M121" s="57">
        <v>7.0</v>
      </c>
      <c r="N121" s="31"/>
      <c r="O121" s="31"/>
      <c r="P121" s="31"/>
    </row>
    <row r="122" ht="30.0" customHeight="1">
      <c r="A122" s="37" t="s">
        <v>308</v>
      </c>
      <c r="B122" s="57">
        <v>189.0</v>
      </c>
      <c r="C122" s="41">
        <f t="shared" si="1"/>
        <v>0</v>
      </c>
      <c r="D122" s="57">
        <v>7.0</v>
      </c>
      <c r="E122" s="46">
        <f t="shared" si="2"/>
        <v>0</v>
      </c>
      <c r="F122" s="42">
        <f t="shared" si="3"/>
        <v>0.03703703704</v>
      </c>
      <c r="G122" s="73">
        <v>0.0</v>
      </c>
      <c r="H122" s="73">
        <v>22.0</v>
      </c>
      <c r="I122" s="52" t="str">
        <f>HYPERLINK("https://www.nation.co.ke/","Source")</f>
        <v>Source</v>
      </c>
      <c r="J122" s="94"/>
      <c r="K122" s="33"/>
      <c r="L122" s="57">
        <v>189.0</v>
      </c>
      <c r="M122" s="57">
        <v>7.0</v>
      </c>
      <c r="N122" s="31"/>
      <c r="O122" s="31"/>
      <c r="P122" s="31"/>
    </row>
    <row r="123" ht="30.0" customHeight="1">
      <c r="A123" s="37" t="s">
        <v>309</v>
      </c>
      <c r="B123" s="57">
        <v>171.0</v>
      </c>
      <c r="C123" s="41">
        <f t="shared" si="1"/>
        <v>0</v>
      </c>
      <c r="D123" s="57">
        <v>9.0</v>
      </c>
      <c r="E123" s="46">
        <f t="shared" si="2"/>
        <v>0</v>
      </c>
      <c r="F123" s="42">
        <f t="shared" si="3"/>
        <v>0.05263157895</v>
      </c>
      <c r="G123" s="73">
        <v>5.0</v>
      </c>
      <c r="H123" s="73">
        <v>65.0</v>
      </c>
      <c r="I123" s="52" t="str">
        <f>HYPERLINK("http://vicepresidencia.gob.ve/venezuela-registra-4-nuevos-casos-de-covid-19-para-un-total-de-171/","Source")</f>
        <v>Source</v>
      </c>
      <c r="J123" s="51"/>
      <c r="K123" s="66" t="s">
        <v>24</v>
      </c>
      <c r="L123" s="57">
        <v>171.0</v>
      </c>
      <c r="M123" s="57">
        <v>9.0</v>
      </c>
      <c r="N123" s="31"/>
      <c r="O123" s="31"/>
      <c r="P123" s="31"/>
    </row>
    <row r="124" ht="30.0" customHeight="1">
      <c r="A124" s="37" t="s">
        <v>310</v>
      </c>
      <c r="B124" s="57">
        <v>150.0</v>
      </c>
      <c r="C124" s="41">
        <f t="shared" si="1"/>
        <v>0</v>
      </c>
      <c r="D124" s="57">
        <v>1.0</v>
      </c>
      <c r="E124" s="46">
        <f t="shared" si="2"/>
        <v>0</v>
      </c>
      <c r="F124" s="59">
        <f t="shared" si="3"/>
        <v>0.006666666667</v>
      </c>
      <c r="G124" s="73">
        <v>0.0</v>
      </c>
      <c r="H124" s="73">
        <v>36.0</v>
      </c>
      <c r="I124" s="160" t="str">
        <f>HYPERLINK("https://www.facebook.com/minister.sante.dj/photos/a.1390385961000334/2996548487050732/?type=3&amp;__xts__%5B0%5D=68.ARBSz2mMQPpuTPXqMTAdr7wdHEBl8P5kgMMlmV7gjwJ6NEIC2lQeqSC2xAmiR1NaFfGviaCWEx9ePu1ysFEyVXiz76dmGnhrAsP5Rx8N8aSs3cGe_98UCnwYDVRNF-3VeQLzWlG7YmtfGMy"&amp;"AeW6QTAGIRjgU1NlCVk4ETwRhWc_H1Hx9n7qtSeMc4aPiKq-4mLc2FNB25Lx-3c-V1DI1EiOor-x7gQIlvzOAtxmzEEio3OsUtW9bd_9_wc9bbUKHqgTyJ8LAGXWO5Vy8Z9S7eSY3IEOL6U0No4qftnHVFhxRLwJevQ_JB-0ZaJ23LS3-khA6X-2uhkjLGIrEHYjUSXetaw&amp;__tn__=-R","Source")</f>
        <v>Source</v>
      </c>
      <c r="J124" s="51"/>
      <c r="K124" s="33"/>
      <c r="L124" s="57">
        <v>150.0</v>
      </c>
      <c r="M124" s="57">
        <v>1.0</v>
      </c>
      <c r="N124" s="31"/>
      <c r="O124" s="31"/>
      <c r="P124" s="31"/>
    </row>
    <row r="125" ht="30.0" customHeight="1">
      <c r="A125" s="37" t="s">
        <v>311</v>
      </c>
      <c r="B125" s="57">
        <v>136.0</v>
      </c>
      <c r="C125" s="41">
        <f t="shared" si="1"/>
        <v>0</v>
      </c>
      <c r="D125" s="57">
        <v>1.0</v>
      </c>
      <c r="E125" s="46">
        <f t="shared" si="2"/>
        <v>0</v>
      </c>
      <c r="F125" s="59">
        <f t="shared" si="3"/>
        <v>0.007352941176</v>
      </c>
      <c r="G125" s="73" t="s">
        <v>22</v>
      </c>
      <c r="H125" s="73">
        <v>99.0</v>
      </c>
      <c r="I125" s="52" t="str">
        <f>HYPERLINK("https://twitter.com/borneo_bulletin/status/1248539251177689088","Source")</f>
        <v>Source</v>
      </c>
      <c r="J125" s="51"/>
      <c r="K125" s="66" t="s">
        <v>24</v>
      </c>
      <c r="L125" s="57">
        <v>136.0</v>
      </c>
      <c r="M125" s="57">
        <v>1.0</v>
      </c>
      <c r="N125" s="31"/>
      <c r="O125" s="31"/>
      <c r="P125" s="31"/>
    </row>
    <row r="126" ht="27.75" customHeight="1">
      <c r="A126" s="37" t="s">
        <v>291</v>
      </c>
      <c r="B126" s="57">
        <v>129.0</v>
      </c>
      <c r="C126" s="41">
        <f t="shared" si="1"/>
        <v>0</v>
      </c>
      <c r="D126" s="57">
        <v>6.0</v>
      </c>
      <c r="E126" s="46">
        <f t="shared" si="2"/>
        <v>0</v>
      </c>
      <c r="F126" s="42">
        <f t="shared" si="3"/>
        <v>0.04651162791</v>
      </c>
      <c r="G126" s="73">
        <v>2.0</v>
      </c>
      <c r="H126" s="73">
        <v>18.0</v>
      </c>
      <c r="I126" s="52" t="str">
        <f>HYPERLINK("https://twitter.com/msaludpy/status/1248644586991386626","Source")</f>
        <v>Source</v>
      </c>
      <c r="J126" s="51"/>
      <c r="K126" s="33"/>
      <c r="L126" s="57">
        <v>129.0</v>
      </c>
      <c r="M126" s="57">
        <v>6.0</v>
      </c>
      <c r="N126" s="31"/>
      <c r="O126" s="31"/>
      <c r="P126" s="31"/>
    </row>
    <row r="127" ht="27.75" customHeight="1">
      <c r="A127" s="37" t="s">
        <v>312</v>
      </c>
      <c r="B127" s="57">
        <v>127.0</v>
      </c>
      <c r="C127" s="41">
        <f t="shared" si="1"/>
        <v>0</v>
      </c>
      <c r="D127" s="57">
        <v>0.0</v>
      </c>
      <c r="E127" s="46">
        <f t="shared" si="2"/>
        <v>0</v>
      </c>
      <c r="F127" s="42">
        <f t="shared" si="3"/>
        <v>0</v>
      </c>
      <c r="G127" s="73">
        <v>1.0</v>
      </c>
      <c r="H127" s="73">
        <v>69.0</v>
      </c>
      <c r="I127" s="52" t="str">
        <f>HYPERLINK("https://www.gibraltar.gov.gi/covid19","Source")</f>
        <v>Source</v>
      </c>
      <c r="J127" s="51"/>
      <c r="K127" s="33"/>
      <c r="L127" s="57">
        <v>127.0</v>
      </c>
      <c r="M127" s="57">
        <v>0.0</v>
      </c>
      <c r="N127" s="31"/>
      <c r="O127" s="31"/>
      <c r="P127" s="31"/>
    </row>
    <row r="128" ht="27.75" customHeight="1">
      <c r="A128" s="37" t="s">
        <v>292</v>
      </c>
      <c r="B128" s="57">
        <v>126.0</v>
      </c>
      <c r="C128" s="41">
        <f t="shared" si="1"/>
        <v>0</v>
      </c>
      <c r="D128" s="57">
        <v>3.0</v>
      </c>
      <c r="E128" s="46">
        <f t="shared" si="2"/>
        <v>0</v>
      </c>
      <c r="F128" s="42">
        <f t="shared" si="3"/>
        <v>0.02380952381</v>
      </c>
      <c r="G128" s="73" t="s">
        <v>22</v>
      </c>
      <c r="H128" s="73">
        <v>17.0</v>
      </c>
      <c r="I128" s="52" t="str">
        <f>HYPERLINK("https://www.mspas.gob.gt/index.php/noticias/coronavirus-2019-ncov","Source")</f>
        <v>Source</v>
      </c>
      <c r="J128" s="51"/>
      <c r="K128" s="33"/>
      <c r="L128" s="57">
        <v>126.0</v>
      </c>
      <c r="M128" s="57">
        <v>3.0</v>
      </c>
      <c r="N128" s="31"/>
      <c r="O128" s="31"/>
      <c r="P128" s="31"/>
    </row>
    <row r="129" ht="30.0" customHeight="1">
      <c r="A129" s="37" t="s">
        <v>313</v>
      </c>
      <c r="B129" s="57">
        <v>120.0</v>
      </c>
      <c r="C129" s="41">
        <f t="shared" si="1"/>
        <v>0</v>
      </c>
      <c r="D129" s="57">
        <v>0.0</v>
      </c>
      <c r="E129" s="46">
        <f t="shared" si="2"/>
        <v>0</v>
      </c>
      <c r="F129" s="59">
        <f t="shared" si="3"/>
        <v>0</v>
      </c>
      <c r="G129" s="73" t="s">
        <v>22</v>
      </c>
      <c r="H129" s="73">
        <v>75.0</v>
      </c>
      <c r="I129" s="52" t="str">
        <f>HYPERLINK("https://covid19-map.cdcmoh.gov.kh/","Source")</f>
        <v>Source</v>
      </c>
      <c r="J129" s="51"/>
      <c r="K129" s="33"/>
      <c r="L129" s="57">
        <v>120.0</v>
      </c>
      <c r="M129" s="57">
        <v>0.0</v>
      </c>
      <c r="N129" s="31"/>
      <c r="O129" s="31"/>
      <c r="P129" s="31"/>
    </row>
    <row r="130" ht="30.0" customHeight="1">
      <c r="A130" s="37" t="s">
        <v>314</v>
      </c>
      <c r="B130" s="57">
        <v>118.0</v>
      </c>
      <c r="C130" s="41">
        <f t="shared" si="1"/>
        <v>0</v>
      </c>
      <c r="D130" s="57">
        <v>0.0</v>
      </c>
      <c r="E130" s="46">
        <f t="shared" si="2"/>
        <v>0</v>
      </c>
      <c r="F130" s="42">
        <f t="shared" si="3"/>
        <v>0</v>
      </c>
      <c r="G130" s="73">
        <v>0.0</v>
      </c>
      <c r="H130" s="73">
        <v>7.0</v>
      </c>
      <c r="I130" s="52" t="str">
        <f>HYPERLINK("https://twitter.com/RwandaHealth/status/1248699630633787394","Source")</f>
        <v>Source</v>
      </c>
      <c r="J130" s="51"/>
      <c r="K130" s="33"/>
      <c r="L130" s="57">
        <v>118.0</v>
      </c>
      <c r="M130" s="57">
        <v>0.0</v>
      </c>
      <c r="N130" s="31"/>
      <c r="O130" s="31"/>
    </row>
    <row r="131" ht="30.0" customHeight="1">
      <c r="A131" s="37" t="s">
        <v>294</v>
      </c>
      <c r="B131" s="57">
        <v>117.0</v>
      </c>
      <c r="C131" s="41">
        <f t="shared" si="1"/>
        <v>0</v>
      </c>
      <c r="D131" s="57">
        <v>6.0</v>
      </c>
      <c r="E131" s="46">
        <f t="shared" si="2"/>
        <v>0</v>
      </c>
      <c r="F131" s="42">
        <f t="shared" si="3"/>
        <v>0.05128205128</v>
      </c>
      <c r="G131" s="73" t="s">
        <v>22</v>
      </c>
      <c r="H131" s="73">
        <v>15.0</v>
      </c>
      <c r="I131" s="52" t="str">
        <f>HYPERLINK("https://covid19.gob.sv/","Source")</f>
        <v>Source</v>
      </c>
      <c r="J131" s="51"/>
      <c r="K131" s="66" t="s">
        <v>24</v>
      </c>
      <c r="L131" s="57">
        <v>117.0</v>
      </c>
      <c r="M131" s="57">
        <v>6.0</v>
      </c>
      <c r="N131" s="31"/>
      <c r="O131" s="31"/>
      <c r="P131" s="31"/>
    </row>
    <row r="132" ht="30.0" customHeight="1">
      <c r="A132" s="37" t="s">
        <v>315</v>
      </c>
      <c r="B132" s="57">
        <v>109.0</v>
      </c>
      <c r="C132" s="41">
        <f t="shared" si="1"/>
        <v>0</v>
      </c>
      <c r="D132" s="57">
        <v>8.0</v>
      </c>
      <c r="E132" s="46">
        <f t="shared" si="2"/>
        <v>0</v>
      </c>
      <c r="F132" s="42">
        <f t="shared" si="3"/>
        <v>0.07339449541</v>
      </c>
      <c r="G132" s="73" t="s">
        <v>22</v>
      </c>
      <c r="H132" s="73">
        <v>1.0</v>
      </c>
      <c r="I132" s="52" t="str">
        <f>HYPERLINK("https://twitter.com/MOH_TT/status/1248704235522400259","Source")</f>
        <v>Source</v>
      </c>
      <c r="J132" s="51"/>
      <c r="K132" s="33"/>
      <c r="L132" s="57">
        <v>109.0</v>
      </c>
      <c r="M132" s="57">
        <v>8.0</v>
      </c>
      <c r="N132" s="31"/>
      <c r="O132" s="31"/>
      <c r="P132" s="31"/>
    </row>
    <row r="133" ht="27.75" customHeight="1">
      <c r="A133" s="37" t="s">
        <v>316</v>
      </c>
      <c r="B133" s="57">
        <v>99.0</v>
      </c>
      <c r="C133" s="41">
        <f t="shared" si="1"/>
        <v>0</v>
      </c>
      <c r="D133" s="57">
        <v>3.0</v>
      </c>
      <c r="E133" s="46">
        <f t="shared" si="2"/>
        <v>0</v>
      </c>
      <c r="F133" s="59">
        <f t="shared" si="3"/>
        <v>0.0303030303</v>
      </c>
      <c r="G133" s="73" t="s">
        <v>22</v>
      </c>
      <c r="H133" s="73">
        <v>3.0</v>
      </c>
      <c r="I133" s="52" t="str">
        <f>HYPERLINK("https://in-cyprus.philenews.com/3-test-positive-in-turkish-held-north-total-now-99/","Source")</f>
        <v>Source</v>
      </c>
      <c r="J133" s="51"/>
      <c r="K133" s="33"/>
      <c r="L133" s="57">
        <v>99.0</v>
      </c>
      <c r="M133" s="57">
        <v>3.0</v>
      </c>
      <c r="N133" s="31"/>
      <c r="O133" s="31"/>
      <c r="P133" s="31"/>
    </row>
    <row r="134" ht="30.0" customHeight="1">
      <c r="A134" s="37" t="s">
        <v>317</v>
      </c>
      <c r="B134" s="57">
        <v>93.0</v>
      </c>
      <c r="C134" s="41">
        <f t="shared" si="1"/>
        <v>0</v>
      </c>
      <c r="D134" s="57">
        <v>0.0</v>
      </c>
      <c r="E134" s="46">
        <f t="shared" si="2"/>
        <v>0</v>
      </c>
      <c r="F134" s="59">
        <f t="shared" si="3"/>
        <v>0</v>
      </c>
      <c r="G134" s="73">
        <v>1.0</v>
      </c>
      <c r="H134" s="73">
        <v>11.0</v>
      </c>
      <c r="I134" s="52" t="str">
        <f>HYPERLINK("https://www.madagascar-tribune.com/Zero-nouveau-cas-enregistre-hier.html","Source")</f>
        <v>Source</v>
      </c>
      <c r="J134" s="51"/>
      <c r="K134" s="33"/>
      <c r="L134" s="57">
        <v>93.0</v>
      </c>
      <c r="M134" s="57">
        <v>0.0</v>
      </c>
      <c r="N134" s="31"/>
      <c r="O134" s="31"/>
      <c r="P134" s="31"/>
    </row>
    <row r="135" ht="30.0" customHeight="1">
      <c r="A135" s="37" t="s">
        <v>318</v>
      </c>
      <c r="B135" s="57">
        <v>86.0</v>
      </c>
      <c r="C135" s="41">
        <f t="shared" si="1"/>
        <v>0</v>
      </c>
      <c r="D135" s="57">
        <v>0.0</v>
      </c>
      <c r="E135" s="46">
        <f t="shared" si="2"/>
        <v>0</v>
      </c>
      <c r="F135" s="42">
        <f t="shared" si="3"/>
        <v>0</v>
      </c>
      <c r="G135" s="73" t="s">
        <v>22</v>
      </c>
      <c r="H135" s="73">
        <v>27.0</v>
      </c>
      <c r="I135" s="52" t="str">
        <f>HYPERLINK("https://www.arubacovid19.org/","Source")</f>
        <v>Source</v>
      </c>
      <c r="J135" s="51"/>
      <c r="K135" s="33"/>
      <c r="L135" s="57">
        <v>86.0</v>
      </c>
      <c r="M135" s="57">
        <v>0.0</v>
      </c>
      <c r="N135" s="31"/>
      <c r="O135" s="31"/>
      <c r="P135" s="31"/>
    </row>
    <row r="136" ht="30.0" customHeight="1">
      <c r="A136" s="37" t="s">
        <v>319</v>
      </c>
      <c r="B136" s="57">
        <v>87.0</v>
      </c>
      <c r="C136" s="41">
        <f t="shared" si="1"/>
        <v>0</v>
      </c>
      <c r="D136" s="57">
        <v>7.0</v>
      </c>
      <c r="E136" s="46">
        <f t="shared" si="2"/>
        <v>0</v>
      </c>
      <c r="F136" s="59">
        <f t="shared" si="3"/>
        <v>0.08045977011</v>
      </c>
      <c r="G136" s="73" t="s">
        <v>22</v>
      </c>
      <c r="H136" s="73">
        <v>22.0</v>
      </c>
      <c r="I136" s="52" t="str">
        <f>HYPERLINK("https://www.maliweb.net/sante/covid-19-87-cas-confirmes-au-mali-dont-13-nouveaux-cas-2867501.html?utm_source=dlvr.it&amp;utm_medium=twitter","Source")</f>
        <v>Source</v>
      </c>
      <c r="J136" s="51"/>
      <c r="K136" s="33"/>
      <c r="L136" s="57">
        <v>87.0</v>
      </c>
      <c r="M136" s="57">
        <v>7.0</v>
      </c>
      <c r="N136" s="31"/>
      <c r="O136" s="31"/>
      <c r="P136" s="31"/>
    </row>
    <row r="137" ht="30.0" customHeight="1">
      <c r="A137" s="37" t="s">
        <v>320</v>
      </c>
      <c r="B137" s="57">
        <v>90.0</v>
      </c>
      <c r="C137" s="41">
        <f t="shared" si="1"/>
        <v>0</v>
      </c>
      <c r="D137" s="57">
        <v>1.0</v>
      </c>
      <c r="E137" s="46">
        <f t="shared" si="2"/>
        <v>0</v>
      </c>
      <c r="F137" s="42">
        <f t="shared" si="3"/>
        <v>0.01111111111</v>
      </c>
      <c r="G137" s="73">
        <v>4.0</v>
      </c>
      <c r="H137" s="73">
        <v>5.0</v>
      </c>
      <c r="I137" s="52" t="str">
        <f>HYPERLINK("https://en.gouv.mc/Policy-Practice/Social-Affairs-and-Health/News/CORONAVIRUS-Six-nouveaux-cas-positifs-reveles-a-Monaco2","Source")</f>
        <v>Source</v>
      </c>
      <c r="J137" s="51"/>
      <c r="K137" s="33"/>
      <c r="L137" s="57">
        <v>90.0</v>
      </c>
      <c r="M137" s="57">
        <v>1.0</v>
      </c>
      <c r="N137" s="31"/>
      <c r="O137" s="31"/>
      <c r="P137" s="31"/>
    </row>
    <row r="138" ht="27.75" customHeight="1">
      <c r="A138" s="37" t="s">
        <v>321</v>
      </c>
      <c r="B138" s="57">
        <v>79.0</v>
      </c>
      <c r="C138" s="41">
        <f t="shared" si="1"/>
        <v>0</v>
      </c>
      <c r="D138" s="57">
        <v>1.0</v>
      </c>
      <c r="E138" s="46">
        <f t="shared" si="2"/>
        <v>0</v>
      </c>
      <c r="F138" s="42">
        <f t="shared" si="3"/>
        <v>0.01265822785</v>
      </c>
      <c r="G138" s="73" t="s">
        <v>22</v>
      </c>
      <c r="H138" s="73">
        <v>55.0</v>
      </c>
      <c r="I138" s="52" t="str">
        <f>HYPERLINK("https://www.regierung.li/media/attachments/188-corona-keine-neuen-faelle-0410.pdf?t=637221464861502238","Source")</f>
        <v>Source</v>
      </c>
      <c r="J138" s="51"/>
      <c r="K138" s="33"/>
      <c r="L138" s="57">
        <v>79.0</v>
      </c>
      <c r="M138" s="57">
        <v>1.0</v>
      </c>
      <c r="N138" s="31"/>
      <c r="O138" s="31"/>
      <c r="P138" s="31"/>
    </row>
    <row r="139" ht="27.75" customHeight="1">
      <c r="A139" s="37" t="s">
        <v>322</v>
      </c>
      <c r="B139" s="57">
        <v>76.0</v>
      </c>
      <c r="C139" s="41">
        <f t="shared" si="1"/>
        <v>0</v>
      </c>
      <c r="D139" s="57">
        <v>3.0</v>
      </c>
      <c r="E139" s="46">
        <f t="shared" si="2"/>
        <v>0</v>
      </c>
      <c r="F139" s="59">
        <f t="shared" si="3"/>
        <v>0.03947368421</v>
      </c>
      <c r="G139" s="73" t="s">
        <v>22</v>
      </c>
      <c r="H139" s="73">
        <v>25.0</v>
      </c>
      <c r="I139" s="52" t="str">
        <f>HYPERLINK("https://covid19.gouv.tg/","Source")</f>
        <v>Source</v>
      </c>
      <c r="J139" s="51"/>
      <c r="K139" s="66" t="s">
        <v>323</v>
      </c>
      <c r="L139" s="57">
        <v>76.0</v>
      </c>
      <c r="M139" s="57">
        <v>3.0</v>
      </c>
      <c r="N139" s="31"/>
      <c r="O139" s="31"/>
      <c r="P139" s="31"/>
    </row>
    <row r="140" ht="30.0" customHeight="1">
      <c r="A140" s="37" t="s">
        <v>324</v>
      </c>
      <c r="B140" s="57">
        <v>67.0</v>
      </c>
      <c r="C140" s="41">
        <f t="shared" si="1"/>
        <v>0</v>
      </c>
      <c r="D140" s="57">
        <v>4.0</v>
      </c>
      <c r="E140" s="46">
        <f t="shared" si="2"/>
        <v>0</v>
      </c>
      <c r="F140" s="42">
        <f t="shared" si="3"/>
        <v>0.05970149254</v>
      </c>
      <c r="G140" s="73">
        <v>2.0</v>
      </c>
      <c r="H140" s="73">
        <v>11.0</v>
      </c>
      <c r="I140" s="52" t="str">
        <f>HYPERLINK("https://www.facebook.com/moh.barbados/","Source")</f>
        <v>Source</v>
      </c>
      <c r="J140" s="51"/>
      <c r="K140" s="33"/>
      <c r="L140" s="57">
        <v>67.0</v>
      </c>
      <c r="M140" s="57">
        <v>4.0</v>
      </c>
      <c r="N140" s="31"/>
      <c r="O140" s="31"/>
      <c r="P140" s="31"/>
    </row>
    <row r="141" ht="30.0" customHeight="1">
      <c r="A141" s="37" t="s">
        <v>325</v>
      </c>
      <c r="B141" s="57">
        <v>65.0</v>
      </c>
      <c r="C141" s="41">
        <f t="shared" si="1"/>
        <v>0</v>
      </c>
      <c r="D141" s="57">
        <v>3.0</v>
      </c>
      <c r="E141" s="46">
        <f t="shared" si="2"/>
        <v>0</v>
      </c>
      <c r="F141" s="59">
        <f t="shared" si="3"/>
        <v>0.04615384615</v>
      </c>
      <c r="G141" s="73">
        <v>2.0</v>
      </c>
      <c r="H141" s="73">
        <v>4.0</v>
      </c>
      <c r="I141" s="52" t="str">
        <f>HYPERLINK("https://twitter.com/lia_tadesse/status/1248632094965841927","Source")</f>
        <v>Source</v>
      </c>
      <c r="J141" s="51"/>
      <c r="K141" s="66" t="s">
        <v>24</v>
      </c>
      <c r="L141" s="57">
        <v>65.0</v>
      </c>
      <c r="M141" s="57">
        <v>3.0</v>
      </c>
      <c r="N141" s="31"/>
      <c r="O141" s="31"/>
      <c r="P141" s="31"/>
    </row>
    <row r="142" ht="30.0" customHeight="1">
      <c r="A142" s="37" t="s">
        <v>326</v>
      </c>
      <c r="B142" s="57">
        <v>65.0</v>
      </c>
      <c r="C142" s="41">
        <f t="shared" si="1"/>
        <v>0</v>
      </c>
      <c r="D142" s="57">
        <v>4.0</v>
      </c>
      <c r="E142" s="46">
        <f t="shared" si="2"/>
        <v>0</v>
      </c>
      <c r="F142" s="59">
        <f t="shared" si="3"/>
        <v>0.06153846154</v>
      </c>
      <c r="G142" s="73">
        <v>1.0</v>
      </c>
      <c r="H142" s="73">
        <v>13.0</v>
      </c>
      <c r="I142" s="52" t="str">
        <f>HYPERLINK("https://twitter.com/themohwgovjm/status/1248789139228635136","Source")</f>
        <v>Source</v>
      </c>
      <c r="J142" s="51"/>
      <c r="K142" s="33"/>
      <c r="L142" s="57">
        <v>65.0</v>
      </c>
      <c r="M142" s="57">
        <v>4.0</v>
      </c>
      <c r="N142" s="31"/>
      <c r="O142" s="31"/>
      <c r="P142" s="31"/>
    </row>
    <row r="143" ht="30.0" customHeight="1">
      <c r="A143" s="37" t="s">
        <v>327</v>
      </c>
      <c r="B143" s="57">
        <v>60.0</v>
      </c>
      <c r="C143" s="41">
        <f t="shared" si="1"/>
        <v>0</v>
      </c>
      <c r="D143" s="57">
        <v>5.0</v>
      </c>
      <c r="E143" s="46">
        <f t="shared" si="2"/>
        <v>0</v>
      </c>
      <c r="F143" s="59">
        <f t="shared" si="3"/>
        <v>0.08333333333</v>
      </c>
      <c r="G143" s="73" t="s">
        <v>22</v>
      </c>
      <c r="H143" s="73" t="s">
        <v>22</v>
      </c>
      <c r="I143" s="52" t="str">
        <f>HYPERLINK("https://pbs.twimg.com/media/EVOvolFU0AExNIU.jpg","Source")</f>
        <v>Source</v>
      </c>
      <c r="J143" s="51"/>
      <c r="K143" s="33"/>
      <c r="L143" s="57">
        <v>60.0</v>
      </c>
      <c r="M143" s="57">
        <v>5.0</v>
      </c>
      <c r="N143" s="31"/>
      <c r="O143" s="31"/>
      <c r="P143" s="31"/>
    </row>
    <row r="144" ht="30.0" customHeight="1">
      <c r="A144" s="37" t="s">
        <v>328</v>
      </c>
      <c r="B144" s="57">
        <v>53.0</v>
      </c>
      <c r="C144" s="41">
        <f t="shared" si="1"/>
        <v>0</v>
      </c>
      <c r="D144" s="57">
        <v>0.0</v>
      </c>
      <c r="E144" s="46">
        <f t="shared" si="2"/>
        <v>0</v>
      </c>
      <c r="F144" s="42">
        <f t="shared" si="3"/>
        <v>0</v>
      </c>
      <c r="G144" s="73" t="s">
        <v>22</v>
      </c>
      <c r="H144" s="73" t="s">
        <v>22</v>
      </c>
      <c r="I144" s="52" t="str">
        <f>HYPERLINK("https://covid19.gou.go.ug/","Source")</f>
        <v>Source</v>
      </c>
      <c r="J144" s="51"/>
      <c r="K144" s="33"/>
      <c r="L144" s="57">
        <v>53.0</v>
      </c>
      <c r="M144" s="57">
        <v>0.0</v>
      </c>
      <c r="N144" s="31"/>
      <c r="O144" s="31"/>
      <c r="P144" s="31"/>
    </row>
    <row r="145" ht="30.0" customHeight="1">
      <c r="A145" s="37" t="s">
        <v>329</v>
      </c>
      <c r="B145" s="57">
        <v>51.0</v>
      </c>
      <c r="C145" s="41">
        <f t="shared" si="1"/>
        <v>0</v>
      </c>
      <c r="D145" s="57">
        <v>0.0</v>
      </c>
      <c r="E145" s="46">
        <f t="shared" si="2"/>
        <v>0</v>
      </c>
      <c r="F145" s="42">
        <f t="shared" si="3"/>
        <v>0</v>
      </c>
      <c r="G145" s="73">
        <v>1.0</v>
      </c>
      <c r="H145" s="73" t="s">
        <v>22</v>
      </c>
      <c r="I145" s="52" t="str">
        <f>HYPERLINK("https://www.presidence.pf/point-de-situation-sur-le-coronavirus-au-9-avril-2/","Source")</f>
        <v>Source</v>
      </c>
      <c r="J145" s="115"/>
      <c r="K145" s="33"/>
      <c r="L145" s="57">
        <v>51.0</v>
      </c>
      <c r="M145" s="57">
        <v>0.0</v>
      </c>
      <c r="N145" s="31"/>
      <c r="O145" s="31"/>
      <c r="P145" s="31"/>
    </row>
    <row r="146" ht="30.0" customHeight="1">
      <c r="A146" s="37" t="s">
        <v>330</v>
      </c>
      <c r="B146" s="57">
        <v>50.0</v>
      </c>
      <c r="C146" s="41">
        <f t="shared" si="1"/>
        <v>0</v>
      </c>
      <c r="D146" s="57">
        <v>8.0</v>
      </c>
      <c r="E146" s="46">
        <f t="shared" si="2"/>
        <v>0</v>
      </c>
      <c r="F146" s="42">
        <f t="shared" si="3"/>
        <v>0.16</v>
      </c>
      <c r="G146" s="73">
        <v>2.0</v>
      </c>
      <c r="H146" s="73">
        <v>3.0</v>
      </c>
      <c r="I146" s="52" t="str">
        <f>HYPERLINK("https://www.facebook.com/SXMGOV/photos/a.501207666717230/1593814080789911/?type=3&amp;__xts__%5B0%5D=68.ARDp-xBn8zxGlmjIcwy09dVYzH5dINjj4h9eTKs9SKg3cEXxrIZglXm9mtVBa8Y9fFo4F7qVHZd4RLnhh7y7uKF6AUJbOrtGdK516F-86u6VLsA5InbNDcrhcfovPOT_eBNnLVcukPqm21nG-veJY_qNIr9"&amp;"w5sU_avfeTcyO7Y8ddoVuTPgLGY4wET6_pUVSaxvYC2_OiFk3utLoVFyFBY-LvMgzF_l2T9LUwEHKDAxJaxQwG7O1AQXSRUpHkn6zQJ-iOTaLSqz0VYsD_ewf3eIfg6kk3Wz5M1hJ9H8U4qvPfcFqi64bcSeYg5vMI-Y0vY98M56WRfgiEhYsp_1gdppD0A&amp;__tn__=-R","Source")</f>
        <v>Source</v>
      </c>
      <c r="J146" s="115"/>
      <c r="K146" s="33"/>
      <c r="L146" s="57">
        <v>50.0</v>
      </c>
      <c r="M146" s="57">
        <v>8.0</v>
      </c>
      <c r="N146" s="31"/>
      <c r="O146" s="31"/>
      <c r="P146" s="31"/>
    </row>
    <row r="147" ht="30.0" customHeight="1">
      <c r="A147" s="37" t="s">
        <v>331</v>
      </c>
      <c r="B147" s="57">
        <v>48.0</v>
      </c>
      <c r="C147" s="41">
        <f t="shared" si="1"/>
        <v>0</v>
      </c>
      <c r="D147" s="57">
        <v>4.0</v>
      </c>
      <c r="E147" s="46">
        <f t="shared" si="2"/>
        <v>0</v>
      </c>
      <c r="F147" s="42">
        <f t="shared" si="3"/>
        <v>0.08333333333</v>
      </c>
      <c r="G147" s="73" t="s">
        <v>22</v>
      </c>
      <c r="H147" s="73">
        <v>25.0</v>
      </c>
      <c r="I147" s="52" t="str">
        <f>HYPERLINK("https://www.gov.bm/coronavirus","Source")</f>
        <v>Source</v>
      </c>
      <c r="J147" s="51"/>
      <c r="K147" s="33"/>
      <c r="L147" s="57">
        <v>48.0</v>
      </c>
      <c r="M147" s="57">
        <v>4.0</v>
      </c>
      <c r="N147" s="31"/>
      <c r="O147" s="31"/>
      <c r="P147" s="31"/>
    </row>
    <row r="148" ht="30.0" customHeight="1">
      <c r="A148" s="37" t="s">
        <v>332</v>
      </c>
      <c r="B148" s="57">
        <v>46.0</v>
      </c>
      <c r="C148" s="41">
        <f t="shared" si="1"/>
        <v>0</v>
      </c>
      <c r="D148" s="57">
        <v>1.0</v>
      </c>
      <c r="E148" s="46">
        <f t="shared" si="2"/>
        <v>0</v>
      </c>
      <c r="F148" s="59">
        <f t="shared" si="3"/>
        <v>0.02173913043</v>
      </c>
      <c r="G148" s="73" t="s">
        <v>22</v>
      </c>
      <c r="H148" s="73">
        <v>1.0</v>
      </c>
      <c r="I148" s="52" t="str">
        <f>HYPERLINK("https://www.facebook.com/Covid19GOUVGA/photos/a.111308650479592/127416238868833/?type=3&amp;theater","Source")</f>
        <v>Source</v>
      </c>
      <c r="J148" s="51"/>
      <c r="K148" s="33"/>
      <c r="L148" s="57">
        <v>46.0</v>
      </c>
      <c r="M148" s="57">
        <v>1.0</v>
      </c>
      <c r="N148" s="31"/>
      <c r="O148" s="31"/>
      <c r="P148" s="31"/>
    </row>
    <row r="149" ht="30.0" customHeight="1">
      <c r="A149" s="37" t="s">
        <v>333</v>
      </c>
      <c r="B149" s="57">
        <v>45.0</v>
      </c>
      <c r="C149" s="41">
        <f t="shared" si="1"/>
        <v>0</v>
      </c>
      <c r="D149" s="57">
        <v>1.0</v>
      </c>
      <c r="E149" s="46">
        <f t="shared" si="2"/>
        <v>0</v>
      </c>
      <c r="F149" s="42">
        <f t="shared" si="3"/>
        <v>0.02222222222</v>
      </c>
      <c r="G149" s="73" t="s">
        <v>22</v>
      </c>
      <c r="H149" s="73" t="s">
        <v>22</v>
      </c>
      <c r="I149" s="52" t="str">
        <f>HYPERLINK("http://www.gov.ky/portal/page/portal/cighome/pressroom/archive/202004/Sunday%205%20April%20COVID-19%20Update","Source")</f>
        <v>Source</v>
      </c>
      <c r="J149" s="115"/>
      <c r="K149" s="33"/>
      <c r="L149" s="57">
        <v>45.0</v>
      </c>
      <c r="M149" s="57">
        <v>1.0</v>
      </c>
      <c r="N149" s="31"/>
      <c r="O149" s="31"/>
      <c r="P149" s="31"/>
    </row>
    <row r="150" ht="30.0" customHeight="1">
      <c r="A150" s="37" t="s">
        <v>334</v>
      </c>
      <c r="B150" s="57">
        <v>45.0</v>
      </c>
      <c r="C150" s="41">
        <f t="shared" si="1"/>
        <v>0</v>
      </c>
      <c r="D150" s="57">
        <v>0.0</v>
      </c>
      <c r="E150" s="46">
        <f t="shared" si="2"/>
        <v>0</v>
      </c>
      <c r="F150" s="59">
        <f t="shared" si="3"/>
        <v>0</v>
      </c>
      <c r="G150" s="73">
        <v>1.0</v>
      </c>
      <c r="H150" s="73">
        <v>10.0</v>
      </c>
      <c r="I150" s="52" t="str">
        <f>HYPERLINK("https://news.gov.mo/detail/en/N20DHoBwQi?1","Source")</f>
        <v>Source</v>
      </c>
      <c r="J150" s="115"/>
      <c r="K150" s="33"/>
      <c r="L150" s="57">
        <v>45.0</v>
      </c>
      <c r="M150" s="57">
        <v>0.0</v>
      </c>
      <c r="N150" s="31"/>
      <c r="O150" s="31"/>
      <c r="P150" s="31"/>
    </row>
    <row r="151" ht="30.0" customHeight="1">
      <c r="A151" s="37" t="s">
        <v>335</v>
      </c>
      <c r="B151" s="57">
        <v>41.0</v>
      </c>
      <c r="C151" s="41">
        <f t="shared" si="1"/>
        <v>0</v>
      </c>
      <c r="D151" s="57">
        <v>8.0</v>
      </c>
      <c r="E151" s="46">
        <f t="shared" si="2"/>
        <v>0</v>
      </c>
      <c r="F151" s="59">
        <f t="shared" si="3"/>
        <v>0.1951219512</v>
      </c>
      <c r="G151" s="73">
        <v>0.0</v>
      </c>
      <c r="H151" s="73">
        <v>5.0</v>
      </c>
      <c r="I151" s="52" t="str">
        <f>HYPERLINK("https://www.facebook.com/MOHBahamas/posts/1086521831730966?__tn__=-R","Source")</f>
        <v>Source</v>
      </c>
      <c r="J151" s="51"/>
      <c r="K151" s="33"/>
      <c r="L151" s="57">
        <v>41.0</v>
      </c>
      <c r="M151" s="57">
        <v>8.0</v>
      </c>
      <c r="N151" s="31"/>
      <c r="O151" s="31"/>
      <c r="P151" s="31"/>
    </row>
    <row r="152" ht="30.0" customHeight="1">
      <c r="A152" s="37" t="s">
        <v>336</v>
      </c>
      <c r="B152" s="57">
        <v>40.0</v>
      </c>
      <c r="C152" s="41">
        <f t="shared" si="1"/>
        <v>0</v>
      </c>
      <c r="D152" s="57">
        <v>2.0</v>
      </c>
      <c r="E152" s="46">
        <f t="shared" si="2"/>
        <v>0</v>
      </c>
      <c r="F152" s="42">
        <f t="shared" si="3"/>
        <v>0.05</v>
      </c>
      <c r="G152" s="73" t="s">
        <v>22</v>
      </c>
      <c r="H152" s="73">
        <v>7.0</v>
      </c>
      <c r="I152" s="52" t="str">
        <f>HYPERLINK("https://www.facebook.com/EdgarChagwaLungu/photos/a.831065900282970/2992112924178246/?type=3&amp;theater","Source")</f>
        <v>Source</v>
      </c>
      <c r="J152" s="51"/>
      <c r="K152" s="33"/>
      <c r="L152" s="57">
        <v>40.0</v>
      </c>
      <c r="M152" s="57">
        <v>2.0</v>
      </c>
      <c r="N152" s="31"/>
      <c r="O152" s="31"/>
      <c r="P152" s="31"/>
    </row>
    <row r="153" ht="30.0" customHeight="1">
      <c r="A153" s="37" t="s">
        <v>337</v>
      </c>
      <c r="B153" s="57">
        <v>37.0</v>
      </c>
      <c r="C153" s="41">
        <f t="shared" si="1"/>
        <v>0</v>
      </c>
      <c r="D153" s="57">
        <v>6.0</v>
      </c>
      <c r="E153" s="46">
        <f t="shared" si="2"/>
        <v>0</v>
      </c>
      <c r="F153" s="59">
        <f t="shared" si="3"/>
        <v>0.1621621622</v>
      </c>
      <c r="G153" s="73">
        <v>4.0</v>
      </c>
      <c r="H153" s="73">
        <v>8.0</v>
      </c>
      <c r="I153" s="52" t="str">
        <f>HYPERLINK("https://dpi.gov.gy/guyana-confirms-fifth-covid-19-death/","Source")</f>
        <v>Source</v>
      </c>
      <c r="J153" s="115"/>
      <c r="K153" s="33"/>
      <c r="L153" s="57">
        <v>37.0</v>
      </c>
      <c r="M153" s="57">
        <v>6.0</v>
      </c>
      <c r="N153" s="31"/>
      <c r="O153" s="31"/>
      <c r="P153" s="31"/>
    </row>
    <row r="154" ht="30.0" customHeight="1">
      <c r="A154" s="37" t="s">
        <v>338</v>
      </c>
      <c r="B154" s="57">
        <v>37.0</v>
      </c>
      <c r="C154" s="41">
        <f t="shared" si="1"/>
        <v>0</v>
      </c>
      <c r="D154" s="57">
        <v>5.0</v>
      </c>
      <c r="E154" s="46">
        <f t="shared" si="2"/>
        <v>0</v>
      </c>
      <c r="F154" s="42">
        <f t="shared" si="3"/>
        <v>0.1351351351</v>
      </c>
      <c r="G154" s="73" t="s">
        <v>22</v>
      </c>
      <c r="H154" s="73">
        <v>3.0</v>
      </c>
      <c r="I154" s="52" t="str">
        <f>HYPERLINK("https://www.facebook.com/164280647325112/photos/a.347331779019997/967839716969197/?type=3&amp;theater","Source")</f>
        <v>Source</v>
      </c>
      <c r="J154" s="51"/>
      <c r="K154" s="33"/>
      <c r="L154" s="57">
        <v>37.0</v>
      </c>
      <c r="M154" s="57">
        <v>5.0</v>
      </c>
      <c r="N154" s="31"/>
      <c r="O154" s="31"/>
      <c r="P154" s="31"/>
    </row>
    <row r="155" ht="30.0" customHeight="1">
      <c r="A155" s="37" t="s">
        <v>339</v>
      </c>
      <c r="B155" s="57">
        <v>35.0</v>
      </c>
      <c r="C155" s="41">
        <f t="shared" si="1"/>
        <v>0</v>
      </c>
      <c r="D155" s="57">
        <v>1.0</v>
      </c>
      <c r="E155" s="46">
        <f t="shared" si="2"/>
        <v>0</v>
      </c>
      <c r="F155" s="59">
        <f t="shared" si="3"/>
        <v>0.02857142857</v>
      </c>
      <c r="G155" s="73" t="s">
        <v>22</v>
      </c>
      <c r="H155" s="73">
        <v>5.0</v>
      </c>
      <c r="I155" s="52" t="str">
        <f>HYPERLINK("https://www.gouv.bj/coronavirus/","Source")</f>
        <v>Source</v>
      </c>
      <c r="J155" s="51"/>
      <c r="K155" s="33"/>
      <c r="L155" s="57">
        <v>35.0</v>
      </c>
      <c r="M155" s="57">
        <v>1.0</v>
      </c>
      <c r="N155" s="31"/>
      <c r="O155" s="31"/>
      <c r="P155" s="31"/>
    </row>
    <row r="156" ht="30.0" customHeight="1">
      <c r="A156" s="37" t="s">
        <v>340</v>
      </c>
      <c r="B156" s="57">
        <v>35.0</v>
      </c>
      <c r="C156" s="41">
        <f t="shared" si="1"/>
        <v>0</v>
      </c>
      <c r="D156" s="57">
        <v>0.0</v>
      </c>
      <c r="E156" s="46">
        <f t="shared" si="2"/>
        <v>0</v>
      </c>
      <c r="F156" s="59">
        <f t="shared" si="3"/>
        <v>0</v>
      </c>
      <c r="G156" s="73" t="s">
        <v>22</v>
      </c>
      <c r="H156" s="73">
        <v>0.0</v>
      </c>
      <c r="I156" s="52" t="str">
        <f>HYPERLINK("https://pbs.twimg.com/media/EVOvolFU0AExNIU.jpg","Source")</f>
        <v>Source</v>
      </c>
      <c r="J156" s="51"/>
      <c r="K156" s="33"/>
      <c r="L156" s="57">
        <v>35.0</v>
      </c>
      <c r="M156" s="57">
        <v>0.0</v>
      </c>
      <c r="N156" s="31"/>
      <c r="O156" s="31"/>
      <c r="P156" s="31"/>
    </row>
    <row r="157" ht="30.0" customHeight="1">
      <c r="A157" s="37" t="s">
        <v>341</v>
      </c>
      <c r="B157" s="57">
        <v>34.0</v>
      </c>
      <c r="C157" s="41">
        <f t="shared" si="1"/>
        <v>0</v>
      </c>
      <c r="D157" s="57">
        <v>0.0</v>
      </c>
      <c r="E157" s="46">
        <f t="shared" si="2"/>
        <v>0</v>
      </c>
      <c r="F157" s="42">
        <f t="shared" si="3"/>
        <v>0</v>
      </c>
      <c r="G157" s="73" t="s">
        <v>22</v>
      </c>
      <c r="H157" s="73">
        <v>0.0</v>
      </c>
      <c r="I157" s="52" t="str">
        <f>HYPERLINK("http://www.shabait.com/news/local-news/30448-announcement-from-the-ministry-of-health","Source")</f>
        <v>Source</v>
      </c>
      <c r="J157" s="51"/>
      <c r="K157" s="33"/>
      <c r="L157" s="57">
        <v>34.0</v>
      </c>
      <c r="M157" s="57">
        <v>0.0</v>
      </c>
      <c r="N157" s="31"/>
      <c r="O157" s="35"/>
      <c r="P157" s="31"/>
    </row>
    <row r="158" ht="30.0" customHeight="1">
      <c r="A158" s="37" t="s">
        <v>342</v>
      </c>
      <c r="B158" s="57">
        <v>32.0</v>
      </c>
      <c r="C158" s="41">
        <f t="shared" si="1"/>
        <v>0</v>
      </c>
      <c r="D158" s="57">
        <v>3.0</v>
      </c>
      <c r="E158" s="46">
        <f t="shared" si="2"/>
        <v>0</v>
      </c>
      <c r="F158" s="59">
        <f t="shared" si="3"/>
        <v>0.09375</v>
      </c>
      <c r="G158" s="73" t="s">
        <v>22</v>
      </c>
      <c r="H158" s="73">
        <v>5.0</v>
      </c>
      <c r="I158" s="52" t="str">
        <f>HYPERLINK("https://www.thecitizen.co.tz/news/-Tanzania-records-two-more-deaths-as-Covid-19-cases-rise-to-32/1840340-5520214-4vrxe7/index.html","Source")</f>
        <v>Source</v>
      </c>
      <c r="J158" s="51"/>
      <c r="K158" s="33"/>
      <c r="L158" s="57">
        <v>32.0</v>
      </c>
      <c r="M158" s="57">
        <v>3.0</v>
      </c>
      <c r="N158" s="31"/>
      <c r="O158" s="31"/>
      <c r="P158" s="31"/>
    </row>
    <row r="159" ht="30.0" customHeight="1">
      <c r="A159" s="37" t="s">
        <v>343</v>
      </c>
      <c r="B159" s="57">
        <v>31.0</v>
      </c>
      <c r="C159" s="41">
        <f t="shared" si="1"/>
        <v>0</v>
      </c>
      <c r="D159" s="57">
        <v>2.0</v>
      </c>
      <c r="E159" s="46">
        <f t="shared" si="2"/>
        <v>0</v>
      </c>
      <c r="F159" s="42">
        <f t="shared" si="3"/>
        <v>0.06451612903</v>
      </c>
      <c r="G159" s="73" t="s">
        <v>22</v>
      </c>
      <c r="H159" s="73" t="s">
        <v>22</v>
      </c>
      <c r="I159" s="52" t="str">
        <f>HYPERLINK("https://twitter.com/MsppOfficiel/status/1248685630630084608","Source")</f>
        <v>Source</v>
      </c>
      <c r="J159" s="51"/>
      <c r="K159" s="33"/>
      <c r="L159" s="57">
        <v>31.0</v>
      </c>
      <c r="M159" s="57">
        <v>2.0</v>
      </c>
      <c r="N159" s="31"/>
      <c r="O159" s="31"/>
      <c r="P159" s="31"/>
    </row>
    <row r="160" ht="30.0" customHeight="1">
      <c r="A160" s="37" t="s">
        <v>344</v>
      </c>
      <c r="B160" s="57">
        <v>28.0</v>
      </c>
      <c r="C160" s="41">
        <f t="shared" si="1"/>
        <v>0</v>
      </c>
      <c r="D160" s="57">
        <v>3.0</v>
      </c>
      <c r="E160" s="46">
        <f t="shared" si="2"/>
        <v>0</v>
      </c>
      <c r="F160" s="42">
        <f t="shared" si="3"/>
        <v>0.1071428571</v>
      </c>
      <c r="G160" s="73" t="s">
        <v>22</v>
      </c>
      <c r="H160" s="73">
        <v>2.0</v>
      </c>
      <c r="I160" s="52" t="str">
        <f>HYPERLINK("https://www.facebook.com/MinistryOfHealthAndSportsMyanmar/posts/3316201105075838?__xts__[0]=68.ARCJyGafpFqJQV2fXc_RxlXcARHTGTQRYr4FmArdsSnThXcv-mDkewKHs401rQ53xDltf0hOFRB5Nt7DtFhRE5QDIv2hFRE-52gLZtCCGjJY3vX82Y3HvE5fmR0QWja5NIjmYTR_KTu-97Xz0evqFQbo_WjXr1qM"&amp;"VYZkae8QlI4zPyjgsaSWE9AZsuB6lGJA85_6GtcxZASZS4iQPtx5PSiKMpdM2cideZ8bw8_qCGOh8s4JXAKs_KyNan4_tLY-lJIGvgLeXzvhRkZZ7QfFKElThF-K9x_NLqDET_U2BTVObf5Q4RF9mJsogGGV7Z1PIGXPAm0m3cqZMQE71IdhV-laLA&amp;__tn__=-R","Source")</f>
        <v>Source</v>
      </c>
      <c r="J160" s="51"/>
      <c r="K160" s="33"/>
      <c r="L160" s="57">
        <v>28.0</v>
      </c>
      <c r="M160" s="57">
        <v>3.0</v>
      </c>
      <c r="N160" s="31"/>
      <c r="O160" s="31"/>
      <c r="P160" s="31"/>
    </row>
    <row r="161" ht="30.0" customHeight="1">
      <c r="A161" s="37" t="s">
        <v>345</v>
      </c>
      <c r="B161" s="57">
        <v>24.0</v>
      </c>
      <c r="C161" s="41">
        <f t="shared" si="1"/>
        <v>0</v>
      </c>
      <c r="D161" s="57">
        <v>1.0</v>
      </c>
      <c r="E161" s="46">
        <f t="shared" si="2"/>
        <v>0</v>
      </c>
      <c r="F161" s="42">
        <f t="shared" si="3"/>
        <v>0.04166666667</v>
      </c>
      <c r="G161" s="73" t="s">
        <v>22</v>
      </c>
      <c r="H161" s="73">
        <v>1.0</v>
      </c>
      <c r="I161" s="52" t="str">
        <f>HYPERLINK("https://www.panapress.com/Coronavirus-Libya-records-three--a_630636793-lang2.html","Source")</f>
        <v>Source</v>
      </c>
      <c r="J161" s="51"/>
      <c r="K161" s="33"/>
      <c r="L161" s="57">
        <v>24.0</v>
      </c>
      <c r="M161" s="57">
        <v>1.0</v>
      </c>
      <c r="N161" s="31"/>
      <c r="O161" s="31"/>
      <c r="P161" s="31"/>
    </row>
    <row r="162" ht="30.0" customHeight="1">
      <c r="A162" s="37" t="s">
        <v>346</v>
      </c>
      <c r="B162" s="57">
        <v>21.0</v>
      </c>
      <c r="C162" s="41">
        <f t="shared" si="1"/>
        <v>0</v>
      </c>
      <c r="D162" s="57">
        <v>1.0</v>
      </c>
      <c r="E162" s="46">
        <f t="shared" si="2"/>
        <v>0</v>
      </c>
      <c r="F162" s="42">
        <f t="shared" si="3"/>
        <v>0.04761904762</v>
      </c>
      <c r="G162" s="73" t="s">
        <v>22</v>
      </c>
      <c r="H162" s="73">
        <v>1.0</v>
      </c>
      <c r="I162" s="52" t="str">
        <f>HYPERLINK("https://twitter.com/HarunMaruf/status/1248643390159364097","Source")</f>
        <v>Source</v>
      </c>
      <c r="J162" s="51"/>
      <c r="K162" s="33"/>
      <c r="L162" s="57">
        <v>21.0</v>
      </c>
      <c r="M162" s="57">
        <v>1.0</v>
      </c>
      <c r="N162" s="31"/>
      <c r="O162" s="31"/>
      <c r="P162" s="31"/>
    </row>
    <row r="163" ht="30.0" customHeight="1">
      <c r="A163" s="37" t="s">
        <v>347</v>
      </c>
      <c r="B163" s="57">
        <v>20.0</v>
      </c>
      <c r="C163" s="41">
        <f t="shared" si="1"/>
        <v>0</v>
      </c>
      <c r="D163" s="57">
        <v>0.0</v>
      </c>
      <c r="E163" s="46">
        <f t="shared" si="2"/>
        <v>0</v>
      </c>
      <c r="F163" s="42">
        <f t="shared" si="3"/>
        <v>0</v>
      </c>
      <c r="G163" s="73" t="s">
        <v>22</v>
      </c>
      <c r="H163" s="73">
        <v>2.0</v>
      </c>
      <c r="I163" s="52" t="str">
        <f>HYPERLINK("http://www.misau.gov.mz/index.php/136-subiu-para-20-o-numero-de-casos-de-contaminacao-com-o-coronavirus-em-mocambique-contudo-o-pais-conta-ja-a-data-de-hoje-com-dois-02-casos-recuperados","Source")</f>
        <v>Source</v>
      </c>
      <c r="J163" s="51"/>
      <c r="K163" s="33"/>
      <c r="L163" s="57">
        <v>20.0</v>
      </c>
      <c r="M163" s="57">
        <v>0.0</v>
      </c>
      <c r="N163" s="31"/>
      <c r="O163" s="31"/>
      <c r="P163" s="31"/>
    </row>
    <row r="164" ht="30.0" customHeight="1">
      <c r="A164" s="37" t="s">
        <v>348</v>
      </c>
      <c r="B164" s="57">
        <v>19.0</v>
      </c>
      <c r="C164" s="41">
        <f t="shared" si="1"/>
        <v>0</v>
      </c>
      <c r="D164" s="57">
        <v>2.0</v>
      </c>
      <c r="E164" s="46">
        <f t="shared" si="2"/>
        <v>0</v>
      </c>
      <c r="F164" s="59">
        <f t="shared" si="3"/>
        <v>0.1052631579</v>
      </c>
      <c r="G164" s="73">
        <v>0.0</v>
      </c>
      <c r="H164" s="73">
        <v>0.0</v>
      </c>
      <c r="I164" s="52" t="str">
        <f>HYPERLINK("https://antiguaobserver.com/people-still-believe-theyre-invincible-pm/","Source")</f>
        <v>Source</v>
      </c>
      <c r="J164" s="51"/>
      <c r="K164" s="33"/>
      <c r="L164" s="57">
        <v>19.0</v>
      </c>
      <c r="M164" s="57">
        <v>2.0</v>
      </c>
      <c r="N164" s="31"/>
      <c r="O164" s="31"/>
      <c r="P164" s="31"/>
    </row>
    <row r="165" ht="30.0" customHeight="1">
      <c r="A165" s="37" t="s">
        <v>349</v>
      </c>
      <c r="B165" s="57">
        <v>19.0</v>
      </c>
      <c r="C165" s="41">
        <f t="shared" si="1"/>
        <v>0</v>
      </c>
      <c r="D165" s="57">
        <v>2.0</v>
      </c>
      <c r="E165" s="46">
        <f t="shared" si="2"/>
        <v>0</v>
      </c>
      <c r="F165" s="42">
        <f t="shared" si="3"/>
        <v>0.1052631579</v>
      </c>
      <c r="G165" s="73">
        <v>0.0</v>
      </c>
      <c r="H165" s="73">
        <v>4.0</v>
      </c>
      <c r="I165" s="52" t="str">
        <f>HYPERLINK("https://sana.sy/?p=1133575","Source")</f>
        <v>Source</v>
      </c>
      <c r="J165" s="115"/>
      <c r="K165" s="33"/>
      <c r="L165" s="57">
        <v>19.0</v>
      </c>
      <c r="M165" s="57">
        <v>2.0</v>
      </c>
      <c r="N165" s="31"/>
      <c r="O165" s="31"/>
      <c r="P165" s="31"/>
    </row>
    <row r="166" ht="30.0" customHeight="1">
      <c r="A166" s="37" t="s">
        <v>350</v>
      </c>
      <c r="B166" s="57">
        <v>19.0</v>
      </c>
      <c r="C166" s="41">
        <f t="shared" si="1"/>
        <v>0</v>
      </c>
      <c r="D166" s="57">
        <v>2.0</v>
      </c>
      <c r="E166" s="46">
        <f t="shared" si="2"/>
        <v>0</v>
      </c>
      <c r="F166" s="59">
        <f t="shared" si="3"/>
        <v>0.1052631579</v>
      </c>
      <c r="G166" s="73">
        <v>0.0</v>
      </c>
      <c r="H166" s="73">
        <v>2.0</v>
      </c>
      <c r="I166" s="52" t="str">
        <f>HYPERLINK("http://www.angop.ao/angola/en_us/noticias/saude/2020/3/15/COVID-Angola-with-new-infection-hours,7be47188-6ec6-4a00-b971-c4baf5e4e578.html","Source")</f>
        <v>Source</v>
      </c>
      <c r="J166" s="51"/>
      <c r="K166" s="33"/>
      <c r="L166" s="57">
        <v>19.0</v>
      </c>
      <c r="M166" s="57">
        <v>2.0</v>
      </c>
      <c r="N166" s="31"/>
      <c r="O166" s="31"/>
      <c r="P166" s="31"/>
    </row>
    <row r="167" ht="27.75" customHeight="1">
      <c r="A167" s="37" t="s">
        <v>351</v>
      </c>
      <c r="B167" s="57">
        <v>19.0</v>
      </c>
      <c r="C167" s="41">
        <f t="shared" si="1"/>
        <v>0</v>
      </c>
      <c r="D167" s="57">
        <v>0.0</v>
      </c>
      <c r="E167" s="46">
        <f t="shared" si="2"/>
        <v>0</v>
      </c>
      <c r="F167" s="59">
        <f t="shared" si="3"/>
        <v>0</v>
      </c>
      <c r="G167" s="73" t="s">
        <v>22</v>
      </c>
      <c r="H167" s="73">
        <v>13.0</v>
      </c>
      <c r="I167" s="52" t="str">
        <f>HYPERLINK("https://covid19.health.gov.mv/en/","Source")</f>
        <v>Source</v>
      </c>
      <c r="J167" s="115"/>
      <c r="K167" s="33"/>
      <c r="L167" s="57">
        <v>19.0</v>
      </c>
      <c r="M167" s="57">
        <v>0.0</v>
      </c>
      <c r="N167" s="31"/>
      <c r="O167" s="31"/>
      <c r="P167" s="31"/>
    </row>
    <row r="168" ht="30.0" customHeight="1">
      <c r="A168" s="37" t="s">
        <v>352</v>
      </c>
      <c r="B168" s="57">
        <v>18.0</v>
      </c>
      <c r="C168" s="41">
        <f t="shared" si="1"/>
        <v>0</v>
      </c>
      <c r="D168" s="57">
        <v>0.0</v>
      </c>
      <c r="E168" s="46">
        <f t="shared" si="2"/>
        <v>0</v>
      </c>
      <c r="F168" s="59">
        <f t="shared" si="3"/>
        <v>0</v>
      </c>
      <c r="G168" s="73">
        <v>1.0</v>
      </c>
      <c r="H168" s="73">
        <v>1.0</v>
      </c>
      <c r="I168" s="52" t="str">
        <f>HYPERLINK("https://gouv.nc/coronavirus","Source")</f>
        <v>Source</v>
      </c>
      <c r="J168" s="115"/>
      <c r="K168" s="33"/>
      <c r="L168" s="57">
        <v>18.0</v>
      </c>
      <c r="M168" s="57">
        <v>0.0</v>
      </c>
      <c r="N168" s="31"/>
      <c r="O168" s="31"/>
      <c r="P168" s="31"/>
    </row>
    <row r="169" ht="30.0" customHeight="1">
      <c r="A169" s="37" t="s">
        <v>353</v>
      </c>
      <c r="B169" s="57">
        <v>18.0</v>
      </c>
      <c r="C169" s="41">
        <f t="shared" si="1"/>
        <v>0</v>
      </c>
      <c r="D169" s="57">
        <v>0.0</v>
      </c>
      <c r="E169" s="46">
        <f t="shared" si="2"/>
        <v>0</v>
      </c>
      <c r="F169" s="42">
        <f t="shared" si="3"/>
        <v>0</v>
      </c>
      <c r="G169" s="73" t="s">
        <v>22</v>
      </c>
      <c r="H169" s="73">
        <v>3.0</v>
      </c>
      <c r="I169" s="52" t="str">
        <f>HYPERLINK("https://twitter.com/MitohaOndo/status/1247929866298765312","Source")</f>
        <v>Source</v>
      </c>
      <c r="J169" s="51"/>
      <c r="K169" s="33"/>
      <c r="L169" s="57">
        <v>18.0</v>
      </c>
      <c r="M169" s="57">
        <v>0.0</v>
      </c>
      <c r="N169" s="31"/>
      <c r="O169" s="31"/>
      <c r="P169" s="31"/>
    </row>
    <row r="170" ht="30.0" customHeight="1">
      <c r="A170" s="37" t="s">
        <v>354</v>
      </c>
      <c r="B170" s="57">
        <v>16.0</v>
      </c>
      <c r="C170" s="41">
        <f t="shared" si="1"/>
        <v>0</v>
      </c>
      <c r="D170" s="57">
        <v>0.0</v>
      </c>
      <c r="E170" s="46">
        <f t="shared" si="2"/>
        <v>0</v>
      </c>
      <c r="F170" s="59">
        <f t="shared" si="3"/>
        <v>0</v>
      </c>
      <c r="G170" s="73">
        <v>0.0</v>
      </c>
      <c r="H170" s="73">
        <v>1.0</v>
      </c>
      <c r="I170" s="52" t="str">
        <f>HYPERLINK("https://www.namibian.com.na/90058/read/Sixteen-health-workers-in-self-isolation","Source")</f>
        <v>Source</v>
      </c>
      <c r="J170" s="115"/>
      <c r="K170" s="33"/>
      <c r="L170" s="57">
        <v>16.0</v>
      </c>
      <c r="M170" s="57">
        <v>0.0</v>
      </c>
      <c r="N170" s="31"/>
      <c r="O170" s="31"/>
      <c r="P170" s="31"/>
    </row>
    <row r="171" ht="30.0" customHeight="1">
      <c r="A171" s="37" t="s">
        <v>355</v>
      </c>
      <c r="B171" s="57">
        <v>16.0</v>
      </c>
      <c r="C171" s="41">
        <f t="shared" si="1"/>
        <v>0</v>
      </c>
      <c r="D171" s="57">
        <v>0.0</v>
      </c>
      <c r="E171" s="46">
        <f t="shared" si="2"/>
        <v>0</v>
      </c>
      <c r="F171" s="42">
        <f t="shared" si="3"/>
        <v>0</v>
      </c>
      <c r="G171" s="73" t="s">
        <v>22</v>
      </c>
      <c r="H171" s="73" t="s">
        <v>22</v>
      </c>
      <c r="I171" s="52" t="str">
        <f>HYPERLINK("https://www.covid19.gov.la/","Source")</f>
        <v>Source</v>
      </c>
      <c r="J171" s="115"/>
      <c r="K171" s="33"/>
      <c r="L171" s="57">
        <v>16.0</v>
      </c>
      <c r="M171" s="57">
        <v>0.0</v>
      </c>
      <c r="N171" s="31"/>
      <c r="O171" s="31"/>
      <c r="P171" s="31"/>
    </row>
    <row r="172" ht="30.0" customHeight="1">
      <c r="A172" s="37" t="s">
        <v>356</v>
      </c>
      <c r="B172" s="57">
        <v>16.0</v>
      </c>
      <c r="C172" s="41">
        <f t="shared" si="1"/>
        <v>0</v>
      </c>
      <c r="D172" s="57">
        <v>0.0</v>
      </c>
      <c r="E172" s="46">
        <f t="shared" si="2"/>
        <v>0</v>
      </c>
      <c r="F172" s="59">
        <f t="shared" si="3"/>
        <v>0</v>
      </c>
      <c r="G172" s="73" t="s">
        <v>22</v>
      </c>
      <c r="H172" s="73">
        <v>0.0</v>
      </c>
      <c r="I172" s="52" t="str">
        <f>HYPERLINK("https://www.fbcnews.com.fj/news/covid-19-cases-go-up/","Source")</f>
        <v>Source</v>
      </c>
      <c r="J172" s="51"/>
      <c r="K172" s="33"/>
      <c r="L172" s="57">
        <v>16.0</v>
      </c>
      <c r="M172" s="57">
        <v>0.0</v>
      </c>
      <c r="N172" s="31"/>
      <c r="O172" s="31"/>
      <c r="P172" s="31"/>
    </row>
    <row r="173" ht="30.0" customHeight="1">
      <c r="A173" s="37" t="s">
        <v>357</v>
      </c>
      <c r="B173" s="57">
        <v>16.0</v>
      </c>
      <c r="C173" s="41">
        <f t="shared" si="1"/>
        <v>0</v>
      </c>
      <c r="D173" s="57">
        <v>0.0</v>
      </c>
      <c r="E173" s="46">
        <f t="shared" si="2"/>
        <v>0</v>
      </c>
      <c r="F173" s="42">
        <f t="shared" si="3"/>
        <v>0</v>
      </c>
      <c r="G173" s="73" t="s">
        <v>22</v>
      </c>
      <c r="H173" s="73">
        <v>4.0</v>
      </c>
      <c r="I173" s="52" t="str">
        <f>HYPERLINK("https://montsame.mn/en/read/221465","Source")</f>
        <v>Source</v>
      </c>
      <c r="J173" s="51"/>
      <c r="K173" s="33"/>
      <c r="L173" s="57">
        <v>16.0</v>
      </c>
      <c r="M173" s="57">
        <v>0.0</v>
      </c>
      <c r="N173" s="31"/>
      <c r="O173" s="31"/>
      <c r="P173" s="31"/>
    </row>
    <row r="174" ht="30.0" customHeight="1">
      <c r="A174" s="37" t="s">
        <v>358</v>
      </c>
      <c r="B174" s="57">
        <v>15.0</v>
      </c>
      <c r="C174" s="41">
        <f t="shared" si="1"/>
        <v>0</v>
      </c>
      <c r="D174" s="57">
        <v>0.0</v>
      </c>
      <c r="E174" s="46">
        <f t="shared" si="2"/>
        <v>0</v>
      </c>
      <c r="F174" s="42">
        <f t="shared" si="3"/>
        <v>0</v>
      </c>
      <c r="G174" s="73">
        <v>0.0</v>
      </c>
      <c r="H174" s="73">
        <v>1.0</v>
      </c>
      <c r="I174" s="52" t="str">
        <f>HYPERLINK("https://www.stlucianewsonline.com/breaking-news-st-lucia-records-15th-case-of-covid-19/","Source")</f>
        <v>Source</v>
      </c>
      <c r="J174" s="51"/>
      <c r="K174" s="33"/>
      <c r="L174" s="57">
        <v>15.0</v>
      </c>
      <c r="M174" s="57">
        <v>0.0</v>
      </c>
      <c r="N174" s="31"/>
      <c r="O174" s="31"/>
      <c r="P174" s="31"/>
    </row>
    <row r="175" ht="30.0" customHeight="1">
      <c r="A175" s="37" t="s">
        <v>359</v>
      </c>
      <c r="B175" s="57">
        <v>14.0</v>
      </c>
      <c r="C175" s="41">
        <f t="shared" si="1"/>
        <v>0</v>
      </c>
      <c r="D175" s="57">
        <v>2.0</v>
      </c>
      <c r="E175" s="46">
        <f t="shared" si="2"/>
        <v>0</v>
      </c>
      <c r="F175" s="42">
        <f t="shared" si="3"/>
        <v>0.1428571429</v>
      </c>
      <c r="G175" s="73" t="s">
        <v>22</v>
      </c>
      <c r="H175" s="73">
        <v>2.0</v>
      </c>
      <c r="I175" s="52" t="str">
        <f>HYPERLINK("https://www.fmoh.gov.sd/","Source")</f>
        <v>Source</v>
      </c>
      <c r="J175" s="51"/>
      <c r="K175" s="33"/>
      <c r="L175" s="57">
        <v>14.0</v>
      </c>
      <c r="M175" s="57">
        <v>2.0</v>
      </c>
      <c r="N175" s="31"/>
      <c r="O175" s="31"/>
      <c r="P175" s="31"/>
    </row>
    <row r="176" ht="30.0" customHeight="1">
      <c r="A176" s="37" t="s">
        <v>360</v>
      </c>
      <c r="B176" s="57">
        <v>14.0</v>
      </c>
      <c r="C176" s="41">
        <f t="shared" si="1"/>
        <v>0</v>
      </c>
      <c r="D176" s="57">
        <v>1.0</v>
      </c>
      <c r="E176" s="46">
        <f t="shared" si="2"/>
        <v>0</v>
      </c>
      <c r="F176" s="42">
        <f t="shared" si="3"/>
        <v>0.07142857143</v>
      </c>
      <c r="G176" s="73" t="s">
        <v>22</v>
      </c>
      <c r="H176" s="73">
        <v>7.0</v>
      </c>
      <c r="I176" s="52" t="str">
        <f>HYPERLINK("https://www.curacaochronicle.com/post/local/update-covid-19-confirmed-cases-remain-at-14-one-inconclusive/","Source")</f>
        <v>Source</v>
      </c>
      <c r="J176" s="51"/>
      <c r="K176" s="66" t="s">
        <v>24</v>
      </c>
      <c r="L176" s="57">
        <v>14.0</v>
      </c>
      <c r="M176" s="57">
        <v>1.0</v>
      </c>
      <c r="N176" s="31"/>
      <c r="O176" s="31"/>
      <c r="P176" s="31"/>
    </row>
    <row r="177" ht="30.0" customHeight="1">
      <c r="A177" s="37" t="s">
        <v>361</v>
      </c>
      <c r="B177" s="57">
        <v>14.0</v>
      </c>
      <c r="C177" s="41">
        <f t="shared" si="1"/>
        <v>0</v>
      </c>
      <c r="D177" s="57">
        <v>0.0</v>
      </c>
      <c r="E177" s="46">
        <f t="shared" si="2"/>
        <v>0</v>
      </c>
      <c r="F177" s="42">
        <f t="shared" si="3"/>
        <v>0</v>
      </c>
      <c r="G177" s="73">
        <v>1.0</v>
      </c>
      <c r="H177" s="73">
        <v>0.0</v>
      </c>
      <c r="I177" s="52" t="str">
        <f>HYPERLINK("https://covid19.gov.gd/","Source")</f>
        <v>Source</v>
      </c>
      <c r="J177" s="51"/>
      <c r="K177" s="33"/>
      <c r="L177" s="57">
        <v>14.0</v>
      </c>
      <c r="M177" s="57">
        <v>0.0</v>
      </c>
      <c r="N177" s="31"/>
      <c r="O177" s="31"/>
      <c r="P177" s="31"/>
    </row>
    <row r="178" ht="30.0" customHeight="1">
      <c r="A178" s="37" t="s">
        <v>362</v>
      </c>
      <c r="B178" s="57">
        <v>13.0</v>
      </c>
      <c r="C178" s="41">
        <f t="shared" si="1"/>
        <v>0</v>
      </c>
      <c r="D178" s="57">
        <v>3.0</v>
      </c>
      <c r="E178" s="46">
        <f t="shared" si="2"/>
        <v>0</v>
      </c>
      <c r="F178" s="59">
        <f t="shared" si="3"/>
        <v>0.2307692308</v>
      </c>
      <c r="G178" s="73">
        <v>0.0</v>
      </c>
      <c r="H178" s="73">
        <v>0.0</v>
      </c>
      <c r="I178" s="52" t="str">
        <f>HYPERLINK("https://twitter.com/MoHCCZim/status/1248693461659856897","Source")</f>
        <v>Source</v>
      </c>
      <c r="J178" s="51"/>
      <c r="K178" s="33"/>
      <c r="L178" s="57">
        <v>13.0</v>
      </c>
      <c r="M178" s="57">
        <v>3.0</v>
      </c>
      <c r="N178" s="31"/>
      <c r="O178" s="31"/>
      <c r="P178" s="31"/>
    </row>
    <row r="179" ht="27.75" customHeight="1">
      <c r="A179" s="37" t="s">
        <v>363</v>
      </c>
      <c r="B179" s="57">
        <v>13.0</v>
      </c>
      <c r="C179" s="41">
        <f t="shared" si="1"/>
        <v>0</v>
      </c>
      <c r="D179" s="57">
        <v>1.0</v>
      </c>
      <c r="E179" s="46">
        <f t="shared" si="2"/>
        <v>0</v>
      </c>
      <c r="F179" s="42">
        <f t="shared" si="3"/>
        <v>0.07692307692</v>
      </c>
      <c r="G179" s="73" t="s">
        <v>22</v>
      </c>
      <c r="H179" s="73" t="s">
        <v>22</v>
      </c>
      <c r="I179" s="52" t="str">
        <f>HYPERLINK("https://twitter.com/BWGovernment/status/1248181443328651264","Source")</f>
        <v>Source</v>
      </c>
      <c r="J179" s="115"/>
      <c r="K179" s="33"/>
      <c r="L179" s="57">
        <v>13.0</v>
      </c>
      <c r="M179" s="57">
        <v>1.0</v>
      </c>
      <c r="N179" s="31"/>
      <c r="O179" s="31"/>
      <c r="P179" s="31"/>
    </row>
    <row r="180" ht="30.0" customHeight="1">
      <c r="A180" s="37" t="s">
        <v>364</v>
      </c>
      <c r="B180" s="57">
        <v>12.0</v>
      </c>
      <c r="C180" s="41">
        <f t="shared" si="1"/>
        <v>0</v>
      </c>
      <c r="D180" s="57">
        <v>0.0</v>
      </c>
      <c r="E180" s="46">
        <f t="shared" si="2"/>
        <v>0</v>
      </c>
      <c r="F180" s="42">
        <f t="shared" si="3"/>
        <v>0</v>
      </c>
      <c r="G180" s="73" t="s">
        <v>22</v>
      </c>
      <c r="H180" s="73">
        <v>1.0</v>
      </c>
      <c r="I180" s="52" t="str">
        <f>HYPERLINK("http://health.gov.vc/health/images/PDF/COVID-19_Press_Release_NEMO_NEOC_1.pdf","Source")</f>
        <v>Source</v>
      </c>
      <c r="J180" s="51"/>
      <c r="K180" s="33"/>
      <c r="L180" s="57">
        <v>12.0</v>
      </c>
      <c r="M180" s="57">
        <v>0.0</v>
      </c>
      <c r="N180" s="31"/>
      <c r="O180" s="31"/>
      <c r="P180" s="31"/>
    </row>
    <row r="181" ht="30.0" customHeight="1">
      <c r="A181" s="37" t="s">
        <v>365</v>
      </c>
      <c r="B181" s="57">
        <v>12.0</v>
      </c>
      <c r="C181" s="41">
        <f t="shared" si="1"/>
        <v>0</v>
      </c>
      <c r="D181" s="57">
        <v>0.0</v>
      </c>
      <c r="E181" s="46">
        <f t="shared" si="2"/>
        <v>0</v>
      </c>
      <c r="F181" s="42">
        <f t="shared" si="3"/>
        <v>0</v>
      </c>
      <c r="G181" s="73">
        <v>0.0</v>
      </c>
      <c r="H181" s="73">
        <v>7.0</v>
      </c>
      <c r="I181" s="52" t="str">
        <f>HYPERLINK("https://twitter.com/EswatiniGovern1/status/1248642232200167429","Source")</f>
        <v>Source</v>
      </c>
      <c r="J181" s="51"/>
      <c r="K181" s="33"/>
      <c r="L181" s="57">
        <v>12.0</v>
      </c>
      <c r="M181" s="57">
        <v>0.0</v>
      </c>
      <c r="N181" s="31"/>
      <c r="O181" s="31"/>
      <c r="P181" s="31"/>
    </row>
    <row r="182" ht="30.0" customHeight="1">
      <c r="A182" s="37" t="s">
        <v>366</v>
      </c>
      <c r="B182" s="57">
        <v>12.0</v>
      </c>
      <c r="C182" s="41">
        <f t="shared" si="1"/>
        <v>0</v>
      </c>
      <c r="D182" s="57">
        <v>0.0</v>
      </c>
      <c r="E182" s="46">
        <f t="shared" si="2"/>
        <v>0</v>
      </c>
      <c r="F182" s="59">
        <f t="shared" si="3"/>
        <v>0</v>
      </c>
      <c r="G182" s="73" t="s">
        <v>22</v>
      </c>
      <c r="H182" s="73">
        <v>0.0</v>
      </c>
      <c r="I182" s="52" t="str">
        <f>HYPERLINK("https://www.covid19.gov.kn/","Source")</f>
        <v>Source</v>
      </c>
      <c r="J182" s="51"/>
      <c r="K182" s="33"/>
      <c r="L182" s="57">
        <v>12.0</v>
      </c>
      <c r="M182" s="57">
        <v>0.0</v>
      </c>
      <c r="N182" s="31"/>
      <c r="O182" s="31"/>
      <c r="P182" s="31"/>
    </row>
    <row r="183" ht="30.0" customHeight="1">
      <c r="A183" s="37" t="s">
        <v>367</v>
      </c>
      <c r="B183" s="57">
        <v>11.0</v>
      </c>
      <c r="C183" s="41">
        <f t="shared" si="1"/>
        <v>0</v>
      </c>
      <c r="D183" s="57">
        <v>0.0</v>
      </c>
      <c r="E183" s="46">
        <f t="shared" si="2"/>
        <v>0</v>
      </c>
      <c r="F183" s="59">
        <f t="shared" si="3"/>
        <v>0</v>
      </c>
      <c r="G183" s="73" t="s">
        <v>22</v>
      </c>
      <c r="H183" s="73">
        <v>2.0</v>
      </c>
      <c r="I183" s="52" t="str">
        <f>HYPERLINK("https://nun.gl/Emner/Borgere/Coronavirus_emne/Foelg_smittespredningen?sc_lang=da","Source")</f>
        <v>Source</v>
      </c>
      <c r="J183" s="115"/>
      <c r="K183" s="33"/>
      <c r="L183" s="57">
        <v>11.0</v>
      </c>
      <c r="M183" s="57">
        <v>0.0</v>
      </c>
      <c r="N183" s="31"/>
      <c r="O183" s="31"/>
      <c r="P183" s="31"/>
    </row>
    <row r="184" ht="30.0" customHeight="1">
      <c r="A184" s="37" t="s">
        <v>195</v>
      </c>
      <c r="B184" s="57">
        <v>11.0</v>
      </c>
      <c r="C184" s="41">
        <f t="shared" si="1"/>
        <v>0</v>
      </c>
      <c r="D184" s="57">
        <v>0.0</v>
      </c>
      <c r="E184" s="46">
        <f t="shared" si="2"/>
        <v>0</v>
      </c>
      <c r="F184" s="42">
        <f t="shared" si="3"/>
        <v>0</v>
      </c>
      <c r="G184" s="73" t="s">
        <v>22</v>
      </c>
      <c r="H184" s="73" t="s">
        <v>22</v>
      </c>
      <c r="I184" s="52" t="str">
        <f>HYPERLINK("https://tass.com/world/1141457","Source")</f>
        <v>Source</v>
      </c>
      <c r="J184" s="29"/>
      <c r="K184" s="33"/>
      <c r="L184" s="57">
        <v>11.0</v>
      </c>
      <c r="M184" s="57">
        <v>0.0</v>
      </c>
      <c r="N184" s="31"/>
      <c r="O184" s="31"/>
      <c r="P184" s="31"/>
    </row>
    <row r="185" ht="30.0" customHeight="1">
      <c r="A185" s="37" t="s">
        <v>368</v>
      </c>
      <c r="B185" s="57">
        <v>11.0</v>
      </c>
      <c r="C185" s="41">
        <f t="shared" si="1"/>
        <v>0</v>
      </c>
      <c r="D185" s="57">
        <v>0.0</v>
      </c>
      <c r="E185" s="46">
        <f t="shared" si="2"/>
        <v>0</v>
      </c>
      <c r="F185" s="59">
        <f t="shared" si="3"/>
        <v>0</v>
      </c>
      <c r="G185" s="73">
        <v>1.0</v>
      </c>
      <c r="H185" s="73">
        <v>0.0</v>
      </c>
      <c r="I185" s="52" t="str">
        <f>HYPERLINK("http://www.health.gov.sc/index.php/2020/04/06/public-health-authority-records-new-case-of-covid-19/","Source")</f>
        <v>Source</v>
      </c>
      <c r="J185" s="115"/>
      <c r="K185" s="33"/>
      <c r="L185" s="57">
        <v>11.0</v>
      </c>
      <c r="M185" s="57">
        <v>0.0</v>
      </c>
      <c r="N185" s="31"/>
      <c r="O185" s="31"/>
      <c r="P185" s="31"/>
    </row>
    <row r="186" ht="30.0" customHeight="1">
      <c r="A186" s="37" t="s">
        <v>369</v>
      </c>
      <c r="B186" s="57">
        <v>11.0</v>
      </c>
      <c r="C186" s="41">
        <f t="shared" si="1"/>
        <v>0</v>
      </c>
      <c r="D186" s="57">
        <v>0.0</v>
      </c>
      <c r="E186" s="46">
        <f t="shared" si="2"/>
        <v>0</v>
      </c>
      <c r="F186" s="59">
        <f t="shared" si="3"/>
        <v>0</v>
      </c>
      <c r="G186" s="73" t="s">
        <v>22</v>
      </c>
      <c r="H186" s="73">
        <v>2.0</v>
      </c>
      <c r="I186" s="52" t="str">
        <f>HYPERLINK("https://www.facebook.com/ministeresantetchad/photos/a.597628504017561/880810365699372/?type=3&amp;theater","Source")</f>
        <v>Source</v>
      </c>
      <c r="J186" s="51"/>
      <c r="K186" s="33"/>
      <c r="L186" s="57">
        <v>11.0</v>
      </c>
      <c r="M186" s="57">
        <v>0.0</v>
      </c>
      <c r="N186" s="31"/>
      <c r="O186" s="31"/>
      <c r="P186" s="31"/>
    </row>
    <row r="187" ht="30.0" customHeight="1">
      <c r="A187" s="37" t="s">
        <v>370</v>
      </c>
      <c r="B187" s="57">
        <v>10.0</v>
      </c>
      <c r="C187" s="41">
        <f t="shared" si="1"/>
        <v>0</v>
      </c>
      <c r="D187" s="57">
        <v>1.0</v>
      </c>
      <c r="E187" s="46">
        <f t="shared" si="2"/>
        <v>0</v>
      </c>
      <c r="F187" s="42">
        <f t="shared" si="3"/>
        <v>0.1</v>
      </c>
      <c r="G187" s="73" t="s">
        <v>22</v>
      </c>
      <c r="H187" s="73">
        <v>4.0</v>
      </c>
      <c r="I187" s="52" t="str">
        <f>HYPERLINK("https://covid-19.sr/","Source")</f>
        <v>Source</v>
      </c>
      <c r="J187" s="115"/>
      <c r="K187" s="33"/>
      <c r="L187" s="57">
        <v>10.0</v>
      </c>
      <c r="M187" s="57">
        <v>1.0</v>
      </c>
      <c r="N187" s="31"/>
      <c r="O187" s="31"/>
      <c r="P187" s="31"/>
    </row>
    <row r="188" ht="30.0" customHeight="1">
      <c r="A188" s="37" t="s">
        <v>371</v>
      </c>
      <c r="B188" s="57">
        <v>10.0</v>
      </c>
      <c r="C188" s="41">
        <f t="shared" si="1"/>
        <v>0</v>
      </c>
      <c r="D188" s="57">
        <v>0.0</v>
      </c>
      <c r="E188" s="46">
        <f t="shared" si="2"/>
        <v>0</v>
      </c>
      <c r="F188" s="59">
        <f t="shared" si="3"/>
        <v>0</v>
      </c>
      <c r="G188" s="73" t="s">
        <v>22</v>
      </c>
      <c r="H188" s="73">
        <v>3.0</v>
      </c>
      <c r="I188" s="52" t="str">
        <f>HYPERLINK("https://pbs.twimg.com/media/EVOvolFU0AExNIU.jpg","Source")</f>
        <v>Source</v>
      </c>
      <c r="J188" s="51"/>
      <c r="K188" s="33"/>
      <c r="L188" s="57">
        <v>10.0</v>
      </c>
      <c r="M188" s="57">
        <v>0.0</v>
      </c>
      <c r="N188" s="31"/>
      <c r="O188" s="31"/>
      <c r="P188" s="31"/>
    </row>
    <row r="189" ht="30.0" customHeight="1">
      <c r="A189" s="37" t="s">
        <v>372</v>
      </c>
      <c r="B189" s="57">
        <v>10.0</v>
      </c>
      <c r="C189" s="41">
        <f t="shared" si="1"/>
        <v>0</v>
      </c>
      <c r="D189" s="57">
        <v>1.0</v>
      </c>
      <c r="E189" s="46">
        <f t="shared" si="2"/>
        <v>0</v>
      </c>
      <c r="F189" s="42">
        <f t="shared" si="3"/>
        <v>0.1</v>
      </c>
      <c r="G189" s="73" t="s">
        <v>22</v>
      </c>
      <c r="H189" s="73">
        <v>0.0</v>
      </c>
      <c r="I189" s="52" t="str">
        <f>HYPERLINK("http://www.7newsbelize.com/index.php#story3","Source")</f>
        <v>Source</v>
      </c>
      <c r="J189" s="51"/>
      <c r="K189" s="33"/>
      <c r="L189" s="57">
        <v>10.0</v>
      </c>
      <c r="M189" s="57">
        <v>1.0</v>
      </c>
      <c r="N189" s="31"/>
      <c r="O189" s="31"/>
      <c r="P189" s="31"/>
    </row>
    <row r="190" ht="30.0" customHeight="1">
      <c r="A190" s="37" t="s">
        <v>373</v>
      </c>
      <c r="B190" s="57">
        <v>9.0</v>
      </c>
      <c r="C190" s="41">
        <f t="shared" si="1"/>
        <v>0</v>
      </c>
      <c r="D190" s="57">
        <v>0.0</v>
      </c>
      <c r="E190" s="46">
        <f t="shared" si="2"/>
        <v>0</v>
      </c>
      <c r="F190" s="59">
        <f t="shared" si="3"/>
        <v>0</v>
      </c>
      <c r="G190" s="73" t="s">
        <v>22</v>
      </c>
      <c r="H190" s="73">
        <v>1.0</v>
      </c>
      <c r="I190" s="52" t="str">
        <f>HYPERLINK("https://kathmandupost.com/covid19","Source")</f>
        <v>Source</v>
      </c>
      <c r="J190" s="115"/>
      <c r="K190" s="33"/>
      <c r="L190" s="57">
        <v>9.0</v>
      </c>
      <c r="M190" s="57">
        <v>0.0</v>
      </c>
      <c r="N190" s="31"/>
      <c r="O190" s="31"/>
      <c r="P190" s="31"/>
    </row>
    <row r="191" ht="30.0" customHeight="1">
      <c r="A191" s="37" t="s">
        <v>374</v>
      </c>
      <c r="B191" s="57">
        <v>9.0</v>
      </c>
      <c r="C191" s="41">
        <f t="shared" si="1"/>
        <v>0</v>
      </c>
      <c r="D191" s="57">
        <v>1.0</v>
      </c>
      <c r="E191" s="46">
        <f t="shared" si="2"/>
        <v>0</v>
      </c>
      <c r="F191" s="42">
        <f t="shared" si="3"/>
        <v>0.1111111111</v>
      </c>
      <c r="G191" s="73" t="s">
        <v>22</v>
      </c>
      <c r="H191" s="73" t="s">
        <v>22</v>
      </c>
      <c r="I191" s="52" t="str">
        <f>HYPERLINK("https://twitter.com/NationOnlineMw/status/1248503051570290688","Source")</f>
        <v>Source</v>
      </c>
      <c r="J191" s="51"/>
      <c r="K191" s="33"/>
      <c r="L191" s="57">
        <v>9.0</v>
      </c>
      <c r="M191" s="57">
        <v>1.0</v>
      </c>
      <c r="N191" s="31"/>
      <c r="O191" s="31"/>
      <c r="P191" s="31"/>
    </row>
    <row r="192" ht="30.0" customHeight="1">
      <c r="A192" s="37" t="s">
        <v>375</v>
      </c>
      <c r="B192" s="57">
        <v>9.0</v>
      </c>
      <c r="C192" s="41">
        <f t="shared" si="1"/>
        <v>0</v>
      </c>
      <c r="D192" s="57">
        <v>0.0</v>
      </c>
      <c r="E192" s="46">
        <f t="shared" si="2"/>
        <v>0</v>
      </c>
      <c r="F192" s="59">
        <f t="shared" si="3"/>
        <v>0</v>
      </c>
      <c r="G192" s="73">
        <v>1.0</v>
      </c>
      <c r="H192" s="73">
        <v>0.0</v>
      </c>
      <c r="I192" s="52" t="str">
        <f>HYPERLINK("https://www.facebook.com/MontserratMOH/posts/649865608922214?__xts__[0]=68.ARCn5Wp1J6Eagy8n4aIcAmFs-ag4yGelhsnoGaPmL59m_T5PzWcVgQWI6kNcj64-JT2BocQAQGkdakul1-r7pP3dlYPpQfO4H2BE8dixOuCHRdDaSLbykZzXNVllF1whywCvjPljSMEWhzwmrREbjhQlETK7IPJgWD2Am_OTUnMJYBg2x_-m"&amp;"Rl6OxkUtYSmNnSIVnj2bimwSE1J3GDpXmjgWFHyOqKmx3GPWf3aLljzVG1UooV9JCk13RhlRI3LguYuFRiRIOpK-nzZi_25bcIIS1_G9Jbmc-mkyx_hGyjxClv1s_HcnmP9B2EIpbNeAgkq7YGaRdSWl6PsvdVZ7dBIfCwlY2Hz_dP1BKaFppBYh6HV_Rfb1CdWYguGXWgX77vHhwUf_fKsAvZtZOnTnBmzap_KQCe5hrz6PfSvCaxIAnKg80LS"&amp;"9wq88VaBlU5L_xTkVykL6hBbr9rJSHzBI6pfPMA_f9qzlIUmx7x1_rICeNq38Eu0&amp;__tn__=-R","Source")</f>
        <v>Source</v>
      </c>
      <c r="J192" s="51"/>
      <c r="K192" s="33"/>
      <c r="L192" s="57">
        <v>9.0</v>
      </c>
      <c r="M192" s="57">
        <v>0.0</v>
      </c>
      <c r="N192" s="31"/>
      <c r="O192" s="31"/>
      <c r="P192" s="31"/>
    </row>
    <row r="193" ht="30.0" customHeight="1">
      <c r="A193" s="37" t="s">
        <v>376</v>
      </c>
      <c r="B193" s="57">
        <v>8.0</v>
      </c>
      <c r="C193" s="41">
        <f t="shared" si="1"/>
        <v>0</v>
      </c>
      <c r="D193" s="57">
        <v>1.0</v>
      </c>
      <c r="E193" s="46">
        <f t="shared" si="2"/>
        <v>0</v>
      </c>
      <c r="F193" s="59">
        <f t="shared" si="3"/>
        <v>0.125</v>
      </c>
      <c r="G193" s="73" t="s">
        <v>22</v>
      </c>
      <c r="H193" s="73">
        <v>0.0</v>
      </c>
      <c r="I193" s="52" t="str">
        <f>HYPERLINK("https://gov.tc/moh/coronavirus/covid-dashboard/96-tci-covid-19-dashboard-april-10-2020","Source")</f>
        <v>Source</v>
      </c>
      <c r="J193" s="51"/>
      <c r="K193" s="66" t="s">
        <v>24</v>
      </c>
      <c r="L193" s="57">
        <v>8.0</v>
      </c>
      <c r="M193" s="57">
        <v>1.0</v>
      </c>
      <c r="N193" s="31"/>
      <c r="O193" s="31"/>
      <c r="P193" s="31"/>
    </row>
    <row r="194" ht="30.0" customHeight="1">
      <c r="A194" s="37" t="s">
        <v>295</v>
      </c>
      <c r="B194" s="57">
        <v>8.0</v>
      </c>
      <c r="C194" s="41">
        <f t="shared" si="1"/>
        <v>0</v>
      </c>
      <c r="D194" s="57">
        <v>1.0</v>
      </c>
      <c r="E194" s="46">
        <f t="shared" si="2"/>
        <v>0</v>
      </c>
      <c r="F194" s="42">
        <f t="shared" si="3"/>
        <v>0.125</v>
      </c>
      <c r="G194" s="73">
        <v>3.0</v>
      </c>
      <c r="H194" s="73">
        <v>2.0</v>
      </c>
      <c r="I194" s="52" t="str">
        <f>HYPERLINK("https://www.laprensa.com.ni/2020/04/10/nacionales/2661316-nicaragua-registra-un-octavo-caso-de-covid-19-se-trata-de-un-contagio-local","Source")</f>
        <v>Source</v>
      </c>
      <c r="J194" s="51"/>
      <c r="K194" s="33"/>
      <c r="L194" s="57">
        <v>8.0</v>
      </c>
      <c r="M194" s="57">
        <v>1.0</v>
      </c>
      <c r="N194" s="31"/>
      <c r="O194" s="31"/>
      <c r="P194" s="31"/>
    </row>
    <row r="195" ht="30.0" customHeight="1">
      <c r="A195" s="37" t="s">
        <v>377</v>
      </c>
      <c r="B195" s="57">
        <v>8.0</v>
      </c>
      <c r="C195" s="41">
        <f t="shared" si="1"/>
        <v>0</v>
      </c>
      <c r="D195" s="57">
        <v>0.0</v>
      </c>
      <c r="E195" s="46">
        <f t="shared" si="2"/>
        <v>0</v>
      </c>
      <c r="F195" s="42">
        <f t="shared" si="3"/>
        <v>0</v>
      </c>
      <c r="G195" s="73" t="s">
        <v>22</v>
      </c>
      <c r="H195" s="73">
        <v>0.0</v>
      </c>
      <c r="I195" s="52" t="str">
        <f>HYPERLINK("https://www.facebook.com/mic.gov.sl/photos/a.310063372915015/608345819753434/?type=3&amp;__xts__%5B0%5D=68.ARAmSMFZuSKoIbJS_QBb-ty2gGqfg49U6byZTZABfq9YMq_rtgbliZDOv5DqOQ_JhcK3oATp6XOfxUUEKDlWNE3P5x6rBvMtFbnhKizPmKjQzexYhm6_3CGCGEj1hN-f-9ahWOGhqd3_bGsLwjCU3r3k"&amp;"TrBDNz6iE3eLxBbYEi2xKYyqB8zCDTxkG-ilmwnOcs-w_aOJKcdLWvzKtQOgM-C325oL6XfRz9153dpZIKz4LYF0sjNAubbR4nCdDiLqQwX7EHO51QcoErqqC0GWbuLQMW4CZBZJ5a7aGZmMhGS71xUbn2rpYsHYeqyJXm6egvQh-j_uqsCobVTXXQt-nNY&amp;__tn__=-R","Source")</f>
        <v>Source</v>
      </c>
      <c r="J195" s="51"/>
      <c r="K195" s="33"/>
      <c r="L195" s="57">
        <v>8.0</v>
      </c>
      <c r="M195" s="57">
        <v>0.0</v>
      </c>
      <c r="N195" s="31"/>
      <c r="O195" s="31"/>
      <c r="P195" s="31"/>
    </row>
    <row r="196" ht="27.75" customHeight="1">
      <c r="A196" s="37" t="s">
        <v>378</v>
      </c>
      <c r="B196" s="161">
        <v>8.0</v>
      </c>
      <c r="C196" s="162">
        <f t="shared" si="1"/>
        <v>0</v>
      </c>
      <c r="D196" s="163">
        <v>0.0</v>
      </c>
      <c r="E196" s="164">
        <f t="shared" si="2"/>
        <v>0</v>
      </c>
      <c r="F196" s="42">
        <f t="shared" si="3"/>
        <v>0</v>
      </c>
      <c r="G196" s="73" t="s">
        <v>22</v>
      </c>
      <c r="H196" s="73">
        <v>2.0</v>
      </c>
      <c r="I196" s="52" t="str">
        <f>HYPERLINK("https://www.vaticannews.va/en/vatican-city/news/2020-04/vatican-coronavirus-8-cases-press-office-bruni.html","Source")</f>
        <v>Source</v>
      </c>
      <c r="J196" s="51"/>
      <c r="K196" s="33"/>
      <c r="L196" s="161">
        <v>8.0</v>
      </c>
      <c r="M196" s="163">
        <v>0.0</v>
      </c>
      <c r="N196" s="31"/>
      <c r="O196" s="35"/>
      <c r="P196" s="31"/>
    </row>
    <row r="197" ht="30.0" customHeight="1">
      <c r="A197" s="37" t="s">
        <v>379</v>
      </c>
      <c r="B197" s="57">
        <v>7.0</v>
      </c>
      <c r="C197" s="41">
        <f t="shared" si="1"/>
        <v>0</v>
      </c>
      <c r="D197" s="57">
        <v>1.0</v>
      </c>
      <c r="E197" s="46">
        <f t="shared" si="2"/>
        <v>0</v>
      </c>
      <c r="F197" s="42">
        <f t="shared" si="3"/>
        <v>0.1428571429</v>
      </c>
      <c r="G197" s="73">
        <v>0.0</v>
      </c>
      <c r="H197" s="73">
        <v>0.0</v>
      </c>
      <c r="I197" s="52" t="str">
        <f>HYPERLINK("https://covid19.cv/","Source")</f>
        <v>Source</v>
      </c>
      <c r="J197" s="51"/>
      <c r="K197" s="33"/>
      <c r="L197" s="57">
        <v>7.0</v>
      </c>
      <c r="M197" s="57">
        <v>1.0</v>
      </c>
      <c r="N197" s="31"/>
      <c r="O197" s="31"/>
      <c r="P197" s="31"/>
    </row>
    <row r="198" ht="30.0" customHeight="1">
      <c r="A198" s="37" t="s">
        <v>380</v>
      </c>
      <c r="B198" s="57">
        <v>7.0</v>
      </c>
      <c r="C198" s="41">
        <f t="shared" si="1"/>
        <v>0</v>
      </c>
      <c r="D198" s="57">
        <v>1.0</v>
      </c>
      <c r="E198" s="46">
        <f t="shared" si="2"/>
        <v>0</v>
      </c>
      <c r="F198" s="59">
        <f t="shared" si="3"/>
        <v>0.1428571429</v>
      </c>
      <c r="G198" s="73">
        <v>0.0</v>
      </c>
      <c r="H198" s="73">
        <v>2.0</v>
      </c>
      <c r="I198" s="52" t="str">
        <f>HYPERLINK("http://www.sante.gov.mr/?p=3924","Source")</f>
        <v>Source</v>
      </c>
      <c r="J198" s="51"/>
      <c r="K198" s="33"/>
      <c r="L198" s="57">
        <v>7.0</v>
      </c>
      <c r="M198" s="57">
        <v>1.0</v>
      </c>
      <c r="N198" s="31"/>
      <c r="O198" s="31"/>
      <c r="P198" s="31"/>
    </row>
    <row r="199" ht="30.0" customHeight="1">
      <c r="A199" s="37" t="s">
        <v>381</v>
      </c>
      <c r="B199" s="57">
        <v>6.0</v>
      </c>
      <c r="C199" s="41">
        <v>0.0</v>
      </c>
      <c r="D199" s="57">
        <v>0.0</v>
      </c>
      <c r="E199" s="46">
        <f t="shared" si="2"/>
        <v>0</v>
      </c>
      <c r="F199" s="59">
        <f t="shared" si="3"/>
        <v>0</v>
      </c>
      <c r="G199" s="73" t="s">
        <v>22</v>
      </c>
      <c r="H199" s="73">
        <v>4.0</v>
      </c>
      <c r="I199" s="52" t="str">
        <f>HYPERLINK("https://www.journaldesaintbarth.com/actualites/conseil-territorial/lobjectif-cest-de-rassurer-la-population-et-obtenir-la-levee-du-confinement--202004042028.html","Source")</f>
        <v>Source</v>
      </c>
      <c r="J199" s="115"/>
      <c r="K199" s="33"/>
      <c r="L199" s="57">
        <v>6.0</v>
      </c>
      <c r="M199" s="57">
        <v>0.0</v>
      </c>
      <c r="N199" s="31"/>
      <c r="O199" s="31"/>
      <c r="P199" s="31"/>
    </row>
    <row r="200" ht="27.75" customHeight="1">
      <c r="A200" s="37" t="s">
        <v>382</v>
      </c>
      <c r="B200" s="57">
        <v>5.0</v>
      </c>
      <c r="C200" s="162">
        <f t="shared" ref="C200:C211" si="4">MINUS(B200,L200)</f>
        <v>0</v>
      </c>
      <c r="D200" s="57">
        <v>0.0</v>
      </c>
      <c r="E200" s="46">
        <f t="shared" si="2"/>
        <v>0</v>
      </c>
      <c r="F200" s="59">
        <f t="shared" si="3"/>
        <v>0</v>
      </c>
      <c r="G200" s="73" t="s">
        <v>22</v>
      </c>
      <c r="H200" s="73">
        <v>2.0</v>
      </c>
      <c r="I200" s="52" t="str">
        <f>HYPERLINK("http://www.bbs.bt/news/?p=130632","Source")</f>
        <v>Source</v>
      </c>
      <c r="J200" s="115"/>
      <c r="K200" s="33"/>
      <c r="L200" s="57">
        <v>5.0</v>
      </c>
      <c r="M200" s="57">
        <v>0.0</v>
      </c>
      <c r="N200" s="31"/>
      <c r="O200" s="31"/>
      <c r="P200" s="31"/>
    </row>
    <row r="201" ht="30.0" customHeight="1">
      <c r="A201" s="37" t="s">
        <v>383</v>
      </c>
      <c r="B201" s="57">
        <v>5.0</v>
      </c>
      <c r="C201" s="41">
        <f t="shared" si="4"/>
        <v>0</v>
      </c>
      <c r="D201" s="57">
        <v>0.0</v>
      </c>
      <c r="E201" s="46">
        <f t="shared" si="2"/>
        <v>0</v>
      </c>
      <c r="F201" s="42">
        <f t="shared" si="3"/>
        <v>0</v>
      </c>
      <c r="G201" s="73">
        <v>0.0</v>
      </c>
      <c r="H201" s="73">
        <v>2.0</v>
      </c>
      <c r="I201" s="52" t="str">
        <f>HYPERLINK("https://twitter.com/FalklandsinUK/status/1248354168550670336","Source")</f>
        <v>Source</v>
      </c>
      <c r="J201" s="51"/>
      <c r="K201" s="33"/>
      <c r="L201" s="57">
        <v>5.0</v>
      </c>
      <c r="M201" s="57">
        <v>0.0</v>
      </c>
      <c r="N201" s="31"/>
      <c r="O201" s="31"/>
      <c r="P201" s="31"/>
    </row>
    <row r="202" ht="30.0" customHeight="1">
      <c r="A202" s="37" t="s">
        <v>384</v>
      </c>
      <c r="B202" s="57">
        <v>4.0</v>
      </c>
      <c r="C202" s="41">
        <f t="shared" si="4"/>
        <v>0</v>
      </c>
      <c r="D202" s="57">
        <v>1.0</v>
      </c>
      <c r="E202" s="46">
        <f t="shared" si="2"/>
        <v>0</v>
      </c>
      <c r="F202" s="42">
        <f t="shared" si="3"/>
        <v>0.25</v>
      </c>
      <c r="G202" s="73" t="s">
        <v>22</v>
      </c>
      <c r="H202" s="73">
        <v>2.0</v>
      </c>
      <c r="I202" s="52" t="str">
        <f>HYPERLINK("https://twitter.com/MohGambia/status/1248727897625497601","Source")</f>
        <v>Source</v>
      </c>
      <c r="J202" s="51"/>
      <c r="K202" s="66" t="s">
        <v>24</v>
      </c>
      <c r="L202" s="57">
        <v>4.0</v>
      </c>
      <c r="M202" s="57">
        <v>1.0</v>
      </c>
      <c r="N202" s="31"/>
      <c r="O202" s="31"/>
      <c r="P202" s="31"/>
    </row>
    <row r="203" ht="30.0" customHeight="1">
      <c r="A203" s="37" t="s">
        <v>385</v>
      </c>
      <c r="B203" s="57">
        <v>4.0</v>
      </c>
      <c r="C203" s="41">
        <f t="shared" si="4"/>
        <v>0</v>
      </c>
      <c r="D203" s="57">
        <v>0.0</v>
      </c>
      <c r="E203" s="46">
        <f t="shared" si="2"/>
        <v>0</v>
      </c>
      <c r="F203" s="59">
        <f t="shared" si="3"/>
        <v>0</v>
      </c>
      <c r="G203" s="73" t="s">
        <v>22</v>
      </c>
      <c r="H203" s="73" t="s">
        <v>22</v>
      </c>
      <c r="I203" s="52" t="str">
        <f>HYPERLINK("http://www.china.org.cn/world/Off_the_Wire/2020-04/10/content_75917985.htm","Source")</f>
        <v>Source</v>
      </c>
      <c r="J203" s="51"/>
      <c r="K203" s="33"/>
      <c r="L203" s="57">
        <v>4.0</v>
      </c>
      <c r="M203" s="57">
        <v>0.0</v>
      </c>
      <c r="N203" s="31"/>
      <c r="O203" s="31"/>
      <c r="P203" s="31"/>
    </row>
    <row r="204" ht="30.0" customHeight="1">
      <c r="A204" s="37" t="s">
        <v>235</v>
      </c>
      <c r="B204" s="57">
        <v>4.0</v>
      </c>
      <c r="C204" s="41">
        <f t="shared" si="4"/>
        <v>0</v>
      </c>
      <c r="D204" s="57">
        <v>0.0</v>
      </c>
      <c r="E204" s="46">
        <f t="shared" si="2"/>
        <v>0</v>
      </c>
      <c r="F204" s="59">
        <f t="shared" si="3"/>
        <v>0</v>
      </c>
      <c r="G204" s="73" t="s">
        <v>22</v>
      </c>
      <c r="H204" s="73" t="s">
        <v>22</v>
      </c>
      <c r="I204" s="52" t="str">
        <f>HYPERLINK("https://fr.africanews.com/2020/04/08/coronavirus-sao-tome-et-principe-annonce-ses-premiers-cas/?utm_term=Autofeed&amp;utm_medium=AfricanewsFR&amp;utm_source=Twitter#Echobox=1586333344","Source")</f>
        <v>Source</v>
      </c>
      <c r="J204" s="51"/>
      <c r="K204" s="33"/>
      <c r="L204" s="57">
        <v>4.0</v>
      </c>
      <c r="M204" s="57">
        <v>0.0</v>
      </c>
      <c r="N204" s="31"/>
      <c r="O204" s="31"/>
      <c r="P204" s="31"/>
    </row>
    <row r="205" ht="30.0" customHeight="1">
      <c r="A205" s="37" t="s">
        <v>386</v>
      </c>
      <c r="B205" s="57">
        <v>3.0</v>
      </c>
      <c r="C205" s="41">
        <f t="shared" si="4"/>
        <v>0</v>
      </c>
      <c r="D205" s="57">
        <v>0.0</v>
      </c>
      <c r="E205" s="46">
        <f t="shared" si="2"/>
        <v>0</v>
      </c>
      <c r="F205" s="42">
        <f t="shared" si="3"/>
        <v>0</v>
      </c>
      <c r="G205" s="73" t="s">
        <v>22</v>
      </c>
      <c r="H205" s="73">
        <v>0.0</v>
      </c>
      <c r="I205" s="52" t="str">
        <f>HYPERLINK("https://bvi.gov.vg/covid-19","Source")</f>
        <v>Source</v>
      </c>
      <c r="J205" s="115"/>
      <c r="K205" s="33"/>
      <c r="L205" s="57">
        <v>3.0</v>
      </c>
      <c r="M205" s="57">
        <v>0.0</v>
      </c>
      <c r="N205" s="31"/>
      <c r="O205" s="31"/>
      <c r="P205" s="31"/>
    </row>
    <row r="206" ht="30.0" customHeight="1">
      <c r="A206" s="37" t="s">
        <v>387</v>
      </c>
      <c r="B206" s="57">
        <v>3.0</v>
      </c>
      <c r="C206" s="41">
        <f t="shared" si="4"/>
        <v>0</v>
      </c>
      <c r="D206" s="57">
        <v>0.0</v>
      </c>
      <c r="E206" s="46">
        <f t="shared" si="2"/>
        <v>0</v>
      </c>
      <c r="F206" s="42">
        <f t="shared" si="3"/>
        <v>0</v>
      </c>
      <c r="G206" s="73" t="s">
        <v>22</v>
      </c>
      <c r="H206" s="73" t="s">
        <v>22</v>
      </c>
      <c r="I206" s="52" t="str">
        <f>HYPERLINK("https://www.facebook.com/theanguillian/posts/2316726478430517?__tn__=-R","Source")</f>
        <v>Source</v>
      </c>
      <c r="J206" s="115"/>
      <c r="K206" s="33"/>
      <c r="L206" s="57">
        <v>3.0</v>
      </c>
      <c r="M206" s="57">
        <v>0.0</v>
      </c>
      <c r="N206" s="31"/>
      <c r="O206" s="31"/>
      <c r="P206" s="31"/>
    </row>
    <row r="207" ht="30.0" customHeight="1">
      <c r="A207" s="37" t="s">
        <v>388</v>
      </c>
      <c r="B207" s="57">
        <v>3.0</v>
      </c>
      <c r="C207" s="41">
        <f t="shared" si="4"/>
        <v>0</v>
      </c>
      <c r="D207" s="57">
        <v>0.0</v>
      </c>
      <c r="E207" s="46">
        <f t="shared" si="2"/>
        <v>0</v>
      </c>
      <c r="F207" s="42">
        <f t="shared" si="3"/>
        <v>0</v>
      </c>
      <c r="G207" s="73" t="s">
        <v>22</v>
      </c>
      <c r="H207" s="73" t="s">
        <v>22</v>
      </c>
      <c r="I207" s="52" t="str">
        <f>HYPERLINK("https://www.iwacu-burundi.org/covid-19-le-burundi-enregistre-son-troisieme-cas/","Source")</f>
        <v>Source</v>
      </c>
      <c r="J207" s="115"/>
      <c r="K207" s="33"/>
      <c r="L207" s="57">
        <v>3.0</v>
      </c>
      <c r="M207" s="57">
        <v>0.0</v>
      </c>
      <c r="N207" s="31"/>
      <c r="O207" s="31"/>
      <c r="P207" s="31"/>
    </row>
    <row r="208" ht="30.0" customHeight="1">
      <c r="A208" s="165" t="s">
        <v>389</v>
      </c>
      <c r="B208" s="166">
        <v>2.0</v>
      </c>
      <c r="C208" s="41">
        <f t="shared" si="4"/>
        <v>0</v>
      </c>
      <c r="D208" s="166">
        <v>0.0</v>
      </c>
      <c r="E208" s="46">
        <f t="shared" si="2"/>
        <v>0</v>
      </c>
      <c r="F208" s="167">
        <f t="shared" si="3"/>
        <v>0</v>
      </c>
      <c r="G208" s="168" t="s">
        <v>22</v>
      </c>
      <c r="H208" s="168">
        <v>0.0</v>
      </c>
      <c r="I208" s="169" t="str">
        <f>HYPERLINK("https://postcourier.com.pg/resident-in-kokopo-tests-positive-to-covid-19/","Source")</f>
        <v>Source</v>
      </c>
      <c r="J208" s="170"/>
      <c r="K208" s="171"/>
      <c r="L208" s="166">
        <v>2.0</v>
      </c>
      <c r="M208" s="166">
        <v>0.0</v>
      </c>
      <c r="N208" s="172"/>
      <c r="O208" s="172"/>
      <c r="P208" s="172"/>
    </row>
    <row r="209" ht="30.0" customHeight="1">
      <c r="A209" s="37" t="s">
        <v>390</v>
      </c>
      <c r="B209" s="57">
        <v>2.0</v>
      </c>
      <c r="C209" s="41">
        <f t="shared" si="4"/>
        <v>0</v>
      </c>
      <c r="D209" s="57">
        <v>0.0</v>
      </c>
      <c r="E209" s="46">
        <f t="shared" si="2"/>
        <v>0</v>
      </c>
      <c r="F209" s="59">
        <f t="shared" si="3"/>
        <v>0</v>
      </c>
      <c r="G209" s="73" t="s">
        <v>22</v>
      </c>
      <c r="H209" s="73">
        <v>1.0</v>
      </c>
      <c r="I209" s="52" t="str">
        <f>HYPERLINK("https://news.trust.org/item/20200410044515-gzuco","Source")</f>
        <v>Source</v>
      </c>
      <c r="J209" s="51"/>
      <c r="K209" s="33"/>
      <c r="L209" s="57">
        <v>2.0</v>
      </c>
      <c r="M209" s="57">
        <v>0.0</v>
      </c>
      <c r="N209" s="31"/>
      <c r="O209" s="31"/>
      <c r="P209" s="31"/>
    </row>
    <row r="210" ht="30.0" customHeight="1">
      <c r="A210" s="165" t="s">
        <v>391</v>
      </c>
      <c r="B210" s="166">
        <v>1.0</v>
      </c>
      <c r="C210" s="41">
        <f t="shared" si="4"/>
        <v>0</v>
      </c>
      <c r="D210" s="166">
        <v>0.0</v>
      </c>
      <c r="E210" s="46">
        <f t="shared" si="2"/>
        <v>0</v>
      </c>
      <c r="F210" s="167">
        <f t="shared" si="3"/>
        <v>0</v>
      </c>
      <c r="G210" s="168" t="s">
        <v>22</v>
      </c>
      <c r="H210" s="73" t="s">
        <v>22</v>
      </c>
      <c r="I210" s="169" t="str">
        <f>HYPERLINK("https://twitter.com/YSNECCOVID19/status/1248460614323695616","Source")</f>
        <v>Source</v>
      </c>
      <c r="J210" s="170"/>
      <c r="K210" s="171"/>
      <c r="L210" s="166">
        <v>1.0</v>
      </c>
      <c r="M210" s="166">
        <v>0.0</v>
      </c>
      <c r="N210" s="172"/>
      <c r="O210" s="172"/>
      <c r="P210" s="172"/>
    </row>
    <row r="211" ht="12.75" customHeight="1">
      <c r="A211" s="173" t="s">
        <v>392</v>
      </c>
      <c r="B211" s="174"/>
      <c r="C211" s="175">
        <f t="shared" si="4"/>
        <v>0</v>
      </c>
      <c r="D211" s="174"/>
      <c r="E211" s="176">
        <f t="shared" si="2"/>
        <v>0</v>
      </c>
      <c r="F211" s="177"/>
      <c r="G211" s="177"/>
      <c r="H211" s="177"/>
      <c r="I211" s="178"/>
      <c r="J211" s="50"/>
      <c r="K211" s="179"/>
      <c r="L211" s="174"/>
      <c r="M211" s="174"/>
      <c r="N211" s="50"/>
      <c r="O211" s="174">
        <v>1952.0</v>
      </c>
      <c r="P211" s="174">
        <v>239.0</v>
      </c>
    </row>
    <row r="212" ht="30.0" customHeight="1">
      <c r="A212" s="180" t="s">
        <v>58</v>
      </c>
      <c r="B212" s="181">
        <f>sum(B7:B211, O211)</f>
        <v>1703214</v>
      </c>
      <c r="C212" s="182">
        <f>SUM(C7:C211)</f>
        <v>613</v>
      </c>
      <c r="D212" s="183">
        <f>sum(D7:D211, P211)</f>
        <v>102976</v>
      </c>
      <c r="E212" s="184">
        <f>SUM(E7:E211)</f>
        <v>17</v>
      </c>
      <c r="F212" s="185">
        <f>DIVIDE(D212, B212)</f>
        <v>0.06045981304</v>
      </c>
      <c r="G212" s="186">
        <f t="shared" ref="G212:H212" si="5">sum(G7:G210)</f>
        <v>40621</v>
      </c>
      <c r="H212" s="187">
        <f t="shared" si="5"/>
        <v>382341</v>
      </c>
      <c r="I212" s="188"/>
      <c r="J212" s="29"/>
      <c r="K212" s="33"/>
      <c r="L212" s="181">
        <f>sum(L7:L211, Y211)</f>
        <v>1700649</v>
      </c>
      <c r="M212" s="189">
        <f>sum(M7:M211, Y211)</f>
        <v>102720</v>
      </c>
      <c r="N212" s="31"/>
      <c r="O212" s="31"/>
      <c r="P212" s="31"/>
    </row>
    <row r="213" ht="30.0" customHeight="1">
      <c r="A213" s="190"/>
      <c r="B213" s="191" t="s">
        <v>8</v>
      </c>
      <c r="C213" s="192" t="s">
        <v>9</v>
      </c>
      <c r="D213" s="193" t="s">
        <v>10</v>
      </c>
      <c r="E213" s="194" t="s">
        <v>11</v>
      </c>
      <c r="F213" s="194" t="s">
        <v>175</v>
      </c>
      <c r="G213" s="195" t="s">
        <v>13</v>
      </c>
      <c r="H213" s="196" t="s">
        <v>14</v>
      </c>
      <c r="I213" s="191"/>
      <c r="J213" s="99"/>
      <c r="K213" s="197"/>
      <c r="L213" s="191" t="s">
        <v>8</v>
      </c>
      <c r="M213" s="193" t="s">
        <v>10</v>
      </c>
      <c r="N213" s="99"/>
      <c r="O213" s="99"/>
      <c r="P213" s="99"/>
    </row>
  </sheetData>
  <mergeCells count="4">
    <mergeCell ref="C3:D3"/>
    <mergeCell ref="E3:G3"/>
    <mergeCell ref="C4:D4"/>
    <mergeCell ref="E4:F4"/>
  </mergeCells>
  <drawing r:id="rId2"/>
  <legacyDrawing r:id="rId3"/>
  <tableParts count="3"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11.43"/>
    <col customWidth="1" min="3" max="3" width="9.43"/>
    <col customWidth="1" min="4" max="4" width="8.43"/>
    <col customWidth="1" min="5" max="5" width="9.86"/>
    <col customWidth="1" min="6" max="7" width="9.71"/>
    <col customWidth="1" min="8" max="8" width="12.43"/>
    <col customWidth="1" min="9" max="9" width="11.14"/>
    <col customWidth="1" min="10" max="10" width="0.86"/>
    <col customWidth="1" min="12" max="12" width="11.43"/>
    <col customWidth="1" min="13" max="13" width="8.43"/>
    <col customWidth="1" min="14" max="14" width="3.71"/>
  </cols>
  <sheetData>
    <row r="1" ht="27.75" customHeight="1">
      <c r="A1" s="1" t="s">
        <v>0</v>
      </c>
      <c r="I1" s="1"/>
      <c r="J1" s="6"/>
      <c r="K1" s="6"/>
      <c r="N1" s="6"/>
    </row>
    <row r="2">
      <c r="A2" s="4" t="s">
        <v>1</v>
      </c>
      <c r="B2" s="4" t="s">
        <v>2</v>
      </c>
      <c r="C2" s="5" t="s">
        <v>3</v>
      </c>
      <c r="D2" s="4"/>
      <c r="E2" s="7" t="s">
        <v>4</v>
      </c>
      <c r="H2" s="8"/>
      <c r="I2" s="9"/>
      <c r="J2" s="6"/>
      <c r="K2" s="6"/>
      <c r="L2" s="4" t="s">
        <v>2</v>
      </c>
      <c r="M2" s="4"/>
      <c r="N2" s="6"/>
    </row>
    <row r="3">
      <c r="A3" s="13">
        <f>SUM(B68, B70)</f>
        <v>502396</v>
      </c>
      <c r="B3" s="13">
        <f>SUM(D68, D70)</f>
        <v>18703</v>
      </c>
      <c r="C3" s="15">
        <f>SUM(H68, H70)</f>
        <v>28511</v>
      </c>
      <c r="D3" s="13"/>
      <c r="E3" s="16">
        <f>MINUS(A3,B3 + C3)</f>
        <v>455182</v>
      </c>
      <c r="F3" s="16"/>
      <c r="G3" s="5"/>
      <c r="H3" s="8"/>
      <c r="I3" s="9"/>
      <c r="J3" s="6"/>
      <c r="K3" s="6"/>
      <c r="L3" s="13">
        <f>SUM(N68, N70)</f>
        <v>0</v>
      </c>
      <c r="M3" s="13"/>
      <c r="N3" s="6"/>
    </row>
    <row r="4">
      <c r="A4" s="19"/>
      <c r="B4" s="9"/>
      <c r="C4" s="9"/>
      <c r="D4" s="9"/>
      <c r="E4" s="9"/>
      <c r="F4" s="8"/>
      <c r="G4" s="8"/>
      <c r="H4" s="8"/>
      <c r="I4" s="9"/>
      <c r="J4" s="6"/>
      <c r="K4" s="6"/>
      <c r="L4" s="9"/>
      <c r="M4" s="9"/>
      <c r="N4" s="6"/>
    </row>
    <row r="5" ht="30.0" customHeight="1">
      <c r="A5" s="21" t="s">
        <v>5</v>
      </c>
      <c r="B5" s="23" t="s">
        <v>8</v>
      </c>
      <c r="C5" s="25" t="s">
        <v>9</v>
      </c>
      <c r="D5" s="23" t="s">
        <v>10</v>
      </c>
      <c r="E5" s="26" t="s">
        <v>11</v>
      </c>
      <c r="F5" s="26" t="s">
        <v>12</v>
      </c>
      <c r="G5" s="27" t="s">
        <v>13</v>
      </c>
      <c r="H5" s="27" t="s">
        <v>14</v>
      </c>
      <c r="I5" s="23" t="s">
        <v>15</v>
      </c>
      <c r="J5" s="29"/>
      <c r="K5" s="29"/>
      <c r="L5" s="23" t="s">
        <v>8</v>
      </c>
      <c r="M5" s="23" t="s">
        <v>10</v>
      </c>
      <c r="N5" s="29"/>
    </row>
    <row r="6" ht="30.0" customHeight="1">
      <c r="A6" s="30" t="s">
        <v>16</v>
      </c>
      <c r="B6" s="32">
        <v>170512.0</v>
      </c>
      <c r="C6" s="38">
        <f t="shared" ref="C6:C66" si="1">MINUS(B6,L6)</f>
        <v>0</v>
      </c>
      <c r="D6" s="32">
        <v>7844.0</v>
      </c>
      <c r="E6" s="40">
        <f t="shared" ref="E6:E66" si="2">MINUS(D6,M6)</f>
        <v>0</v>
      </c>
      <c r="F6" s="42">
        <f t="shared" ref="F6:F65" si="3">DIVIDE(D6, B6)</f>
        <v>0.04600262738</v>
      </c>
      <c r="G6" s="44">
        <v>4504.0</v>
      </c>
      <c r="H6" s="44">
        <v>13366.0</v>
      </c>
      <c r="I6" s="47" t="str">
        <f>HYPERLINK("https://twitter.com/NYGovCuomo/status/1248635467769118721","Source")</f>
        <v>Source</v>
      </c>
      <c r="J6" s="51"/>
      <c r="K6" s="29"/>
      <c r="L6" s="32">
        <v>170512.0</v>
      </c>
      <c r="M6" s="32">
        <v>7844.0</v>
      </c>
      <c r="N6" s="29"/>
    </row>
    <row r="7" ht="27.75" customHeight="1">
      <c r="A7" s="54" t="s">
        <v>20</v>
      </c>
      <c r="B7" s="56">
        <v>54588.0</v>
      </c>
      <c r="C7" s="38">
        <f t="shared" si="1"/>
        <v>0</v>
      </c>
      <c r="D7" s="56">
        <v>1932.0</v>
      </c>
      <c r="E7" s="40">
        <f t="shared" si="2"/>
        <v>0</v>
      </c>
      <c r="F7" s="59">
        <f t="shared" si="3"/>
        <v>0.03539239393</v>
      </c>
      <c r="G7" s="61" t="s">
        <v>22</v>
      </c>
      <c r="H7" s="63">
        <v>2443.0</v>
      </c>
      <c r="I7" s="65" t="str">
        <f>HYPERLINK("https://twitter.com/GovMurphy/status/1247933331146227715","Source")</f>
        <v>Source</v>
      </c>
      <c r="J7" s="29"/>
      <c r="K7" s="66" t="s">
        <v>24</v>
      </c>
      <c r="L7" s="56">
        <v>54588.0</v>
      </c>
      <c r="M7" s="56">
        <v>1932.0</v>
      </c>
      <c r="N7" s="66"/>
    </row>
    <row r="8" ht="27.75" customHeight="1">
      <c r="A8" s="54" t="s">
        <v>25</v>
      </c>
      <c r="B8" s="56">
        <v>22783.0</v>
      </c>
      <c r="C8" s="38">
        <f t="shared" si="1"/>
        <v>0</v>
      </c>
      <c r="D8" s="56">
        <v>1281.0</v>
      </c>
      <c r="E8" s="40">
        <f t="shared" si="2"/>
        <v>0</v>
      </c>
      <c r="F8" s="42">
        <f t="shared" si="3"/>
        <v>0.05622613352</v>
      </c>
      <c r="G8" s="61" t="s">
        <v>22</v>
      </c>
      <c r="H8" s="61">
        <v>946.0</v>
      </c>
      <c r="I8" s="65" t="str">
        <f>HYPERLINK("https://www.michigan.gov/coronavirus/0,9753,7-406-98163_98173---,00.html","Source")</f>
        <v>Source</v>
      </c>
      <c r="J8" s="51"/>
      <c r="K8" s="66" t="s">
        <v>24</v>
      </c>
      <c r="L8" s="56">
        <v>22783.0</v>
      </c>
      <c r="M8" s="56">
        <v>1281.0</v>
      </c>
      <c r="N8" s="66"/>
    </row>
    <row r="9" ht="30.0" customHeight="1">
      <c r="A9" s="34" t="s">
        <v>26</v>
      </c>
      <c r="B9" s="36">
        <v>21381.0</v>
      </c>
      <c r="C9" s="38">
        <f t="shared" si="1"/>
        <v>0</v>
      </c>
      <c r="D9" s="58">
        <v>598.0</v>
      </c>
      <c r="E9" s="60">
        <f t="shared" si="2"/>
        <v>0</v>
      </c>
      <c r="F9" s="59">
        <f t="shared" si="3"/>
        <v>0.02796875731</v>
      </c>
      <c r="G9" s="63">
        <v>1154.0</v>
      </c>
      <c r="H9" s="43">
        <v>1935.0</v>
      </c>
      <c r="I9" s="48" t="str">
        <f>HYPERLINK("https://www.latimes.com/projects/california-coronavirus-cases-tracking-outbreak/","Source")</f>
        <v>Source</v>
      </c>
      <c r="J9" s="67"/>
      <c r="K9" s="66" t="s">
        <v>28</v>
      </c>
      <c r="L9" s="36">
        <v>21381.0</v>
      </c>
      <c r="M9" s="58">
        <v>598.0</v>
      </c>
      <c r="N9" s="66"/>
    </row>
    <row r="10" ht="27.75" customHeight="1">
      <c r="A10" s="54" t="s">
        <v>29</v>
      </c>
      <c r="B10" s="56">
        <v>20974.0</v>
      </c>
      <c r="C10" s="38">
        <f t="shared" si="1"/>
        <v>0</v>
      </c>
      <c r="D10" s="71">
        <v>599.0</v>
      </c>
      <c r="E10" s="60">
        <f t="shared" si="2"/>
        <v>0</v>
      </c>
      <c r="F10" s="59">
        <f t="shared" si="3"/>
        <v>0.02855916849</v>
      </c>
      <c r="G10" s="61" t="s">
        <v>22</v>
      </c>
      <c r="H10" s="61">
        <v>421.0</v>
      </c>
      <c r="I10" s="65" t="str">
        <f>HYPERLINK("https://www.mass.gov/doc/covid-19-cases-in-massachusetts-as-of-april-10-2020/download","Source")</f>
        <v>Source</v>
      </c>
      <c r="J10" s="51"/>
      <c r="K10" s="66" t="s">
        <v>24</v>
      </c>
      <c r="L10" s="56">
        <v>20974.0</v>
      </c>
      <c r="M10" s="71">
        <v>599.0</v>
      </c>
      <c r="N10" s="66"/>
    </row>
    <row r="11" ht="27.75" customHeight="1">
      <c r="A11" s="54" t="s">
        <v>32</v>
      </c>
      <c r="B11" s="56">
        <v>20251.0</v>
      </c>
      <c r="C11" s="38">
        <f t="shared" si="1"/>
        <v>0</v>
      </c>
      <c r="D11" s="71">
        <v>416.0</v>
      </c>
      <c r="E11" s="60">
        <f t="shared" si="2"/>
        <v>0</v>
      </c>
      <c r="F11" s="59">
        <f t="shared" si="3"/>
        <v>0.02054219545</v>
      </c>
      <c r="G11" s="61" t="s">
        <v>22</v>
      </c>
      <c r="H11" s="61">
        <v>404.0</v>
      </c>
      <c r="I11" s="65" t="str">
        <f>HYPERLINK("https://public.flourish.studio/visualisation/1658682/?utm_source=embed&amp;utm_campaign=visualisation/1658682","Source")</f>
        <v>Source</v>
      </c>
      <c r="J11" s="67"/>
      <c r="K11" s="66" t="s">
        <v>24</v>
      </c>
      <c r="L11" s="56">
        <v>20251.0</v>
      </c>
      <c r="M11" s="71">
        <v>416.0</v>
      </c>
      <c r="N11" s="66"/>
    </row>
    <row r="12" ht="27.75" customHeight="1">
      <c r="A12" s="54" t="s">
        <v>35</v>
      </c>
      <c r="B12" s="56">
        <v>19253.0</v>
      </c>
      <c r="C12" s="38">
        <f t="shared" si="1"/>
        <v>0</v>
      </c>
      <c r="D12" s="71">
        <v>755.0</v>
      </c>
      <c r="E12" s="60">
        <f t="shared" si="2"/>
        <v>0</v>
      </c>
      <c r="F12" s="42">
        <f t="shared" si="3"/>
        <v>0.03921466784</v>
      </c>
      <c r="G12" s="63">
        <v>473.0</v>
      </c>
      <c r="H12" s="61">
        <v>806.0</v>
      </c>
      <c r="I12" s="65" t="str">
        <f>HYPERLINK("http://ldh.la.gov/coronavirus/","Source")</f>
        <v>Source</v>
      </c>
      <c r="J12" s="51"/>
      <c r="K12" s="29"/>
      <c r="L12" s="56">
        <v>19253.0</v>
      </c>
      <c r="M12" s="71">
        <v>755.0</v>
      </c>
      <c r="N12" s="29"/>
    </row>
    <row r="13" ht="30.0" customHeight="1">
      <c r="A13" s="34" t="s">
        <v>38</v>
      </c>
      <c r="B13" s="36">
        <v>17968.0</v>
      </c>
      <c r="C13" s="38">
        <f t="shared" si="1"/>
        <v>0</v>
      </c>
      <c r="D13" s="58">
        <v>419.0</v>
      </c>
      <c r="E13" s="60">
        <f t="shared" si="2"/>
        <v>0</v>
      </c>
      <c r="F13" s="42">
        <f t="shared" si="3"/>
        <v>0.02331923419</v>
      </c>
      <c r="G13" s="61" t="s">
        <v>22</v>
      </c>
      <c r="H13" s="63">
        <v>1116.0</v>
      </c>
      <c r="I13" s="48" t="str">
        <f>HYPERLINK("https://experience.arcgis.com/experience/96dd742462124fa0b38ddedb9b25e429","Source")</f>
        <v>Source</v>
      </c>
      <c r="J13" s="67"/>
      <c r="K13" s="66" t="s">
        <v>28</v>
      </c>
      <c r="L13" s="36">
        <v>17968.0</v>
      </c>
      <c r="M13" s="58">
        <v>419.0</v>
      </c>
      <c r="N13" s="66"/>
    </row>
    <row r="14" ht="27.75" customHeight="1">
      <c r="A14" s="54" t="s">
        <v>40</v>
      </c>
      <c r="B14" s="56">
        <v>17887.0</v>
      </c>
      <c r="C14" s="38">
        <f t="shared" si="1"/>
        <v>0</v>
      </c>
      <c r="D14" s="71">
        <v>596.0</v>
      </c>
      <c r="E14" s="60">
        <f t="shared" si="2"/>
        <v>0</v>
      </c>
      <c r="F14" s="42">
        <f t="shared" si="3"/>
        <v>0.03332028848</v>
      </c>
      <c r="G14" s="61" t="s">
        <v>22</v>
      </c>
      <c r="H14" s="61">
        <v>2.0</v>
      </c>
      <c r="I14" s="65" t="str">
        <f>HYPERLINK("http://www.dph.illinois.gov/topics-services/diseases-and-conditions/diseases-a-z-list/coronavirus","Source")</f>
        <v>Source</v>
      </c>
      <c r="J14" s="51"/>
      <c r="K14" s="66" t="s">
        <v>24</v>
      </c>
      <c r="L14" s="56">
        <v>17887.0</v>
      </c>
      <c r="M14" s="71">
        <v>596.0</v>
      </c>
      <c r="N14" s="66"/>
    </row>
    <row r="15" ht="30.0" customHeight="1">
      <c r="A15" s="34" t="s">
        <v>42</v>
      </c>
      <c r="B15" s="36">
        <v>12336.0</v>
      </c>
      <c r="C15" s="38">
        <f t="shared" si="1"/>
        <v>0</v>
      </c>
      <c r="D15" s="58">
        <v>249.0</v>
      </c>
      <c r="E15" s="60">
        <f t="shared" si="2"/>
        <v>0</v>
      </c>
      <c r="F15" s="59">
        <f t="shared" si="3"/>
        <v>0.0201848249</v>
      </c>
      <c r="G15" s="45" t="s">
        <v>22</v>
      </c>
      <c r="H15" s="63">
        <v>1101.0</v>
      </c>
      <c r="I15" s="48" t="str">
        <f>HYPERLINK("https://www.houstonchronicle.com/coronavirus/article/texas-coronavirus-map-cases-houston-covid-19-15137466.php","Source")</f>
        <v>Source</v>
      </c>
      <c r="J15" s="67"/>
      <c r="K15" s="29"/>
      <c r="L15" s="36">
        <v>12336.0</v>
      </c>
      <c r="M15" s="58">
        <v>249.0</v>
      </c>
      <c r="N15" s="29"/>
    </row>
    <row r="16" ht="30.0" customHeight="1">
      <c r="A16" s="54" t="s">
        <v>45</v>
      </c>
      <c r="B16" s="56">
        <v>11859.0</v>
      </c>
      <c r="C16" s="38">
        <f t="shared" si="1"/>
        <v>0</v>
      </c>
      <c r="D16" s="71">
        <v>425.0</v>
      </c>
      <c r="E16" s="60">
        <f t="shared" si="2"/>
        <v>0</v>
      </c>
      <c r="F16" s="42">
        <f t="shared" si="3"/>
        <v>0.03583776035</v>
      </c>
      <c r="G16" s="61" t="s">
        <v>22</v>
      </c>
      <c r="H16" s="61" t="s">
        <v>22</v>
      </c>
      <c r="I16" s="65" t="str">
        <f>HYPERLINK("https://dph.georgia.gov/covid-19-daily-status-report","Source")</f>
        <v>Source</v>
      </c>
      <c r="J16" s="67"/>
      <c r="K16" s="66" t="s">
        <v>48</v>
      </c>
      <c r="L16" s="56">
        <v>11859.0</v>
      </c>
      <c r="M16" s="71">
        <v>425.0</v>
      </c>
      <c r="N16" s="66"/>
    </row>
    <row r="17" ht="27.75" customHeight="1">
      <c r="A17" s="54" t="s">
        <v>49</v>
      </c>
      <c r="B17" s="56">
        <v>10538.0</v>
      </c>
      <c r="C17" s="38">
        <f t="shared" si="1"/>
        <v>0</v>
      </c>
      <c r="D17" s="71">
        <v>448.0</v>
      </c>
      <c r="E17" s="60">
        <f t="shared" si="2"/>
        <v>0</v>
      </c>
      <c r="F17" s="42">
        <f t="shared" si="3"/>
        <v>0.04251281078</v>
      </c>
      <c r="G17" s="61" t="s">
        <v>22</v>
      </c>
      <c r="H17" s="61" t="s">
        <v>22</v>
      </c>
      <c r="I17" s="65" t="str">
        <f>HYPERLINK("https://portal.ct.gov/-/media/Coronavirus/CTDPHCOVID19summary4102020.pdf?la=en","Source")</f>
        <v>Source</v>
      </c>
      <c r="J17" s="51"/>
      <c r="K17" s="66" t="s">
        <v>24</v>
      </c>
      <c r="L17" s="56">
        <v>10538.0</v>
      </c>
      <c r="M17" s="71">
        <v>448.0</v>
      </c>
      <c r="N17" s="66"/>
    </row>
    <row r="18" ht="30.0" customHeight="1">
      <c r="A18" s="54" t="s">
        <v>52</v>
      </c>
      <c r="B18" s="56">
        <v>10373.0</v>
      </c>
      <c r="C18" s="38">
        <f t="shared" si="1"/>
        <v>0</v>
      </c>
      <c r="D18" s="71">
        <v>487.0</v>
      </c>
      <c r="E18" s="60">
        <f t="shared" si="2"/>
        <v>0</v>
      </c>
      <c r="F18" s="59">
        <f t="shared" si="3"/>
        <v>0.04694880941</v>
      </c>
      <c r="G18" s="61" t="s">
        <v>22</v>
      </c>
      <c r="H18" s="63">
        <v>1091.0</v>
      </c>
      <c r="I18" s="78"/>
      <c r="J18" s="51"/>
      <c r="K18" s="66" t="s">
        <v>24</v>
      </c>
      <c r="L18" s="56">
        <v>10373.0</v>
      </c>
      <c r="M18" s="71">
        <v>487.0</v>
      </c>
      <c r="N18" s="66"/>
    </row>
    <row r="19" ht="27.75" customHeight="1">
      <c r="A19" s="54" t="s">
        <v>56</v>
      </c>
      <c r="B19" s="56">
        <v>6968.0</v>
      </c>
      <c r="C19" s="38">
        <f t="shared" si="1"/>
        <v>0</v>
      </c>
      <c r="D19" s="71">
        <v>171.0</v>
      </c>
      <c r="E19" s="60">
        <f t="shared" si="2"/>
        <v>0</v>
      </c>
      <c r="F19" s="42">
        <f t="shared" si="3"/>
        <v>0.02454075775</v>
      </c>
      <c r="G19" s="43" t="s">
        <v>22</v>
      </c>
      <c r="H19" s="61">
        <v>397.0</v>
      </c>
      <c r="I19" s="65" t="str">
        <f>HYPERLINK("https://coronavirus.maryland.gov/","Source")</f>
        <v>Source</v>
      </c>
      <c r="J19" s="51"/>
      <c r="K19" s="66" t="s">
        <v>24</v>
      </c>
      <c r="L19" s="56">
        <v>6968.0</v>
      </c>
      <c r="M19" s="71">
        <v>171.0</v>
      </c>
      <c r="N19" s="66"/>
    </row>
    <row r="20" ht="30.0" customHeight="1">
      <c r="A20" s="34" t="s">
        <v>59</v>
      </c>
      <c r="B20" s="36">
        <v>6907.0</v>
      </c>
      <c r="C20" s="38">
        <f t="shared" si="1"/>
        <v>0</v>
      </c>
      <c r="D20" s="36">
        <v>300.0</v>
      </c>
      <c r="E20" s="40">
        <f t="shared" si="2"/>
        <v>0</v>
      </c>
      <c r="F20" s="59">
        <f t="shared" si="3"/>
        <v>0.04343419719</v>
      </c>
      <c r="G20" s="43" t="s">
        <v>22</v>
      </c>
      <c r="H20" s="61" t="s">
        <v>22</v>
      </c>
      <c r="I20" s="48" t="str">
        <f>HYPERLINK("https://twitter.com/StateHealthIN/status/1248613097557733376","Source")</f>
        <v>Source</v>
      </c>
      <c r="J20" s="51"/>
      <c r="K20" s="66" t="s">
        <v>24</v>
      </c>
      <c r="L20" s="36">
        <v>6907.0</v>
      </c>
      <c r="M20" s="36">
        <v>300.0</v>
      </c>
      <c r="N20" s="66"/>
    </row>
    <row r="21" ht="27.75" customHeight="1">
      <c r="A21" s="54" t="s">
        <v>60</v>
      </c>
      <c r="B21" s="56">
        <v>6510.0</v>
      </c>
      <c r="C21" s="38">
        <f t="shared" si="1"/>
        <v>0</v>
      </c>
      <c r="D21" s="71">
        <v>250.0</v>
      </c>
      <c r="E21" s="60">
        <f t="shared" si="2"/>
        <v>0</v>
      </c>
      <c r="F21" s="42">
        <f t="shared" si="3"/>
        <v>0.03840245776</v>
      </c>
      <c r="G21" s="61" t="s">
        <v>22</v>
      </c>
      <c r="H21" s="61" t="s">
        <v>22</v>
      </c>
      <c r="I21" s="65" t="str">
        <f>HYPERLINK("https://twitter.com/JoeStGeorge/status/1247254653105995777","Source")</f>
        <v>Source</v>
      </c>
      <c r="J21" s="29"/>
      <c r="K21" s="29"/>
      <c r="L21" s="56">
        <v>6510.0</v>
      </c>
      <c r="M21" s="71">
        <v>250.0</v>
      </c>
      <c r="N21" s="29"/>
    </row>
    <row r="22" ht="27.75" customHeight="1">
      <c r="A22" s="54" t="s">
        <v>62</v>
      </c>
      <c r="B22" s="56">
        <v>5878.0</v>
      </c>
      <c r="C22" s="38">
        <f t="shared" si="1"/>
        <v>0</v>
      </c>
      <c r="D22" s="71">
        <v>231.0</v>
      </c>
      <c r="E22" s="60">
        <f t="shared" si="2"/>
        <v>0</v>
      </c>
      <c r="F22" s="59">
        <f t="shared" si="3"/>
        <v>0.03929908132</v>
      </c>
      <c r="G22" s="61">
        <v>548.0</v>
      </c>
      <c r="H22" s="61" t="s">
        <v>22</v>
      </c>
      <c r="I22" s="65" t="str">
        <f>HYPERLINK("https://coronavirus.ohio.gov/wps/portal/gov/covid-19/home","Source")</f>
        <v>Source</v>
      </c>
      <c r="J22" s="51"/>
      <c r="K22" s="66" t="s">
        <v>24</v>
      </c>
      <c r="L22" s="56">
        <v>5878.0</v>
      </c>
      <c r="M22" s="71">
        <v>231.0</v>
      </c>
      <c r="N22" s="29"/>
    </row>
    <row r="23" ht="27.75" customHeight="1">
      <c r="A23" s="54" t="s">
        <v>64</v>
      </c>
      <c r="B23" s="56">
        <v>4862.0</v>
      </c>
      <c r="C23" s="38">
        <f t="shared" si="1"/>
        <v>0</v>
      </c>
      <c r="D23" s="71">
        <v>98.0</v>
      </c>
      <c r="E23" s="60">
        <f t="shared" si="2"/>
        <v>0</v>
      </c>
      <c r="F23" s="59">
        <f t="shared" si="3"/>
        <v>0.02015631427</v>
      </c>
      <c r="G23" s="61" t="s">
        <v>22</v>
      </c>
      <c r="H23" s="63">
        <v>1145.0</v>
      </c>
      <c r="I23" s="65" t="str">
        <f>HYPERLINK("https://twitter.com/TNDeptofHealth/status/1248687230517944331","Source")</f>
        <v>Source</v>
      </c>
      <c r="J23" s="51"/>
      <c r="K23" s="29"/>
      <c r="L23" s="56">
        <v>4862.0</v>
      </c>
      <c r="M23" s="71">
        <v>98.0</v>
      </c>
      <c r="N23" s="29"/>
    </row>
    <row r="24" ht="30.0" customHeight="1">
      <c r="A24" s="34" t="s">
        <v>66</v>
      </c>
      <c r="B24" s="36">
        <v>4509.0</v>
      </c>
      <c r="C24" s="38">
        <f t="shared" si="1"/>
        <v>0</v>
      </c>
      <c r="D24" s="36">
        <v>121.0</v>
      </c>
      <c r="E24" s="40">
        <f t="shared" si="2"/>
        <v>0</v>
      </c>
      <c r="F24" s="42">
        <f t="shared" si="3"/>
        <v>0.02683521845</v>
      </c>
      <c r="G24" s="43" t="s">
        <v>22</v>
      </c>
      <c r="H24" s="61" t="s">
        <v>22</v>
      </c>
      <c r="I24" s="48" t="str">
        <f>HYPERLINK("http://www.vdh.virginia.gov/coronavirus/","Source")</f>
        <v>Source</v>
      </c>
      <c r="J24" s="51"/>
      <c r="K24" s="66" t="s">
        <v>24</v>
      </c>
      <c r="L24" s="36">
        <v>4509.0</v>
      </c>
      <c r="M24" s="36">
        <v>121.0</v>
      </c>
      <c r="N24" s="66"/>
    </row>
    <row r="25" ht="30.0" customHeight="1">
      <c r="A25" s="34" t="s">
        <v>69</v>
      </c>
      <c r="B25" s="36">
        <v>4088.0</v>
      </c>
      <c r="C25" s="38">
        <f t="shared" si="1"/>
        <v>0</v>
      </c>
      <c r="D25" s="36">
        <v>84.0</v>
      </c>
      <c r="E25" s="40">
        <f t="shared" si="2"/>
        <v>0</v>
      </c>
      <c r="F25" s="59">
        <f t="shared" si="3"/>
        <v>0.02054794521</v>
      </c>
      <c r="G25" s="43" t="s">
        <v>22</v>
      </c>
      <c r="H25" s="61" t="s">
        <v>22</v>
      </c>
      <c r="I25" s="48" t="str">
        <f>HYPERLINK("https://www.newsobserver.com/news/local/article241168731.html","Source")</f>
        <v>Source</v>
      </c>
      <c r="J25" s="67"/>
      <c r="K25" s="29"/>
      <c r="L25" s="36">
        <v>4088.0</v>
      </c>
      <c r="M25" s="36">
        <v>84.0</v>
      </c>
      <c r="N25" s="29"/>
    </row>
    <row r="26" ht="30.0" customHeight="1">
      <c r="A26" s="34" t="s">
        <v>71</v>
      </c>
      <c r="B26" s="36">
        <v>3952.0</v>
      </c>
      <c r="C26" s="38">
        <f t="shared" si="1"/>
        <v>0</v>
      </c>
      <c r="D26" s="36">
        <v>105.0</v>
      </c>
      <c r="E26" s="40">
        <f t="shared" si="2"/>
        <v>0</v>
      </c>
      <c r="F26" s="42">
        <f t="shared" si="3"/>
        <v>0.02656882591</v>
      </c>
      <c r="G26" s="43" t="s">
        <v>22</v>
      </c>
      <c r="H26" s="61" t="s">
        <v>22</v>
      </c>
      <c r="I26" s="48" t="str">
        <f>HYPERLINK("https://www.kshb.com/news/coronavirus/covid-19-case-tracker-where-we-stand-in-mo-ks-nationwide","Source")</f>
        <v>Source</v>
      </c>
      <c r="J26" s="67"/>
      <c r="K26" s="29"/>
      <c r="L26" s="36">
        <v>3952.0</v>
      </c>
      <c r="M26" s="36">
        <v>105.0</v>
      </c>
      <c r="N26" s="29"/>
    </row>
    <row r="27" ht="30.0" customHeight="1">
      <c r="A27" s="34" t="s">
        <v>73</v>
      </c>
      <c r="B27" s="36">
        <v>3366.0</v>
      </c>
      <c r="C27" s="38">
        <f t="shared" si="1"/>
        <v>0</v>
      </c>
      <c r="D27" s="36">
        <v>13.0</v>
      </c>
      <c r="E27" s="40">
        <f t="shared" si="2"/>
        <v>0</v>
      </c>
      <c r="F27" s="59">
        <f t="shared" si="3"/>
        <v>0.003862150921</v>
      </c>
      <c r="G27" s="43" t="s">
        <v>22</v>
      </c>
      <c r="H27" s="61">
        <v>299.0</v>
      </c>
      <c r="I27" s="48" t="str">
        <f>HYPERLINK("https://twitter.com/TaraCopp/status/1248652683176796160","Source")</f>
        <v>Source</v>
      </c>
      <c r="J27" s="51"/>
      <c r="K27" s="29"/>
      <c r="L27" s="36">
        <v>3366.0</v>
      </c>
      <c r="M27" s="36">
        <v>13.0</v>
      </c>
      <c r="N27" s="29"/>
    </row>
    <row r="28" ht="27.75" customHeight="1">
      <c r="A28" s="54" t="s">
        <v>76</v>
      </c>
      <c r="B28" s="56">
        <v>3112.0</v>
      </c>
      <c r="C28" s="38">
        <f t="shared" si="1"/>
        <v>0</v>
      </c>
      <c r="D28" s="71">
        <v>97.0</v>
      </c>
      <c r="E28" s="60">
        <f t="shared" si="2"/>
        <v>0</v>
      </c>
      <c r="F28" s="42">
        <f t="shared" si="3"/>
        <v>0.03116966581</v>
      </c>
      <c r="G28" s="43" t="s">
        <v>22</v>
      </c>
      <c r="H28" s="61" t="s">
        <v>22</v>
      </c>
      <c r="I28" s="65" t="str">
        <f>HYPERLINK("https://www.azdhs.gov/preparedness/epidemiology-disease-control/infectious-disease-epidemiology/index.php#novel-coronavirus-home","Source")</f>
        <v>Source</v>
      </c>
      <c r="J28" s="51"/>
      <c r="K28" s="29"/>
      <c r="L28" s="56">
        <v>3112.0</v>
      </c>
      <c r="M28" s="71">
        <v>97.0</v>
      </c>
      <c r="N28" s="29"/>
    </row>
    <row r="29" ht="27.75" customHeight="1">
      <c r="A29" s="54" t="s">
        <v>77</v>
      </c>
      <c r="B29" s="56">
        <v>3008.0</v>
      </c>
      <c r="C29" s="38">
        <f t="shared" si="1"/>
        <v>0</v>
      </c>
      <c r="D29" s="71">
        <v>58.0</v>
      </c>
      <c r="E29" s="60">
        <f t="shared" si="2"/>
        <v>0</v>
      </c>
      <c r="F29" s="42">
        <f t="shared" si="3"/>
        <v>0.01928191489</v>
      </c>
      <c r="G29" s="43" t="s">
        <v>22</v>
      </c>
      <c r="H29" s="61" t="s">
        <v>22</v>
      </c>
      <c r="I29" s="65" t="str">
        <f>HYPERLINK("https://alpublichealth.maps.arcgis.com/apps/opsdashboard/index.html#/6d2771faa9da4a2786a509d82c8cf0f7","Source")</f>
        <v>Source</v>
      </c>
      <c r="J29" s="67"/>
      <c r="K29" s="66" t="s">
        <v>28</v>
      </c>
      <c r="L29" s="56">
        <v>3008.0</v>
      </c>
      <c r="M29" s="71">
        <v>58.0</v>
      </c>
      <c r="N29" s="66"/>
    </row>
    <row r="30" ht="27.75" customHeight="1">
      <c r="A30" s="54" t="s">
        <v>79</v>
      </c>
      <c r="B30" s="56">
        <v>3068.0</v>
      </c>
      <c r="C30" s="38">
        <f t="shared" si="1"/>
        <v>0</v>
      </c>
      <c r="D30" s="71">
        <v>128.0</v>
      </c>
      <c r="E30" s="60">
        <f t="shared" si="2"/>
        <v>0</v>
      </c>
      <c r="F30" s="59">
        <f t="shared" si="3"/>
        <v>0.04172099087</v>
      </c>
      <c r="G30" s="43" t="s">
        <v>22</v>
      </c>
      <c r="H30" s="61">
        <v>16.0</v>
      </c>
      <c r="I30" s="65" t="str">
        <f>HYPERLINK("https://www.dhs.wisconsin.gov/outbreaks/index.htm","Source")</f>
        <v>Source</v>
      </c>
      <c r="J30" s="51"/>
      <c r="K30" s="29"/>
      <c r="L30" s="56">
        <v>3068.0</v>
      </c>
      <c r="M30" s="71">
        <v>128.0</v>
      </c>
      <c r="N30" s="29"/>
    </row>
    <row r="31" ht="30.0" customHeight="1">
      <c r="A31" s="34" t="s">
        <v>82</v>
      </c>
      <c r="B31" s="36">
        <v>3065.0</v>
      </c>
      <c r="C31" s="38">
        <f t="shared" si="1"/>
        <v>0</v>
      </c>
      <c r="D31" s="36">
        <v>72.0</v>
      </c>
      <c r="E31" s="40">
        <f t="shared" si="2"/>
        <v>0</v>
      </c>
      <c r="F31" s="42">
        <f t="shared" si="3"/>
        <v>0.02349102773</v>
      </c>
      <c r="G31" s="43" t="s">
        <v>22</v>
      </c>
      <c r="H31" s="61" t="s">
        <v>22</v>
      </c>
      <c r="I31" s="48" t="str">
        <f>HYPERLINK("https://scdhec.gov/infectious-diseases/viruses/coronavirus-disease-2019-covid-19/testing-sc-data-covid-19","Source")</f>
        <v>Source</v>
      </c>
      <c r="J31" s="51"/>
      <c r="K31" s="66" t="s">
        <v>24</v>
      </c>
      <c r="L31" s="36">
        <v>3065.0</v>
      </c>
      <c r="M31" s="36">
        <v>72.0</v>
      </c>
      <c r="N31" s="66"/>
    </row>
    <row r="32" ht="27.75" customHeight="1">
      <c r="A32" s="54" t="s">
        <v>87</v>
      </c>
      <c r="B32" s="56">
        <v>2604.0</v>
      </c>
      <c r="C32" s="38">
        <f t="shared" si="1"/>
        <v>0</v>
      </c>
      <c r="D32" s="71">
        <v>102.0</v>
      </c>
      <c r="E32" s="60">
        <f t="shared" si="2"/>
        <v>0</v>
      </c>
      <c r="F32" s="59">
        <f t="shared" si="3"/>
        <v>0.03917050691</v>
      </c>
      <c r="G32" s="43" t="s">
        <v>22</v>
      </c>
      <c r="H32" s="61">
        <v>26.0</v>
      </c>
      <c r="I32" s="65" t="str">
        <f>HYPERLINK("https://thenevadaindependent.com/article/live-blog-no-more-coronavirus-cases-in-washoe-reported-as-health-officials-identify-test-close-contacts","Source")</f>
        <v>Source</v>
      </c>
      <c r="J32" s="67"/>
      <c r="K32" s="66" t="s">
        <v>28</v>
      </c>
      <c r="L32" s="56">
        <v>2604.0</v>
      </c>
      <c r="M32" s="71">
        <v>102.0</v>
      </c>
      <c r="N32" s="66"/>
    </row>
    <row r="33" ht="27.75" customHeight="1">
      <c r="A33" s="54" t="s">
        <v>89</v>
      </c>
      <c r="B33" s="56">
        <v>2469.0</v>
      </c>
      <c r="C33" s="38">
        <f t="shared" si="1"/>
        <v>0</v>
      </c>
      <c r="D33" s="71">
        <v>82.0</v>
      </c>
      <c r="E33" s="60">
        <f t="shared" si="2"/>
        <v>0</v>
      </c>
      <c r="F33" s="59">
        <f t="shared" si="3"/>
        <v>0.03321182665</v>
      </c>
      <c r="G33" s="43" t="s">
        <v>22</v>
      </c>
      <c r="H33" s="61" t="s">
        <v>22</v>
      </c>
      <c r="I33" s="65" t="str">
        <f>HYPERLINK("https://msdh.ms.gov/msdhsite/_static/14,21882,420,873.html","Source")</f>
        <v>Source</v>
      </c>
      <c r="J33" s="51"/>
      <c r="K33" s="66" t="s">
        <v>24</v>
      </c>
      <c r="L33" s="56">
        <v>2469.0</v>
      </c>
      <c r="M33" s="71">
        <v>82.0</v>
      </c>
      <c r="N33" s="66"/>
    </row>
    <row r="34" ht="30.0" customHeight="1">
      <c r="A34" s="34" t="s">
        <v>92</v>
      </c>
      <c r="B34" s="36">
        <v>2102.0</v>
      </c>
      <c r="C34" s="38">
        <f t="shared" si="1"/>
        <v>0</v>
      </c>
      <c r="D34" s="36">
        <v>17.0</v>
      </c>
      <c r="E34" s="40">
        <f t="shared" si="2"/>
        <v>0</v>
      </c>
      <c r="F34" s="42">
        <f t="shared" si="3"/>
        <v>0.00808753568</v>
      </c>
      <c r="G34" s="43" t="s">
        <v>22</v>
      </c>
      <c r="H34" s="61" t="s">
        <v>22</v>
      </c>
      <c r="I34" s="48" t="str">
        <f>HYPERLINK("https://twitter.com/BenWinslow/status/1248685558945026048","Source")</f>
        <v>Source</v>
      </c>
      <c r="J34" s="51"/>
      <c r="K34" s="29"/>
      <c r="L34" s="36">
        <v>2102.0</v>
      </c>
      <c r="M34" s="36">
        <v>17.0</v>
      </c>
      <c r="N34" s="29"/>
    </row>
    <row r="35" ht="27.75" customHeight="1">
      <c r="A35" s="54" t="s">
        <v>94</v>
      </c>
      <c r="B35" s="56">
        <v>2015.0</v>
      </c>
      <c r="C35" s="38">
        <f t="shared" si="1"/>
        <v>0</v>
      </c>
      <c r="D35" s="71">
        <v>49.0</v>
      </c>
      <c r="E35" s="60">
        <f t="shared" si="2"/>
        <v>0</v>
      </c>
      <c r="F35" s="59">
        <f t="shared" si="3"/>
        <v>0.02431761787</v>
      </c>
      <c r="G35" s="61">
        <v>45.0</v>
      </c>
      <c r="H35" s="61" t="s">
        <v>22</v>
      </c>
      <c r="I35" s="65" t="str">
        <f>HYPERLINK("https://www.providencejournal.com/news/20200410/6-coronavirus-deaths-in-ri-as-total-cases-surpass-2000-ripta-limiting-buses-to-15-passengers","Source")</f>
        <v>Source</v>
      </c>
      <c r="J35" s="51"/>
      <c r="K35" s="29"/>
      <c r="L35" s="56">
        <v>2015.0</v>
      </c>
      <c r="M35" s="71">
        <v>49.0</v>
      </c>
      <c r="N35" s="29"/>
    </row>
    <row r="36" ht="30.0" customHeight="1">
      <c r="A36" s="34" t="s">
        <v>96</v>
      </c>
      <c r="B36" s="36">
        <v>1794.0</v>
      </c>
      <c r="C36" s="38">
        <f t="shared" si="1"/>
        <v>0</v>
      </c>
      <c r="D36" s="36">
        <v>88.0</v>
      </c>
      <c r="E36" s="40">
        <f t="shared" si="2"/>
        <v>0</v>
      </c>
      <c r="F36" s="59">
        <f t="shared" si="3"/>
        <v>0.04905239688</v>
      </c>
      <c r="G36" s="61" t="s">
        <v>22</v>
      </c>
      <c r="H36" s="45" t="s">
        <v>22</v>
      </c>
      <c r="I36" s="48" t="str">
        <f>HYPERLINK("https://coronavirus.health.ok.gov/","Source")</f>
        <v>Source</v>
      </c>
      <c r="J36" s="51"/>
      <c r="K36" s="29"/>
      <c r="L36" s="36">
        <v>1794.0</v>
      </c>
      <c r="M36" s="36">
        <v>88.0</v>
      </c>
      <c r="N36" s="29"/>
    </row>
    <row r="37" ht="27.75" customHeight="1">
      <c r="A37" s="54" t="s">
        <v>98</v>
      </c>
      <c r="B37" s="56">
        <v>1693.0</v>
      </c>
      <c r="C37" s="38">
        <f t="shared" si="1"/>
        <v>0</v>
      </c>
      <c r="D37" s="71">
        <v>90.0</v>
      </c>
      <c r="E37" s="60">
        <f t="shared" si="2"/>
        <v>0</v>
      </c>
      <c r="F37" s="42">
        <f t="shared" si="3"/>
        <v>0.05316007088</v>
      </c>
      <c r="G37" s="61" t="s">
        <v>22</v>
      </c>
      <c r="H37" s="61" t="s">
        <v>22</v>
      </c>
      <c r="I37" s="65" t="str">
        <f>HYPERLINK("https://govstatus.egov.com/kycovid19","Source")</f>
        <v>Source</v>
      </c>
      <c r="J37" s="51"/>
      <c r="K37" s="29"/>
      <c r="L37" s="56">
        <v>1693.0</v>
      </c>
      <c r="M37" s="71">
        <v>90.0</v>
      </c>
      <c r="N37" s="29"/>
    </row>
    <row r="38" ht="27.75" customHeight="1">
      <c r="A38" s="54" t="s">
        <v>99</v>
      </c>
      <c r="B38" s="56">
        <v>1660.0</v>
      </c>
      <c r="C38" s="38">
        <f t="shared" si="1"/>
        <v>0</v>
      </c>
      <c r="D38" s="71">
        <v>38.0</v>
      </c>
      <c r="E38" s="60">
        <f t="shared" si="2"/>
        <v>0</v>
      </c>
      <c r="F38" s="42">
        <f t="shared" si="3"/>
        <v>0.02289156627</v>
      </c>
      <c r="G38" s="61" t="s">
        <v>22</v>
      </c>
      <c r="H38" s="61">
        <v>426.0</v>
      </c>
      <c r="I38" s="65" t="str">
        <f>HYPERLINK("https://coronavirus.dc.gov/page/coronavirus-data","Source")</f>
        <v>Source</v>
      </c>
      <c r="J38" s="51"/>
      <c r="K38" s="66" t="s">
        <v>24</v>
      </c>
      <c r="L38" s="56">
        <v>1660.0</v>
      </c>
      <c r="M38" s="71">
        <v>38.0</v>
      </c>
      <c r="N38" s="66"/>
    </row>
    <row r="39" ht="27.75" customHeight="1">
      <c r="A39" s="54" t="s">
        <v>101</v>
      </c>
      <c r="B39" s="56">
        <v>1396.0</v>
      </c>
      <c r="C39" s="38">
        <f t="shared" si="1"/>
        <v>0</v>
      </c>
      <c r="D39" s="71">
        <v>25.0</v>
      </c>
      <c r="E39" s="60">
        <f t="shared" si="2"/>
        <v>0</v>
      </c>
      <c r="F39" s="42">
        <f t="shared" si="3"/>
        <v>0.01790830946</v>
      </c>
      <c r="G39" s="61">
        <v>8.0</v>
      </c>
      <c r="H39" s="61" t="s">
        <v>22</v>
      </c>
      <c r="I39" s="65" t="str">
        <f>HYPERLINK("https://coronavirus.idaho.gov/","Source")</f>
        <v>Source</v>
      </c>
      <c r="J39" s="51"/>
      <c r="K39" s="29"/>
      <c r="L39" s="56">
        <v>1396.0</v>
      </c>
      <c r="M39" s="71">
        <v>25.0</v>
      </c>
      <c r="N39" s="29"/>
    </row>
    <row r="40" ht="27.75" customHeight="1">
      <c r="A40" s="54" t="s">
        <v>103</v>
      </c>
      <c r="B40" s="56">
        <v>1388.0</v>
      </c>
      <c r="C40" s="38">
        <f t="shared" si="1"/>
        <v>0</v>
      </c>
      <c r="D40" s="71">
        <v>31.0</v>
      </c>
      <c r="E40" s="60">
        <f t="shared" si="2"/>
        <v>0</v>
      </c>
      <c r="F40" s="42">
        <f t="shared" si="3"/>
        <v>0.02233429395</v>
      </c>
      <c r="G40" s="61" t="s">
        <v>22</v>
      </c>
      <c r="H40" s="61" t="s">
        <v>22</v>
      </c>
      <c r="I40" s="65" t="str">
        <f>HYPERLINK("https://idph.iowa.gov/Emerging-Health-Issues/Novel-Coronavirus","Source")</f>
        <v>Source</v>
      </c>
      <c r="J40" s="29"/>
      <c r="K40" s="66" t="s">
        <v>24</v>
      </c>
      <c r="L40" s="56">
        <v>1388.0</v>
      </c>
      <c r="M40" s="71">
        <v>31.0</v>
      </c>
      <c r="N40" s="29"/>
    </row>
    <row r="41" ht="27.75" customHeight="1">
      <c r="A41" s="54" t="s">
        <v>104</v>
      </c>
      <c r="B41" s="56">
        <v>1371.0</v>
      </c>
      <c r="C41" s="38">
        <f t="shared" si="1"/>
        <v>0</v>
      </c>
      <c r="D41" s="71">
        <v>48.0</v>
      </c>
      <c r="E41" s="60">
        <f t="shared" si="2"/>
        <v>0</v>
      </c>
      <c r="F41" s="59">
        <f t="shared" si="3"/>
        <v>0.03501094092</v>
      </c>
      <c r="G41" s="43" t="s">
        <v>22</v>
      </c>
      <c r="H41" s="61" t="s">
        <v>22</v>
      </c>
      <c r="I41" s="65" t="str">
        <f>HYPERLINK("https://govstatus.egov.com/OR-OHA-COVID-19","Source")</f>
        <v>Source</v>
      </c>
      <c r="J41" s="51"/>
      <c r="K41" s="66" t="s">
        <v>24</v>
      </c>
      <c r="L41" s="56">
        <v>1371.0</v>
      </c>
      <c r="M41" s="71">
        <v>48.0</v>
      </c>
      <c r="N41" s="66"/>
    </row>
    <row r="42" ht="30.0" customHeight="1">
      <c r="A42" s="34" t="s">
        <v>106</v>
      </c>
      <c r="B42" s="36">
        <v>1336.0</v>
      </c>
      <c r="C42" s="38">
        <f t="shared" si="1"/>
        <v>0</v>
      </c>
      <c r="D42" s="36">
        <v>57.0</v>
      </c>
      <c r="E42" s="40">
        <f t="shared" si="2"/>
        <v>0</v>
      </c>
      <c r="F42" s="59">
        <f t="shared" si="3"/>
        <v>0.04266467066</v>
      </c>
      <c r="G42" s="43">
        <v>64.0</v>
      </c>
      <c r="H42" s="45">
        <v>732.0</v>
      </c>
      <c r="I42" s="48" t="str">
        <f>HYPERLINK("https://www.health.state.mn.us/diseases/coronavirus/situation.html","Source")</f>
        <v>Source</v>
      </c>
      <c r="J42" s="51"/>
      <c r="K42" s="29"/>
      <c r="L42" s="36">
        <v>1336.0</v>
      </c>
      <c r="M42" s="36">
        <v>57.0</v>
      </c>
      <c r="N42" s="29"/>
    </row>
    <row r="43" ht="27.75" customHeight="1">
      <c r="A43" s="54" t="s">
        <v>108</v>
      </c>
      <c r="B43" s="56">
        <v>1326.0</v>
      </c>
      <c r="C43" s="38">
        <f t="shared" si="1"/>
        <v>0</v>
      </c>
      <c r="D43" s="71">
        <v>32.0</v>
      </c>
      <c r="E43" s="60">
        <f t="shared" si="2"/>
        <v>0</v>
      </c>
      <c r="F43" s="59">
        <f t="shared" si="3"/>
        <v>0.02413273002</v>
      </c>
      <c r="G43" s="61" t="s">
        <v>22</v>
      </c>
      <c r="H43" s="61">
        <v>177.0</v>
      </c>
      <c r="I43" s="65" t="str">
        <f>HYPERLINK("https://coronavirus.delaware.gov/","Source")</f>
        <v>Source</v>
      </c>
      <c r="J43" s="51"/>
      <c r="K43" s="29"/>
      <c r="L43" s="56">
        <v>1326.0</v>
      </c>
      <c r="M43" s="71">
        <v>32.0</v>
      </c>
      <c r="N43" s="29"/>
    </row>
    <row r="44" ht="30.0" customHeight="1">
      <c r="A44" s="34" t="s">
        <v>111</v>
      </c>
      <c r="B44" s="36">
        <v>1208.0</v>
      </c>
      <c r="C44" s="38">
        <f t="shared" si="1"/>
        <v>0</v>
      </c>
      <c r="D44" s="36">
        <v>50.0</v>
      </c>
      <c r="E44" s="40">
        <f t="shared" si="2"/>
        <v>0</v>
      </c>
      <c r="F44" s="42">
        <f t="shared" si="3"/>
        <v>0.04139072848</v>
      </c>
      <c r="G44" s="61" t="s">
        <v>22</v>
      </c>
      <c r="H44" s="61" t="s">
        <v>22</v>
      </c>
      <c r="I44" s="48" t="str">
        <f>HYPERLINK("https://www.kshb.com/news/coronavirus/covid-19-case-tracker-where-we-stand-in-mo-ks-nationwide","Source")</f>
        <v>Source</v>
      </c>
      <c r="J44" s="29"/>
      <c r="K44" s="29"/>
      <c r="L44" s="36">
        <v>1208.0</v>
      </c>
      <c r="M44" s="36">
        <v>50.0</v>
      </c>
      <c r="N44" s="29"/>
    </row>
    <row r="45" ht="27.75" customHeight="1">
      <c r="A45" s="54" t="s">
        <v>114</v>
      </c>
      <c r="B45" s="56">
        <v>1202.0</v>
      </c>
      <c r="C45" s="38">
        <f t="shared" si="1"/>
        <v>0</v>
      </c>
      <c r="D45" s="71">
        <v>24.0</v>
      </c>
      <c r="E45" s="60">
        <f t="shared" si="2"/>
        <v>0</v>
      </c>
      <c r="F45" s="59">
        <f t="shared" si="3"/>
        <v>0.01996672213</v>
      </c>
      <c r="G45" s="61">
        <v>23.0</v>
      </c>
      <c r="H45" s="61">
        <v>329.0</v>
      </c>
      <c r="I45" s="65" t="str">
        <f>HYPERLINK("https://adem.maps.arcgis.com/apps/opsdashboard/index.html#/f533ac8a8b6040e5896b05b47b17a647","Source")</f>
        <v>Source</v>
      </c>
      <c r="J45" s="67"/>
      <c r="K45" s="66" t="s">
        <v>116</v>
      </c>
      <c r="L45" s="56">
        <v>1202.0</v>
      </c>
      <c r="M45" s="71">
        <v>24.0</v>
      </c>
      <c r="N45" s="66"/>
    </row>
    <row r="46" ht="27.75" customHeight="1">
      <c r="A46" s="54" t="s">
        <v>118</v>
      </c>
      <c r="B46" s="56">
        <v>1091.0</v>
      </c>
      <c r="C46" s="38">
        <f t="shared" si="1"/>
        <v>0</v>
      </c>
      <c r="D46" s="71">
        <v>19.0</v>
      </c>
      <c r="E46" s="60">
        <f t="shared" si="2"/>
        <v>0</v>
      </c>
      <c r="F46" s="59">
        <f t="shared" si="3"/>
        <v>0.0174152154</v>
      </c>
      <c r="G46" s="61" t="s">
        <v>22</v>
      </c>
      <c r="H46" s="61" t="s">
        <v>22</v>
      </c>
      <c r="I46" s="65" t="str">
        <f>HYPERLINK("https://cv.nmhealth.org/","Source")</f>
        <v>Source</v>
      </c>
      <c r="J46" s="51"/>
      <c r="K46" s="66" t="s">
        <v>24</v>
      </c>
      <c r="L46" s="56">
        <v>1091.0</v>
      </c>
      <c r="M46" s="71">
        <v>19.0</v>
      </c>
      <c r="N46" s="66"/>
    </row>
    <row r="47" ht="30.0" customHeight="1">
      <c r="A47" s="34" t="s">
        <v>120</v>
      </c>
      <c r="B47" s="36">
        <v>885.0</v>
      </c>
      <c r="C47" s="38">
        <f t="shared" si="1"/>
        <v>0</v>
      </c>
      <c r="D47" s="58">
        <v>22.0</v>
      </c>
      <c r="E47" s="60">
        <f t="shared" si="2"/>
        <v>0</v>
      </c>
      <c r="F47" s="42">
        <f t="shared" si="3"/>
        <v>0.02485875706</v>
      </c>
      <c r="G47" s="61" t="s">
        <v>22</v>
      </c>
      <c r="H47" s="61">
        <v>234.0</v>
      </c>
      <c r="I47" s="48" t="str">
        <f>HYPERLINK("https://www.wmur.com/article/new-hampshire-coronavirus-update-april-10-2020/32108196?src=app","Source")</f>
        <v>Source</v>
      </c>
      <c r="J47" s="29"/>
      <c r="K47" s="29"/>
      <c r="L47" s="36">
        <v>885.0</v>
      </c>
      <c r="M47" s="58">
        <v>22.0</v>
      </c>
      <c r="N47" s="29"/>
    </row>
    <row r="48" ht="27.75" customHeight="1">
      <c r="A48" s="54" t="s">
        <v>121</v>
      </c>
      <c r="B48" s="56">
        <v>725.0</v>
      </c>
      <c r="C48" s="38">
        <f t="shared" si="1"/>
        <v>0</v>
      </c>
      <c r="D48" s="71">
        <v>39.0</v>
      </c>
      <c r="E48" s="60">
        <f t="shared" si="2"/>
        <v>0</v>
      </c>
      <c r="F48" s="59">
        <f t="shared" si="3"/>
        <v>0.05379310345</v>
      </c>
      <c r="G48" s="61" t="s">
        <v>22</v>
      </c>
      <c r="H48" s="61" t="s">
        <v>22</v>
      </c>
      <c r="I48" s="65" t="str">
        <f>HYPERLINK("http://www.salud.gov.pr/Pages/coronavirus.aspx","Source")</f>
        <v>Source</v>
      </c>
      <c r="J48" s="51"/>
      <c r="K48" s="66" t="s">
        <v>24</v>
      </c>
      <c r="L48" s="56">
        <v>725.0</v>
      </c>
      <c r="M48" s="71">
        <v>39.0</v>
      </c>
      <c r="N48" s="66"/>
    </row>
    <row r="49" ht="30.0" customHeight="1">
      <c r="A49" s="34" t="s">
        <v>123</v>
      </c>
      <c r="B49" s="36">
        <v>679.0</v>
      </c>
      <c r="C49" s="38">
        <f t="shared" si="1"/>
        <v>0</v>
      </c>
      <c r="D49" s="36">
        <v>24.0</v>
      </c>
      <c r="E49" s="40">
        <f t="shared" si="2"/>
        <v>0</v>
      </c>
      <c r="F49" s="42">
        <f t="shared" si="3"/>
        <v>0.0353460972</v>
      </c>
      <c r="G49" s="61" t="s">
        <v>22</v>
      </c>
      <c r="H49" s="61" t="s">
        <v>22</v>
      </c>
      <c r="I49" s="48" t="str">
        <f>HYPERLINK("https://www.healthvermont.gov/sites/default/files/documents/pdf/Covid-19-Daily-Update.pdf","Source")</f>
        <v>Source</v>
      </c>
      <c r="J49" s="51"/>
      <c r="K49" s="29"/>
      <c r="L49" s="36">
        <v>679.0</v>
      </c>
      <c r="M49" s="36">
        <v>24.0</v>
      </c>
      <c r="N49" s="29"/>
    </row>
    <row r="50" ht="27.75" customHeight="1">
      <c r="A50" s="54" t="s">
        <v>125</v>
      </c>
      <c r="B50" s="56">
        <v>635.0</v>
      </c>
      <c r="C50" s="38">
        <f t="shared" si="1"/>
        <v>0</v>
      </c>
      <c r="D50" s="71">
        <v>15.0</v>
      </c>
      <c r="E50" s="60">
        <f t="shared" si="2"/>
        <v>0</v>
      </c>
      <c r="F50" s="59">
        <f t="shared" si="3"/>
        <v>0.02362204724</v>
      </c>
      <c r="G50" s="61" t="s">
        <v>22</v>
      </c>
      <c r="H50" s="61" t="s">
        <v>22</v>
      </c>
      <c r="I50" s="65" t="str">
        <f>HYPERLINK("https://ktiv.com/2020/04/10/nebraska-cases-of-covid-19-increase-to-635/?utm_medium=social&amp;utm_source=twitter_ktivnews","Source")</f>
        <v>Source</v>
      </c>
      <c r="J50" s="51"/>
      <c r="K50" s="29"/>
      <c r="L50" s="56">
        <v>635.0</v>
      </c>
      <c r="M50" s="71">
        <v>15.0</v>
      </c>
      <c r="N50" s="29"/>
    </row>
    <row r="51" ht="27.75" customHeight="1">
      <c r="A51" s="54" t="s">
        <v>127</v>
      </c>
      <c r="B51" s="56">
        <v>586.0</v>
      </c>
      <c r="C51" s="38">
        <f t="shared" si="1"/>
        <v>0</v>
      </c>
      <c r="D51" s="71">
        <v>17.0</v>
      </c>
      <c r="E51" s="60">
        <f t="shared" si="2"/>
        <v>0</v>
      </c>
      <c r="F51" s="42">
        <f t="shared" si="3"/>
        <v>0.02901023891</v>
      </c>
      <c r="G51" s="61" t="s">
        <v>22</v>
      </c>
      <c r="H51" s="61">
        <v>246.0</v>
      </c>
      <c r="I51" s="65" t="str">
        <f>HYPERLINK("https://www.maine.gov/dhhs/mecdc/infectious-disease/epi/airborne/coronavirus.shtml","Source")</f>
        <v>Source</v>
      </c>
      <c r="J51" s="51"/>
      <c r="K51" s="29"/>
      <c r="L51" s="56">
        <v>586.0</v>
      </c>
      <c r="M51" s="71">
        <v>17.0</v>
      </c>
      <c r="N51" s="29"/>
    </row>
    <row r="52" ht="27.75" customHeight="1">
      <c r="A52" s="54" t="s">
        <v>129</v>
      </c>
      <c r="B52" s="56">
        <v>574.0</v>
      </c>
      <c r="C52" s="38">
        <f t="shared" si="1"/>
        <v>0</v>
      </c>
      <c r="D52" s="71">
        <v>5.0</v>
      </c>
      <c r="E52" s="60">
        <f t="shared" si="2"/>
        <v>0</v>
      </c>
      <c r="F52" s="59">
        <f t="shared" si="3"/>
        <v>0.008710801394</v>
      </c>
      <c r="G52" s="61" t="s">
        <v>22</v>
      </c>
      <c r="H52" s="61" t="s">
        <v>22</v>
      </c>
      <c r="I52" s="65" t="str">
        <f>HYPERLINK("https://dhhr.wv.gov/COVID-19/Pages/default.aspx","Source")</f>
        <v>Source</v>
      </c>
      <c r="J52" s="51"/>
      <c r="K52" s="66" t="s">
        <v>24</v>
      </c>
      <c r="L52" s="56">
        <v>574.0</v>
      </c>
      <c r="M52" s="71">
        <v>5.0</v>
      </c>
      <c r="N52" s="66"/>
    </row>
    <row r="53" ht="27.75" customHeight="1">
      <c r="A53" s="54" t="s">
        <v>130</v>
      </c>
      <c r="B53" s="56">
        <v>536.0</v>
      </c>
      <c r="C53" s="38">
        <f t="shared" si="1"/>
        <v>0</v>
      </c>
      <c r="D53" s="71">
        <v>6.0</v>
      </c>
      <c r="E53" s="60">
        <f t="shared" si="2"/>
        <v>0</v>
      </c>
      <c r="F53" s="59">
        <f t="shared" si="3"/>
        <v>0.01119402985</v>
      </c>
      <c r="G53" s="61" t="s">
        <v>22</v>
      </c>
      <c r="H53" s="61">
        <v>177.0</v>
      </c>
      <c r="I53" s="65" t="str">
        <f>HYPERLINK("https://twitter.com/mgeheren/status/1246293900857413633","Source")</f>
        <v>Source</v>
      </c>
      <c r="J53" s="51"/>
      <c r="K53" s="29"/>
      <c r="L53" s="56">
        <v>536.0</v>
      </c>
      <c r="M53" s="71">
        <v>6.0</v>
      </c>
      <c r="N53" s="29"/>
    </row>
    <row r="54" ht="27.75" customHeight="1">
      <c r="A54" s="54" t="s">
        <v>132</v>
      </c>
      <c r="B54" s="56">
        <v>481.0</v>
      </c>
      <c r="C54" s="38">
        <f t="shared" si="1"/>
        <v>0</v>
      </c>
      <c r="D54" s="71">
        <v>9.0</v>
      </c>
      <c r="E54" s="60">
        <f t="shared" si="2"/>
        <v>0</v>
      </c>
      <c r="F54" s="42">
        <f t="shared" si="3"/>
        <v>0.01871101871</v>
      </c>
      <c r="G54" s="61" t="s">
        <v>22</v>
      </c>
      <c r="H54" s="61">
        <v>23.0</v>
      </c>
      <c r="I54" s="65" t="str">
        <f>HYPERLINK("https://www.bop.gov/coronavirus/","Source")</f>
        <v>Source</v>
      </c>
      <c r="J54" s="51"/>
      <c r="K54" s="66" t="s">
        <v>24</v>
      </c>
      <c r="L54" s="56">
        <v>481.0</v>
      </c>
      <c r="M54" s="71">
        <v>9.0</v>
      </c>
      <c r="N54" s="66"/>
    </row>
    <row r="55" ht="27.75" customHeight="1">
      <c r="A55" s="54" t="s">
        <v>134</v>
      </c>
      <c r="B55" s="56">
        <v>465.0</v>
      </c>
      <c r="C55" s="38">
        <f t="shared" si="1"/>
        <v>0</v>
      </c>
      <c r="D55" s="71">
        <v>8.0</v>
      </c>
      <c r="E55" s="60">
        <f t="shared" si="2"/>
        <v>0</v>
      </c>
      <c r="F55" s="42">
        <f t="shared" si="3"/>
        <v>0.01720430108</v>
      </c>
      <c r="G55" s="61" t="s">
        <v>22</v>
      </c>
      <c r="H55" s="61">
        <v>113.0</v>
      </c>
      <c r="I55" s="65" t="str">
        <f>HYPERLINK("https://health.hawaii.gov/coronavirusdisease2019/","Source")</f>
        <v>Source</v>
      </c>
      <c r="J55" s="51"/>
      <c r="K55" s="29"/>
      <c r="L55" s="56">
        <v>465.0</v>
      </c>
      <c r="M55" s="71">
        <v>8.0</v>
      </c>
      <c r="N55" s="29"/>
    </row>
    <row r="56" ht="27.75" customHeight="1">
      <c r="A56" s="54" t="s">
        <v>137</v>
      </c>
      <c r="B56" s="56">
        <v>365.0</v>
      </c>
      <c r="C56" s="38">
        <f t="shared" si="1"/>
        <v>0</v>
      </c>
      <c r="D56" s="71">
        <v>6.0</v>
      </c>
      <c r="E56" s="60">
        <f t="shared" si="2"/>
        <v>0</v>
      </c>
      <c r="F56" s="42">
        <f t="shared" si="3"/>
        <v>0.01643835616</v>
      </c>
      <c r="G56" s="61" t="s">
        <v>22</v>
      </c>
      <c r="H56" s="61">
        <v>165.0</v>
      </c>
      <c r="I56" s="65" t="str">
        <f>HYPERLINK("https://montana.maps.arcgis.com/apps/MapSeries/index.html?appid=7c34f3412536439491adcc2103421d4b","Source")</f>
        <v>Source</v>
      </c>
      <c r="J56" s="29"/>
      <c r="K56" s="66" t="s">
        <v>139</v>
      </c>
      <c r="L56" s="56">
        <v>365.0</v>
      </c>
      <c r="M56" s="71">
        <v>6.0</v>
      </c>
      <c r="N56" s="66"/>
    </row>
    <row r="57" ht="27.75" customHeight="1">
      <c r="A57" s="54" t="s">
        <v>140</v>
      </c>
      <c r="B57" s="56">
        <v>340.0</v>
      </c>
      <c r="C57" s="38">
        <f t="shared" si="1"/>
        <v>0</v>
      </c>
      <c r="D57" s="71">
        <v>0.0</v>
      </c>
      <c r="E57" s="60">
        <f t="shared" si="2"/>
        <v>0</v>
      </c>
      <c r="F57" s="59">
        <f t="shared" si="3"/>
        <v>0</v>
      </c>
      <c r="G57" s="61" t="s">
        <v>22</v>
      </c>
      <c r="H57" s="61">
        <v>129.0</v>
      </c>
      <c r="I57" s="65" t="str">
        <f>HYPERLINK("https://health.wyo.gov/publichealth/infectious-disease-epidemiology-unit/disease/novel-coronavirus/covid-19-map-and-statistics/","Source")</f>
        <v>Source</v>
      </c>
      <c r="J57" s="51"/>
      <c r="K57" s="29"/>
      <c r="L57" s="56">
        <v>340.0</v>
      </c>
      <c r="M57" s="71">
        <v>0.0</v>
      </c>
      <c r="N57" s="29"/>
    </row>
    <row r="58" ht="27.75" customHeight="1">
      <c r="A58" s="54" t="s">
        <v>142</v>
      </c>
      <c r="B58" s="56">
        <v>278.0</v>
      </c>
      <c r="C58" s="38">
        <f t="shared" si="1"/>
        <v>0</v>
      </c>
      <c r="D58" s="71">
        <v>6.0</v>
      </c>
      <c r="E58" s="60">
        <f t="shared" si="2"/>
        <v>0</v>
      </c>
      <c r="F58" s="42">
        <f t="shared" si="3"/>
        <v>0.02158273381</v>
      </c>
      <c r="G58" s="61" t="s">
        <v>22</v>
      </c>
      <c r="H58" s="61">
        <v>105.0</v>
      </c>
      <c r="I58" s="65" t="str">
        <f>HYPERLINK("https://www.health.nd.gov/diseases-conditions/coronavirus/north-dakota-coronavirus-cases","Source")</f>
        <v>Source</v>
      </c>
      <c r="J58" s="51"/>
      <c r="K58" s="66" t="s">
        <v>24</v>
      </c>
      <c r="L58" s="56">
        <v>278.0</v>
      </c>
      <c r="M58" s="71">
        <v>6.0</v>
      </c>
      <c r="N58" s="66"/>
    </row>
    <row r="59" ht="27.75" customHeight="1">
      <c r="A59" s="54" t="s">
        <v>145</v>
      </c>
      <c r="B59" s="56">
        <v>246.0</v>
      </c>
      <c r="C59" s="38">
        <f t="shared" si="1"/>
        <v>0</v>
      </c>
      <c r="D59" s="71">
        <v>7.0</v>
      </c>
      <c r="E59" s="60">
        <f t="shared" si="2"/>
        <v>0</v>
      </c>
      <c r="F59" s="42">
        <f t="shared" si="3"/>
        <v>0.02845528455</v>
      </c>
      <c r="G59" s="61" t="s">
        <v>22</v>
      </c>
      <c r="H59" s="61">
        <v>55.0</v>
      </c>
      <c r="I59" s="65" t="str">
        <f>HYPERLINK("https://www.arcgis.com/apps/opsdashboard/index.html#/83c63cfec8b24397bdf359f49b11f218","Source")</f>
        <v>Source</v>
      </c>
      <c r="J59" s="51"/>
      <c r="K59" s="66" t="s">
        <v>24</v>
      </c>
      <c r="L59" s="56">
        <v>246.0</v>
      </c>
      <c r="M59" s="71">
        <v>7.0</v>
      </c>
      <c r="N59" s="29"/>
    </row>
    <row r="60" ht="27.75" customHeight="1">
      <c r="A60" s="54" t="s">
        <v>148</v>
      </c>
      <c r="B60" s="56">
        <v>130.0</v>
      </c>
      <c r="C60" s="38">
        <f t="shared" si="1"/>
        <v>0</v>
      </c>
      <c r="D60" s="71">
        <v>4.0</v>
      </c>
      <c r="E60" s="60">
        <f t="shared" si="2"/>
        <v>0</v>
      </c>
      <c r="F60" s="59">
        <f t="shared" si="3"/>
        <v>0.03076923077</v>
      </c>
      <c r="G60" s="61" t="s">
        <v>22</v>
      </c>
      <c r="H60" s="61">
        <v>41.0</v>
      </c>
      <c r="I60" s="65" t="str">
        <f>HYPERLINK("https://ghs.guam.gov/jic-release-no-67-zero-test-positive-covid-19","Source")</f>
        <v>Source</v>
      </c>
      <c r="J60" s="51"/>
      <c r="K60" s="29"/>
      <c r="L60" s="56">
        <v>130.0</v>
      </c>
      <c r="M60" s="71">
        <v>4.0</v>
      </c>
      <c r="N60" s="29"/>
    </row>
    <row r="61" ht="27.75" customHeight="1">
      <c r="A61" s="54" t="s">
        <v>150</v>
      </c>
      <c r="B61" s="56">
        <v>103.0</v>
      </c>
      <c r="C61" s="38">
        <f t="shared" si="1"/>
        <v>0</v>
      </c>
      <c r="D61" s="71">
        <v>3.0</v>
      </c>
      <c r="E61" s="60">
        <f t="shared" si="2"/>
        <v>0</v>
      </c>
      <c r="F61" s="42">
        <f t="shared" si="3"/>
        <v>0.02912621359</v>
      </c>
      <c r="G61" s="61" t="s">
        <v>22</v>
      </c>
      <c r="H61" s="61" t="s">
        <v>22</v>
      </c>
      <c r="I61" s="65" t="str">
        <f>HYPERLINK("https://www.mercurynews.com/2020/04/06/coronavirus-after-weeks-of-quarantine-and-3-dead-grand-princess-sets-sail-again/","Source")</f>
        <v>Source</v>
      </c>
      <c r="J61" s="29"/>
      <c r="K61" s="29"/>
      <c r="L61" s="56">
        <v>103.0</v>
      </c>
      <c r="M61" s="71">
        <v>3.0</v>
      </c>
      <c r="N61" s="29"/>
    </row>
    <row r="62" ht="27.75" customHeight="1">
      <c r="A62" s="54" t="s">
        <v>152</v>
      </c>
      <c r="B62" s="56">
        <v>50.0</v>
      </c>
      <c r="C62" s="38">
        <f t="shared" si="1"/>
        <v>0</v>
      </c>
      <c r="D62" s="71">
        <v>1.0</v>
      </c>
      <c r="E62" s="60">
        <f t="shared" si="2"/>
        <v>0</v>
      </c>
      <c r="F62" s="59">
        <f t="shared" si="3"/>
        <v>0.02</v>
      </c>
      <c r="G62" s="61" t="s">
        <v>22</v>
      </c>
      <c r="H62" s="61">
        <v>43.0</v>
      </c>
      <c r="I62" s="65" t="str">
        <f>HYPERLINK("https://doh.vi.gov/news/health-department-announces-eleven-additional-confirmed-covid-19-cases","Source")</f>
        <v>Source</v>
      </c>
      <c r="J62" s="29"/>
      <c r="K62" s="29"/>
      <c r="L62" s="56">
        <v>50.0</v>
      </c>
      <c r="M62" s="71">
        <v>1.0</v>
      </c>
      <c r="N62" s="29"/>
    </row>
    <row r="63" ht="33.0" customHeight="1">
      <c r="A63" s="54" t="s">
        <v>155</v>
      </c>
      <c r="B63" s="56">
        <v>46.0</v>
      </c>
      <c r="C63" s="38">
        <f t="shared" si="1"/>
        <v>0</v>
      </c>
      <c r="D63" s="71">
        <v>0.0</v>
      </c>
      <c r="E63" s="60">
        <f t="shared" si="2"/>
        <v>0</v>
      </c>
      <c r="F63" s="42">
        <f t="shared" si="3"/>
        <v>0</v>
      </c>
      <c r="G63" s="61" t="s">
        <v>22</v>
      </c>
      <c r="H63" s="61">
        <v>2.0</v>
      </c>
      <c r="I63" s="65" t="str">
        <f>HYPERLINK("https://www.cdc.gov/coronavirus/2019-ncov/cases-in-us.html","Source")</f>
        <v>Source</v>
      </c>
      <c r="J63" s="29"/>
      <c r="K63" s="29"/>
      <c r="L63" s="56">
        <v>46.0</v>
      </c>
      <c r="M63" s="71">
        <v>0.0</v>
      </c>
      <c r="N63" s="29"/>
    </row>
    <row r="64" ht="27.75" customHeight="1">
      <c r="A64" s="54" t="s">
        <v>158</v>
      </c>
      <c r="B64" s="56">
        <v>11.0</v>
      </c>
      <c r="C64" s="38">
        <f t="shared" si="1"/>
        <v>0</v>
      </c>
      <c r="D64" s="71">
        <v>2.0</v>
      </c>
      <c r="E64" s="60">
        <f t="shared" si="2"/>
        <v>0</v>
      </c>
      <c r="F64" s="59">
        <f t="shared" si="3"/>
        <v>0.1818181818</v>
      </c>
      <c r="G64" s="61" t="s">
        <v>22</v>
      </c>
      <c r="H64" s="61" t="s">
        <v>22</v>
      </c>
      <c r="I64" s="65" t="str">
        <f>HYPERLINK("https://guampdn.com/story/news/local/2020/03/28/saipan-confirms-two-covid-19-positive-cases/2932326001/","Source")</f>
        <v>Source</v>
      </c>
      <c r="J64" s="29"/>
      <c r="K64" s="29"/>
      <c r="L64" s="56">
        <v>11.0</v>
      </c>
      <c r="M64" s="71">
        <v>2.0</v>
      </c>
      <c r="N64" s="29"/>
    </row>
    <row r="65" ht="27.75" customHeight="1">
      <c r="A65" s="54" t="s">
        <v>161</v>
      </c>
      <c r="B65" s="56">
        <v>3.0</v>
      </c>
      <c r="C65" s="38">
        <f t="shared" si="1"/>
        <v>0</v>
      </c>
      <c r="D65" s="71">
        <v>0.0</v>
      </c>
      <c r="E65" s="60">
        <f t="shared" si="2"/>
        <v>0</v>
      </c>
      <c r="F65" s="42">
        <f t="shared" si="3"/>
        <v>0</v>
      </c>
      <c r="G65" s="61" t="s">
        <v>22</v>
      </c>
      <c r="H65" s="61" t="s">
        <v>22</v>
      </c>
      <c r="I65" s="98" t="s">
        <v>22</v>
      </c>
      <c r="J65" s="29"/>
      <c r="K65" s="29"/>
      <c r="L65" s="56">
        <v>3.0</v>
      </c>
      <c r="M65" s="71">
        <v>0.0</v>
      </c>
      <c r="N65" s="29"/>
    </row>
    <row r="66" ht="27.75" customHeight="1">
      <c r="A66" s="54" t="s">
        <v>163</v>
      </c>
      <c r="B66" s="56">
        <v>0.0</v>
      </c>
      <c r="C66" s="38">
        <f t="shared" si="1"/>
        <v>0</v>
      </c>
      <c r="D66" s="71">
        <v>0.0</v>
      </c>
      <c r="E66" s="60">
        <f t="shared" si="2"/>
        <v>0</v>
      </c>
      <c r="F66" s="100" t="s">
        <v>50</v>
      </c>
      <c r="G66" s="61" t="s">
        <v>22</v>
      </c>
      <c r="H66" s="61" t="s">
        <v>22</v>
      </c>
      <c r="I66" s="78" t="s">
        <v>22</v>
      </c>
      <c r="J66" s="29"/>
      <c r="K66" s="29"/>
      <c r="L66" s="56">
        <v>0.0</v>
      </c>
      <c r="M66" s="71">
        <v>0.0</v>
      </c>
      <c r="N66" s="29"/>
    </row>
    <row r="67" ht="15.75" customHeight="1">
      <c r="A67" s="101" t="s">
        <v>165</v>
      </c>
      <c r="B67" s="102">
        <v>607.0</v>
      </c>
      <c r="C67" s="102"/>
      <c r="D67" s="103"/>
      <c r="E67" s="103"/>
      <c r="F67" s="104"/>
      <c r="G67" s="104"/>
      <c r="H67" s="105"/>
      <c r="I67" s="106"/>
      <c r="J67" s="50"/>
      <c r="K67" s="50"/>
      <c r="L67" s="102">
        <v>607.0</v>
      </c>
      <c r="M67" s="103"/>
      <c r="N67" s="50"/>
    </row>
    <row r="68" ht="30.0" customHeight="1">
      <c r="A68" s="107" t="s">
        <v>168</v>
      </c>
      <c r="B68" s="108">
        <f>SUM(B6:B67)</f>
        <v>502396</v>
      </c>
      <c r="C68" s="109">
        <f>SUM(C6:C66)</f>
        <v>0</v>
      </c>
      <c r="D68" s="108">
        <f>SUM(D6:D67)</f>
        <v>18703</v>
      </c>
      <c r="E68" s="110">
        <f>SUM(E6:E66)</f>
        <v>0</v>
      </c>
      <c r="F68" s="111">
        <f>DIVIDE(B3,A3)</f>
        <v>0.03722760532</v>
      </c>
      <c r="G68" s="112">
        <f t="shared" ref="G68:H68" si="4">SUM(G6:G65)</f>
        <v>6819</v>
      </c>
      <c r="H68" s="113">
        <f t="shared" si="4"/>
        <v>28511</v>
      </c>
      <c r="I68" s="114"/>
      <c r="J68" s="29"/>
      <c r="K68" s="29"/>
      <c r="L68" s="108">
        <f t="shared" ref="L68:M68" si="5">SUM(L6:L67)</f>
        <v>502396</v>
      </c>
      <c r="M68" s="108">
        <f t="shared" si="5"/>
        <v>18703</v>
      </c>
      <c r="N68" s="29"/>
    </row>
    <row r="69">
      <c r="A69" s="116"/>
      <c r="B69" s="117" t="s">
        <v>8</v>
      </c>
      <c r="C69" s="117" t="s">
        <v>9</v>
      </c>
      <c r="D69" s="117" t="s">
        <v>10</v>
      </c>
      <c r="E69" s="118" t="s">
        <v>11</v>
      </c>
      <c r="F69" s="118" t="s">
        <v>175</v>
      </c>
      <c r="G69" s="118" t="s">
        <v>13</v>
      </c>
      <c r="H69" s="118" t="s">
        <v>14</v>
      </c>
      <c r="I69" s="117" t="s">
        <v>15</v>
      </c>
      <c r="J69" s="6"/>
      <c r="K69" s="6"/>
      <c r="L69" s="117" t="s">
        <v>8</v>
      </c>
      <c r="M69" s="117" t="s">
        <v>10</v>
      </c>
      <c r="N69" s="6"/>
    </row>
    <row r="70">
      <c r="A70" s="87"/>
      <c r="B70" s="88"/>
      <c r="C70" s="88"/>
      <c r="D70" s="88"/>
      <c r="E70" s="88"/>
      <c r="F70" s="88"/>
      <c r="G70" s="88"/>
      <c r="H70" s="88"/>
      <c r="I70" s="90"/>
      <c r="J70" s="6"/>
      <c r="K70" s="6"/>
      <c r="L70" s="88"/>
      <c r="M70" s="88"/>
      <c r="N70" s="6"/>
    </row>
  </sheetData>
  <mergeCells count="2">
    <mergeCell ref="A1:H1"/>
    <mergeCell ref="E2:G2"/>
  </mergeCells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0"/>
    <col customWidth="1" min="2" max="2" width="11.14"/>
    <col customWidth="1" min="3" max="3" width="9.43"/>
    <col customWidth="1" min="4" max="4" width="9.0"/>
    <col customWidth="1" min="5" max="5" width="8.43"/>
    <col customWidth="1" min="6" max="7" width="9.71"/>
    <col customWidth="1" min="8" max="8" width="12.43"/>
    <col customWidth="1" min="9" max="9" width="11.29"/>
    <col customWidth="1" min="10" max="10" width="0.86"/>
    <col customWidth="1" min="12" max="12" width="11.14"/>
    <col customWidth="1" min="13" max="13" width="9.0"/>
  </cols>
  <sheetData>
    <row r="1" ht="12.75" customHeight="1">
      <c r="A1" s="1"/>
      <c r="J1" s="3"/>
      <c r="K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4" t="s">
        <v>2</v>
      </c>
      <c r="C2" s="5" t="s">
        <v>3</v>
      </c>
      <c r="D2" s="4"/>
      <c r="E2" s="7" t="s">
        <v>4</v>
      </c>
      <c r="I2" s="9"/>
      <c r="J2" s="6"/>
      <c r="K2" s="6"/>
      <c r="L2" s="4" t="s">
        <v>2</v>
      </c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3">
        <f>SUM(B17, B18)</f>
        <v>6283</v>
      </c>
      <c r="B3" s="13">
        <f>SUM(D17, D18)</f>
        <v>56</v>
      </c>
      <c r="C3" s="15">
        <f>SUM(H17, H18)</f>
        <v>1793</v>
      </c>
      <c r="D3" s="13"/>
      <c r="E3" s="16">
        <f>MINUS(A3,B3 + C3)</f>
        <v>4434</v>
      </c>
      <c r="F3" s="16"/>
      <c r="G3" s="16"/>
      <c r="H3" s="5"/>
      <c r="I3" s="9"/>
      <c r="J3" s="6"/>
      <c r="K3" s="6"/>
      <c r="L3" s="13">
        <f>SUM(N17, N18)</f>
        <v>0</v>
      </c>
      <c r="M3" s="1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9"/>
      <c r="B4" s="9"/>
      <c r="C4" s="9"/>
      <c r="D4" s="9"/>
      <c r="E4" s="9"/>
      <c r="F4" s="8"/>
      <c r="G4" s="8"/>
      <c r="H4" s="8"/>
      <c r="I4" s="9"/>
      <c r="J4" s="6"/>
      <c r="K4" s="6"/>
      <c r="L4" s="9"/>
      <c r="M4" s="9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30.0" customHeight="1">
      <c r="A5" s="21" t="s">
        <v>7</v>
      </c>
      <c r="B5" s="23" t="s">
        <v>8</v>
      </c>
      <c r="C5" s="25" t="s">
        <v>9</v>
      </c>
      <c r="D5" s="23" t="s">
        <v>10</v>
      </c>
      <c r="E5" s="26" t="s">
        <v>11</v>
      </c>
      <c r="F5" s="26" t="s">
        <v>12</v>
      </c>
      <c r="G5" s="27" t="s">
        <v>13</v>
      </c>
      <c r="H5" s="27" t="s">
        <v>14</v>
      </c>
      <c r="I5" s="23" t="s">
        <v>15</v>
      </c>
      <c r="J5" s="29"/>
      <c r="K5" s="29"/>
      <c r="L5" s="23" t="s">
        <v>8</v>
      </c>
      <c r="M5" s="23" t="s">
        <v>10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ht="30.0" customHeight="1">
      <c r="A6" s="34" t="s">
        <v>17</v>
      </c>
      <c r="B6" s="36">
        <v>2857.0</v>
      </c>
      <c r="C6" s="38">
        <f t="shared" ref="C6:C15" si="1">MINUS(B6,L6)</f>
        <v>35</v>
      </c>
      <c r="D6" s="36">
        <v>23.0</v>
      </c>
      <c r="E6" s="40">
        <f t="shared" ref="E6:E13" si="2">MINUS(D6,M6)</f>
        <v>1</v>
      </c>
      <c r="F6" s="42">
        <f t="shared" ref="F6:F13" si="3">DIVIDE(D6, B6)</f>
        <v>0.00805040252</v>
      </c>
      <c r="G6" s="43">
        <v>40.0</v>
      </c>
      <c r="H6" s="45">
        <v>4.0</v>
      </c>
      <c r="I6" s="48" t="str">
        <f>HYPERLINK("https://www.health.nsw.gov.au/news/Pages/20200406_00.aspx","Source")</f>
        <v>Source</v>
      </c>
      <c r="J6" s="50"/>
      <c r="K6" s="29"/>
      <c r="L6" s="36">
        <v>2822.0</v>
      </c>
      <c r="M6" s="36">
        <v>22.0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ht="30.0" customHeight="1">
      <c r="A7" s="34" t="s">
        <v>19</v>
      </c>
      <c r="B7" s="36">
        <v>1265.0</v>
      </c>
      <c r="C7" s="38">
        <f t="shared" si="1"/>
        <v>24</v>
      </c>
      <c r="D7" s="58">
        <v>14.0</v>
      </c>
      <c r="E7" s="60">
        <f t="shared" si="2"/>
        <v>1</v>
      </c>
      <c r="F7" s="62">
        <f t="shared" si="3"/>
        <v>0.01106719368</v>
      </c>
      <c r="G7" s="45">
        <v>11.0</v>
      </c>
      <c r="H7" s="45">
        <v>926.0</v>
      </c>
      <c r="I7" s="48" t="str">
        <f>HYPERLINK("https://www.dhhs.vic.gov.au/coronavirus-update-victoria-6-april-2020","Source")</f>
        <v>Source</v>
      </c>
      <c r="J7" s="50"/>
      <c r="K7" s="29"/>
      <c r="L7" s="36">
        <v>1241.0</v>
      </c>
      <c r="M7" s="58">
        <v>13.0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ht="30.0" customHeight="1">
      <c r="A8" s="30" t="s">
        <v>23</v>
      </c>
      <c r="B8" s="32">
        <v>974.0</v>
      </c>
      <c r="C8" s="38">
        <f t="shared" si="1"/>
        <v>9</v>
      </c>
      <c r="D8" s="68">
        <v>4.0</v>
      </c>
      <c r="E8" s="60">
        <f t="shared" si="2"/>
        <v>0</v>
      </c>
      <c r="F8" s="42">
        <f t="shared" si="3"/>
        <v>0.004106776181</v>
      </c>
      <c r="G8" s="45" t="s">
        <v>22</v>
      </c>
      <c r="H8" s="70">
        <v>372.0</v>
      </c>
      <c r="I8" s="47" t="str">
        <f>HYPERLINK("https://www.health.qld.gov.au/news-events/doh-media-releases/releases/queensland-novel-coronavirus-covid-19-update-2020-04-06","Source")</f>
        <v>Source</v>
      </c>
      <c r="J8" s="50"/>
      <c r="K8" s="29"/>
      <c r="L8" s="32">
        <v>965.0</v>
      </c>
      <c r="M8" s="68">
        <v>4.0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ht="30.0" customHeight="1">
      <c r="A9" s="34" t="s">
        <v>31</v>
      </c>
      <c r="B9" s="36">
        <v>506.0</v>
      </c>
      <c r="C9" s="38">
        <f t="shared" si="1"/>
        <v>0</v>
      </c>
      <c r="D9" s="58">
        <v>6.0</v>
      </c>
      <c r="E9" s="60">
        <f t="shared" si="2"/>
        <v>0</v>
      </c>
      <c r="F9" s="42">
        <f t="shared" si="3"/>
        <v>0.01185770751</v>
      </c>
      <c r="G9" s="45">
        <v>18.0</v>
      </c>
      <c r="H9" s="45">
        <v>203.0</v>
      </c>
      <c r="I9" s="48" t="str">
        <f>HYPERLINK("https://ww2.health.wa.gov.au/Media-releases/2020/COVID19-update-6-April-2020","Source")</f>
        <v>Source</v>
      </c>
      <c r="J9" s="50"/>
      <c r="K9" s="29"/>
      <c r="L9" s="36">
        <v>506.0</v>
      </c>
      <c r="M9" s="58">
        <v>6.0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ht="30.0" customHeight="1">
      <c r="A10" s="34" t="s">
        <v>33</v>
      </c>
      <c r="B10" s="36">
        <v>428.0</v>
      </c>
      <c r="C10" s="38">
        <f t="shared" si="1"/>
        <v>0</v>
      </c>
      <c r="D10" s="58">
        <v>3.0</v>
      </c>
      <c r="E10" s="60">
        <f t="shared" si="2"/>
        <v>0</v>
      </c>
      <c r="F10" s="62">
        <f t="shared" si="3"/>
        <v>0.007009345794</v>
      </c>
      <c r="G10" s="45">
        <v>10.0</v>
      </c>
      <c r="H10" s="45">
        <v>179.0</v>
      </c>
      <c r="I10" s="48" t="str">
        <f>HYPERLINK("https://www.sahealth.sa.gov.au/wps/wcm/connect/public+content/sa+health+internet/health+topics/health+topics+a+-+z/covid+2019/latest+updates/confirmed+and+suspected+cases+of+covid-19+in+south+australia","Source")</f>
        <v>Source</v>
      </c>
      <c r="J10" s="50"/>
      <c r="K10" s="29"/>
      <c r="L10" s="36">
        <v>428.0</v>
      </c>
      <c r="M10" s="58">
        <v>3.0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ht="30.0" customHeight="1">
      <c r="A11" s="34" t="s">
        <v>37</v>
      </c>
      <c r="B11" s="36">
        <v>122.0</v>
      </c>
      <c r="C11" s="38">
        <f t="shared" si="1"/>
        <v>0</v>
      </c>
      <c r="D11" s="58">
        <v>4.0</v>
      </c>
      <c r="E11" s="60">
        <f t="shared" si="2"/>
        <v>0</v>
      </c>
      <c r="F11" s="42">
        <f t="shared" si="3"/>
        <v>0.03278688525</v>
      </c>
      <c r="G11" s="45" t="s">
        <v>22</v>
      </c>
      <c r="H11" s="45">
        <v>48.0</v>
      </c>
      <c r="I11" s="48" t="str">
        <f>HYPERLINK("https://twitter.com/abchobart/status/1248184081776627713","Source")</f>
        <v>Source</v>
      </c>
      <c r="J11" s="50"/>
      <c r="K11" s="29"/>
      <c r="L11" s="36">
        <v>122.0</v>
      </c>
      <c r="M11" s="58">
        <v>4.0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ht="30.0" customHeight="1">
      <c r="A12" s="34" t="s">
        <v>39</v>
      </c>
      <c r="B12" s="36">
        <v>103.0</v>
      </c>
      <c r="C12" s="38">
        <f t="shared" si="1"/>
        <v>0</v>
      </c>
      <c r="D12" s="58">
        <v>2.0</v>
      </c>
      <c r="E12" s="60">
        <f t="shared" si="2"/>
        <v>0</v>
      </c>
      <c r="F12" s="62">
        <f t="shared" si="3"/>
        <v>0.01941747573</v>
      </c>
      <c r="G12" s="45" t="s">
        <v>22</v>
      </c>
      <c r="H12" s="45">
        <v>59.0</v>
      </c>
      <c r="I12" s="48" t="str">
        <f>HYPERLINK("https://www.covid19.act.gov.au/news-articles/covid-19-update-6-april-0-new-cases","Source")</f>
        <v>Source</v>
      </c>
      <c r="J12" s="50"/>
      <c r="K12" s="29"/>
      <c r="L12" s="36">
        <v>103.0</v>
      </c>
      <c r="M12" s="58">
        <v>2.0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ht="30.0" customHeight="1">
      <c r="A13" s="34" t="s">
        <v>43</v>
      </c>
      <c r="B13" s="36">
        <v>28.0</v>
      </c>
      <c r="C13" s="38">
        <f t="shared" si="1"/>
        <v>0</v>
      </c>
      <c r="D13" s="58">
        <v>0.0</v>
      </c>
      <c r="E13" s="60">
        <f t="shared" si="2"/>
        <v>0</v>
      </c>
      <c r="F13" s="62">
        <f t="shared" si="3"/>
        <v>0</v>
      </c>
      <c r="G13" s="45" t="s">
        <v>22</v>
      </c>
      <c r="H13" s="45">
        <v>2.0</v>
      </c>
      <c r="I13" s="48" t="str">
        <f>HYPERLINK("http://mediareleases.nt.gov.au/mediaRelease/33157","Source")</f>
        <v>Source</v>
      </c>
      <c r="J13" s="50"/>
      <c r="K13" s="29"/>
      <c r="L13" s="36">
        <v>28.0</v>
      </c>
      <c r="M13" s="58">
        <v>0.0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ht="30.0" customHeight="1">
      <c r="A14" s="34" t="s">
        <v>46</v>
      </c>
      <c r="B14" s="36">
        <v>0.0</v>
      </c>
      <c r="C14" s="38">
        <f t="shared" si="1"/>
        <v>0</v>
      </c>
      <c r="D14" s="58">
        <v>0.0</v>
      </c>
      <c r="E14" s="40">
        <f t="shared" ref="E14:E15" si="4">MINUS(D14,L14)</f>
        <v>0</v>
      </c>
      <c r="F14" s="75" t="s">
        <v>50</v>
      </c>
      <c r="G14" s="45">
        <v>0.0</v>
      </c>
      <c r="H14" s="45">
        <v>0.0</v>
      </c>
      <c r="I14" s="76"/>
      <c r="J14" s="29"/>
      <c r="K14" s="29"/>
      <c r="L14" s="36">
        <v>0.0</v>
      </c>
      <c r="M14" s="58">
        <v>0.0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ht="30.0" customHeight="1">
      <c r="A15" s="34" t="s">
        <v>53</v>
      </c>
      <c r="B15" s="36">
        <v>0.0</v>
      </c>
      <c r="C15" s="38">
        <f t="shared" si="1"/>
        <v>0</v>
      </c>
      <c r="D15" s="58">
        <v>0.0</v>
      </c>
      <c r="E15" s="40">
        <f t="shared" si="4"/>
        <v>0</v>
      </c>
      <c r="F15" s="77" t="s">
        <v>50</v>
      </c>
      <c r="G15" s="45">
        <v>0.0</v>
      </c>
      <c r="H15" s="45">
        <v>0.0</v>
      </c>
      <c r="I15" s="76"/>
      <c r="J15" s="29"/>
      <c r="K15" s="29"/>
      <c r="L15" s="36">
        <v>0.0</v>
      </c>
      <c r="M15" s="58">
        <v>0.0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ht="12.75" customHeight="1">
      <c r="A16" s="79"/>
      <c r="B16" s="80"/>
      <c r="C16" s="79"/>
      <c r="D16" s="81"/>
      <c r="E16" s="79"/>
      <c r="F16" s="82"/>
      <c r="G16" s="82"/>
      <c r="H16" s="82"/>
      <c r="I16" s="83"/>
      <c r="J16" s="29"/>
      <c r="K16" s="29"/>
      <c r="L16" s="80"/>
      <c r="M16" s="8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ht="30.0" customHeight="1">
      <c r="A17" s="84" t="s">
        <v>58</v>
      </c>
      <c r="B17" s="85">
        <f>SUM(B6:B15)</f>
        <v>6283</v>
      </c>
      <c r="C17" s="38">
        <f>MINUS(B17,L17)</f>
        <v>68</v>
      </c>
      <c r="D17" s="85">
        <f>SUM(D6:D15)</f>
        <v>56</v>
      </c>
      <c r="E17" s="40">
        <f>MINUS(D17,M17)</f>
        <v>2</v>
      </c>
      <c r="F17" s="42">
        <f>DIVIDE(D17, B17)</f>
        <v>0.008912939678</v>
      </c>
      <c r="G17" s="85">
        <f t="shared" ref="G17:H17" si="5">SUM(G6:G15)</f>
        <v>79</v>
      </c>
      <c r="H17" s="85">
        <f t="shared" si="5"/>
        <v>1793</v>
      </c>
      <c r="I17" s="86"/>
      <c r="J17" s="29"/>
      <c r="K17" s="29"/>
      <c r="L17" s="85">
        <f t="shared" ref="L17:M17" si="6">SUM(L6:L15)</f>
        <v>6215</v>
      </c>
      <c r="M17" s="85">
        <f t="shared" si="6"/>
        <v>54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87"/>
      <c r="B18" s="88"/>
      <c r="C18" s="88"/>
      <c r="D18" s="88"/>
      <c r="E18" s="88"/>
      <c r="F18" s="89"/>
      <c r="G18" s="89"/>
      <c r="H18" s="88"/>
      <c r="I18" s="90"/>
      <c r="J18" s="6"/>
      <c r="K18" s="6"/>
      <c r="L18" s="88"/>
      <c r="M18" s="8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91"/>
      <c r="B19" s="92"/>
      <c r="C19" s="92"/>
      <c r="D19" s="10"/>
      <c r="E19" s="10"/>
      <c r="F19" s="10"/>
      <c r="G19" s="10"/>
      <c r="H19" s="10"/>
      <c r="I19" s="3"/>
      <c r="J19" s="6"/>
      <c r="K19" s="6"/>
      <c r="L19" s="92"/>
      <c r="M19" s="10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93"/>
      <c r="B20" s="10"/>
      <c r="C20" s="10"/>
      <c r="D20" s="10"/>
      <c r="E20" s="10"/>
      <c r="F20" s="10"/>
      <c r="G20" s="10"/>
      <c r="H20" s="10"/>
      <c r="I20" s="3"/>
      <c r="J20" s="3"/>
      <c r="K20" s="3"/>
      <c r="L20" s="10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93"/>
      <c r="B21" s="10"/>
      <c r="C21" s="10"/>
      <c r="D21" s="10"/>
      <c r="E21" s="10"/>
      <c r="F21" s="10"/>
      <c r="G21" s="10"/>
      <c r="H21" s="10"/>
      <c r="I21" s="3"/>
      <c r="J21" s="3"/>
      <c r="K21" s="3"/>
      <c r="L21" s="10"/>
      <c r="M21" s="10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</sheetData>
  <mergeCells count="2">
    <mergeCell ref="A1:I1"/>
    <mergeCell ref="E2:H2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0"/>
    <col customWidth="1" min="2" max="2" width="11.14"/>
    <col customWidth="1" min="3" max="3" width="9.43"/>
    <col customWidth="1" min="4" max="4" width="9.0"/>
    <col customWidth="1" min="5" max="5" width="9.86"/>
    <col customWidth="1" min="6" max="6" width="9.71"/>
    <col customWidth="1" min="7" max="7" width="12.43"/>
    <col customWidth="1" min="8" max="8" width="11.29"/>
    <col customWidth="1" min="9" max="9" width="0.86"/>
    <col customWidth="1" min="11" max="11" width="11.14"/>
    <col customWidth="1" min="12" max="12" width="9.0"/>
  </cols>
  <sheetData>
    <row r="1" ht="12.75" customHeight="1">
      <c r="A1" s="1"/>
      <c r="I1" s="3"/>
      <c r="J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4" t="s">
        <v>2</v>
      </c>
      <c r="C2" s="5" t="s">
        <v>3</v>
      </c>
      <c r="D2" s="4"/>
      <c r="E2" s="7" t="s">
        <v>4</v>
      </c>
      <c r="H2" s="9"/>
      <c r="I2" s="6"/>
      <c r="J2" s="6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3">
        <f>SUM(B17, B18)</f>
        <v>128</v>
      </c>
      <c r="B3" s="13">
        <f>SUM(D17, D18)</f>
        <v>219</v>
      </c>
      <c r="C3" s="15">
        <f>SUM(G17, G18)</f>
        <v>0</v>
      </c>
      <c r="D3" s="13"/>
      <c r="E3" s="16">
        <f>MINUS(A3,B3 + C3)</f>
        <v>-91</v>
      </c>
      <c r="F3" s="16"/>
      <c r="G3" s="5"/>
      <c r="H3" s="9"/>
      <c r="I3" s="6"/>
      <c r="J3" s="6"/>
      <c r="K3" s="13"/>
      <c r="L3" s="1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9"/>
      <c r="B4" s="9"/>
      <c r="C4" s="9"/>
      <c r="D4" s="9"/>
      <c r="E4" s="9"/>
      <c r="F4" s="8"/>
      <c r="G4" s="8"/>
      <c r="H4" s="9"/>
      <c r="I4" s="6"/>
      <c r="J4" s="6"/>
      <c r="K4" s="9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30.0" customHeight="1">
      <c r="A5" s="21" t="s">
        <v>81</v>
      </c>
      <c r="B5" s="23" t="s">
        <v>8</v>
      </c>
      <c r="C5" s="23" t="s">
        <v>10</v>
      </c>
      <c r="D5" s="23" t="s">
        <v>83</v>
      </c>
      <c r="E5" s="26" t="s">
        <v>84</v>
      </c>
      <c r="F5" s="26" t="s">
        <v>12</v>
      </c>
      <c r="G5" s="27" t="s">
        <v>14</v>
      </c>
      <c r="H5" s="23" t="s">
        <v>15</v>
      </c>
      <c r="I5" s="29"/>
      <c r="J5" s="29"/>
      <c r="K5" s="23" t="s">
        <v>8</v>
      </c>
      <c r="L5" s="23" t="s">
        <v>10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ht="30.0" customHeight="1">
      <c r="A6" s="34" t="s">
        <v>86</v>
      </c>
      <c r="B6" s="36">
        <v>0.0</v>
      </c>
      <c r="C6" s="36">
        <v>0.0</v>
      </c>
      <c r="D6" s="36">
        <v>0.0</v>
      </c>
      <c r="E6" s="42" t="str">
        <f t="shared" ref="E6:F6" si="1">DIVIDE(C6, A6)</f>
        <v>#VALUE!</v>
      </c>
      <c r="F6" s="42" t="str">
        <f t="shared" si="1"/>
        <v>#DIV/0!</v>
      </c>
      <c r="G6" s="43" t="s">
        <v>22</v>
      </c>
      <c r="H6" s="43" t="s">
        <v>22</v>
      </c>
      <c r="I6" s="50"/>
      <c r="J6" s="29"/>
      <c r="K6" s="36">
        <v>0.0</v>
      </c>
      <c r="L6" s="36">
        <v>0.0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ht="30.0" customHeight="1">
      <c r="A7" s="34" t="s">
        <v>90</v>
      </c>
      <c r="B7" s="36">
        <v>128.0</v>
      </c>
      <c r="C7" s="58">
        <v>0.0</v>
      </c>
      <c r="D7" s="58">
        <v>219.0</v>
      </c>
      <c r="E7" s="62" t="str">
        <f t="shared" ref="E7:F7" si="2">DIVIDE(C7, A7)</f>
        <v>#VALUE!</v>
      </c>
      <c r="F7" s="62">
        <f t="shared" si="2"/>
        <v>1.7109375</v>
      </c>
      <c r="G7" s="43" t="s">
        <v>22</v>
      </c>
      <c r="H7" s="95" t="str">
        <f>HYPERLINK("https://web.archive.org/web/20200409070153/https://www.auroraexpeditions.com.au/asg80-update/","Source")</f>
        <v>Source</v>
      </c>
      <c r="I7" s="50"/>
      <c r="J7" s="29"/>
      <c r="K7" s="36">
        <v>0.0</v>
      </c>
      <c r="L7" s="58">
        <v>0.0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ht="30.0" customHeight="1">
      <c r="A8" s="30" t="s">
        <v>95</v>
      </c>
      <c r="B8" s="32">
        <v>0.0</v>
      </c>
      <c r="C8" s="68">
        <v>1.0</v>
      </c>
      <c r="D8" s="68">
        <v>0.0</v>
      </c>
      <c r="E8" s="42" t="str">
        <f t="shared" ref="E8:F8" si="3">DIVIDE(C8, A8)</f>
        <v>#VALUE!</v>
      </c>
      <c r="F8" s="42" t="str">
        <f t="shared" si="3"/>
        <v>#DIV/0!</v>
      </c>
      <c r="G8" s="43" t="s">
        <v>22</v>
      </c>
      <c r="H8" s="95" t="str">
        <f>HYPERLINK("https://wsvn.com/news/local/miami-dade/crew-member-of-cruise-ship-with-virus-cases-dies-in-florida/?utm_medium=social&amp;utm_source=twitter_wsvn","Source")</f>
        <v>Source</v>
      </c>
      <c r="I8" s="50"/>
      <c r="J8" s="29"/>
      <c r="K8" s="32">
        <v>0.0</v>
      </c>
      <c r="L8" s="68">
        <v>0.0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ht="30.0" customHeight="1">
      <c r="A9" s="34" t="s">
        <v>86</v>
      </c>
      <c r="B9" s="36">
        <v>0.0</v>
      </c>
      <c r="C9" s="58">
        <v>0.0</v>
      </c>
      <c r="D9" s="58">
        <v>0.0</v>
      </c>
      <c r="E9" s="42" t="str">
        <f t="shared" ref="E9:F9" si="4">DIVIDE(C9, A9)</f>
        <v>#VALUE!</v>
      </c>
      <c r="F9" s="42" t="str">
        <f t="shared" si="4"/>
        <v>#DIV/0!</v>
      </c>
      <c r="G9" s="43" t="s">
        <v>22</v>
      </c>
      <c r="H9" s="43" t="s">
        <v>22</v>
      </c>
      <c r="I9" s="50"/>
      <c r="J9" s="29"/>
      <c r="K9" s="36">
        <v>0.0</v>
      </c>
      <c r="L9" s="58">
        <v>0.0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ht="30.0" customHeight="1">
      <c r="A10" s="34" t="s">
        <v>86</v>
      </c>
      <c r="B10" s="36">
        <v>0.0</v>
      </c>
      <c r="C10" s="58">
        <v>0.0</v>
      </c>
      <c r="D10" s="58">
        <v>0.0</v>
      </c>
      <c r="E10" s="62" t="str">
        <f t="shared" ref="E10:F10" si="5">DIVIDE(C10, A10)</f>
        <v>#VALUE!</v>
      </c>
      <c r="F10" s="62" t="str">
        <f t="shared" si="5"/>
        <v>#DIV/0!</v>
      </c>
      <c r="G10" s="43" t="s">
        <v>22</v>
      </c>
      <c r="H10" s="43" t="s">
        <v>22</v>
      </c>
      <c r="I10" s="50"/>
      <c r="J10" s="29"/>
      <c r="K10" s="36">
        <v>0.0</v>
      </c>
      <c r="L10" s="58">
        <v>0.0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ht="30.0" customHeight="1">
      <c r="A11" s="34" t="s">
        <v>86</v>
      </c>
      <c r="B11" s="36">
        <v>0.0</v>
      </c>
      <c r="C11" s="58">
        <v>0.0</v>
      </c>
      <c r="D11" s="58">
        <v>0.0</v>
      </c>
      <c r="E11" s="42" t="str">
        <f t="shared" ref="E11:F11" si="6">DIVIDE(C11, A11)</f>
        <v>#VALUE!</v>
      </c>
      <c r="F11" s="42" t="str">
        <f t="shared" si="6"/>
        <v>#DIV/0!</v>
      </c>
      <c r="G11" s="43" t="s">
        <v>22</v>
      </c>
      <c r="H11" s="43" t="s">
        <v>22</v>
      </c>
      <c r="I11" s="50"/>
      <c r="J11" s="29"/>
      <c r="K11" s="36">
        <v>0.0</v>
      </c>
      <c r="L11" s="58">
        <v>0.0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ht="30.0" customHeight="1">
      <c r="A12" s="34" t="s">
        <v>86</v>
      </c>
      <c r="B12" s="36">
        <v>0.0</v>
      </c>
      <c r="C12" s="58">
        <v>0.0</v>
      </c>
      <c r="D12" s="58">
        <v>0.0</v>
      </c>
      <c r="E12" s="62" t="str">
        <f t="shared" ref="E12:F12" si="7">DIVIDE(C12, A12)</f>
        <v>#VALUE!</v>
      </c>
      <c r="F12" s="62" t="str">
        <f t="shared" si="7"/>
        <v>#DIV/0!</v>
      </c>
      <c r="G12" s="43" t="s">
        <v>22</v>
      </c>
      <c r="H12" s="43" t="s">
        <v>22</v>
      </c>
      <c r="I12" s="50"/>
      <c r="J12" s="29"/>
      <c r="K12" s="36">
        <v>0.0</v>
      </c>
      <c r="L12" s="58">
        <v>0.0</v>
      </c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ht="30.0" customHeight="1">
      <c r="A13" s="34" t="s">
        <v>86</v>
      </c>
      <c r="B13" s="36">
        <v>0.0</v>
      </c>
      <c r="C13" s="58">
        <v>0.0</v>
      </c>
      <c r="D13" s="58">
        <v>0.0</v>
      </c>
      <c r="E13" s="62" t="str">
        <f t="shared" ref="E13:F13" si="8">DIVIDE(C13, A13)</f>
        <v>#VALUE!</v>
      </c>
      <c r="F13" s="62" t="str">
        <f t="shared" si="8"/>
        <v>#DIV/0!</v>
      </c>
      <c r="G13" s="43" t="s">
        <v>22</v>
      </c>
      <c r="H13" s="43" t="s">
        <v>22</v>
      </c>
      <c r="I13" s="50"/>
      <c r="J13" s="29"/>
      <c r="K13" s="36">
        <v>0.0</v>
      </c>
      <c r="L13" s="58">
        <v>0.0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ht="30.0" customHeight="1">
      <c r="A14" s="34" t="s">
        <v>86</v>
      </c>
      <c r="B14" s="36">
        <v>0.0</v>
      </c>
      <c r="C14" s="58">
        <v>0.0</v>
      </c>
      <c r="D14" s="58">
        <v>0.0</v>
      </c>
      <c r="E14" s="75" t="s">
        <v>50</v>
      </c>
      <c r="F14" s="75" t="s">
        <v>50</v>
      </c>
      <c r="G14" s="43" t="s">
        <v>22</v>
      </c>
      <c r="H14" s="43" t="s">
        <v>22</v>
      </c>
      <c r="I14" s="29"/>
      <c r="J14" s="29"/>
      <c r="K14" s="36">
        <v>0.0</v>
      </c>
      <c r="L14" s="58">
        <v>0.0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ht="30.0" customHeight="1">
      <c r="A15" s="34" t="s">
        <v>86</v>
      </c>
      <c r="B15" s="36">
        <v>0.0</v>
      </c>
      <c r="C15" s="58">
        <v>0.0</v>
      </c>
      <c r="D15" s="58">
        <v>0.0</v>
      </c>
      <c r="E15" s="77" t="s">
        <v>50</v>
      </c>
      <c r="F15" s="77" t="s">
        <v>50</v>
      </c>
      <c r="G15" s="43" t="s">
        <v>22</v>
      </c>
      <c r="H15" s="43" t="s">
        <v>22</v>
      </c>
      <c r="I15" s="29"/>
      <c r="J15" s="29"/>
      <c r="K15" s="36">
        <v>0.0</v>
      </c>
      <c r="L15" s="58">
        <v>0.0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ht="12.75" customHeight="1">
      <c r="A16" s="79"/>
      <c r="B16" s="80"/>
      <c r="C16" s="81"/>
      <c r="D16" s="81"/>
      <c r="E16" s="82"/>
      <c r="F16" s="82"/>
      <c r="G16" s="82"/>
      <c r="H16" s="83"/>
      <c r="I16" s="29"/>
      <c r="J16" s="29"/>
      <c r="K16" s="80"/>
      <c r="L16" s="8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ht="30.0" customHeight="1">
      <c r="A17" s="84" t="s">
        <v>58</v>
      </c>
      <c r="B17" s="85">
        <f t="shared" ref="B17:D17" si="9">SUM(B6:B15)</f>
        <v>128</v>
      </c>
      <c r="C17" s="85">
        <f t="shared" si="9"/>
        <v>1</v>
      </c>
      <c r="D17" s="85">
        <f t="shared" si="9"/>
        <v>219</v>
      </c>
      <c r="E17" s="42" t="str">
        <f t="shared" ref="E17:F17" si="10">DIVIDE(C17, A17)</f>
        <v>#VALUE!</v>
      </c>
      <c r="F17" s="42">
        <f t="shared" si="10"/>
        <v>1.7109375</v>
      </c>
      <c r="G17" s="85">
        <f>SUM(G6:G15)</f>
        <v>0</v>
      </c>
      <c r="H17" s="86"/>
      <c r="I17" s="29"/>
      <c r="J17" s="29"/>
      <c r="K17" s="85">
        <f t="shared" ref="K17:L17" si="11">SUM(K6:K15)</f>
        <v>0</v>
      </c>
      <c r="L17" s="85">
        <f t="shared" si="11"/>
        <v>0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>
      <c r="A18" s="87"/>
      <c r="B18" s="88"/>
      <c r="C18" s="88"/>
      <c r="D18" s="88"/>
      <c r="E18" s="88"/>
      <c r="F18" s="89"/>
      <c r="G18" s="88"/>
      <c r="H18" s="90"/>
      <c r="I18" s="6"/>
      <c r="J18" s="6"/>
      <c r="K18" s="88"/>
      <c r="L18" s="8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91"/>
      <c r="B19" s="92"/>
      <c r="C19" s="92"/>
      <c r="D19" s="10"/>
      <c r="E19" s="10"/>
      <c r="F19" s="10"/>
      <c r="G19" s="10"/>
      <c r="H19" s="3"/>
      <c r="I19" s="6"/>
      <c r="J19" s="6"/>
      <c r="K19" s="92"/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93"/>
      <c r="B20" s="10"/>
      <c r="C20" s="10"/>
      <c r="D20" s="10"/>
      <c r="E20" s="10"/>
      <c r="F20" s="10"/>
      <c r="G20" s="10"/>
      <c r="H20" s="3"/>
      <c r="I20" s="3"/>
      <c r="J20" s="3"/>
      <c r="K20" s="10"/>
      <c r="L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93"/>
      <c r="B21" s="10"/>
      <c r="C21" s="10"/>
      <c r="D21" s="10"/>
      <c r="E21" s="10"/>
      <c r="F21" s="10"/>
      <c r="G21" s="10"/>
      <c r="H21" s="3"/>
      <c r="I21" s="3"/>
      <c r="J21" s="3"/>
      <c r="K21" s="10"/>
      <c r="L21" s="1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</sheetData>
  <mergeCells count="2">
    <mergeCell ref="A1:H1"/>
    <mergeCell ref="E2:G2"/>
  </mergeCell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57"/>
    <col customWidth="1" min="2" max="2" width="10.86"/>
    <col customWidth="1" min="3" max="3" width="9.43"/>
    <col customWidth="1" min="4" max="5" width="8.43"/>
    <col customWidth="1" min="6" max="7" width="9.71"/>
    <col customWidth="1" min="8" max="8" width="12.43"/>
    <col customWidth="1" min="9" max="9" width="11.29"/>
    <col customWidth="1" min="10" max="10" width="0.71"/>
    <col customWidth="1" min="12" max="12" width="10.86"/>
    <col customWidth="1" min="13" max="13" width="8.43"/>
  </cols>
  <sheetData>
    <row r="1" ht="12.75" customHeight="1">
      <c r="A1" s="1"/>
      <c r="J1" s="3"/>
      <c r="K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5" t="s">
        <v>3</v>
      </c>
      <c r="D2" s="4"/>
      <c r="E2" s="7" t="s">
        <v>4</v>
      </c>
      <c r="I2" s="9"/>
      <c r="J2" s="6"/>
      <c r="K2" s="3"/>
      <c r="L2" s="4" t="s">
        <v>2</v>
      </c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>
        <f>SUM(B20, B21)</f>
        <v>22148</v>
      </c>
      <c r="B3" s="13">
        <f>SUM(D20, D21)</f>
        <v>569</v>
      </c>
      <c r="C3" s="15">
        <f>SUM(H20, H21)</f>
        <v>6013</v>
      </c>
      <c r="D3" s="13"/>
      <c r="E3" s="16">
        <f>MINUS(A3,B3 + C3)</f>
        <v>15566</v>
      </c>
      <c r="F3" s="16"/>
      <c r="G3" s="16"/>
      <c r="H3" s="5"/>
      <c r="I3" s="9"/>
      <c r="J3" s="6"/>
      <c r="K3" s="3"/>
      <c r="L3" s="13">
        <f>SUM(N20, N21)</f>
        <v>0</v>
      </c>
      <c r="M3" s="1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9"/>
      <c r="B4" s="9"/>
      <c r="C4" s="9"/>
      <c r="D4" s="9"/>
      <c r="E4" s="9"/>
      <c r="F4" s="8"/>
      <c r="G4" s="8"/>
      <c r="H4" s="8"/>
      <c r="I4" s="9"/>
      <c r="J4" s="6"/>
      <c r="K4" s="3"/>
      <c r="L4" s="9"/>
      <c r="M4" s="9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0" customHeight="1">
      <c r="A5" s="21" t="s">
        <v>135</v>
      </c>
      <c r="B5" s="23" t="s">
        <v>8</v>
      </c>
      <c r="C5" s="25" t="s">
        <v>9</v>
      </c>
      <c r="D5" s="23" t="s">
        <v>10</v>
      </c>
      <c r="E5" s="26" t="s">
        <v>11</v>
      </c>
      <c r="F5" s="26" t="s">
        <v>12</v>
      </c>
      <c r="G5" s="27" t="s">
        <v>13</v>
      </c>
      <c r="H5" s="27" t="s">
        <v>14</v>
      </c>
      <c r="I5" s="23" t="s">
        <v>15</v>
      </c>
      <c r="J5" s="29"/>
      <c r="K5" s="29"/>
      <c r="L5" s="23" t="s">
        <v>8</v>
      </c>
      <c r="M5" s="23" t="s">
        <v>10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30.0" customHeight="1">
      <c r="A6" s="34" t="s">
        <v>138</v>
      </c>
      <c r="B6" s="36">
        <v>11677.0</v>
      </c>
      <c r="C6" s="38">
        <f t="shared" ref="C6:C20" si="1">MINUS(B6,L6)</f>
        <v>0</v>
      </c>
      <c r="D6" s="58">
        <v>241.0</v>
      </c>
      <c r="E6" s="60">
        <f t="shared" ref="E6:E20" si="2">MINUS(D6,M6)</f>
        <v>0</v>
      </c>
      <c r="F6" s="42">
        <f t="shared" ref="F6:F18" si="3">DIVIDE(D6, B6)</f>
        <v>0.02063886272</v>
      </c>
      <c r="G6" s="45" t="s">
        <v>22</v>
      </c>
      <c r="H6" s="43">
        <v>1341.0</v>
      </c>
      <c r="I6" s="48" t="str">
        <f>HYPERLINK("https://twitter.com/sante_qc/status/1248662317031731202","Source")</f>
        <v>Source</v>
      </c>
      <c r="J6" s="51"/>
      <c r="K6" s="29"/>
      <c r="L6" s="36">
        <v>11677.0</v>
      </c>
      <c r="M6" s="58">
        <v>241.0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30.0" customHeight="1">
      <c r="A7" s="30" t="s">
        <v>143</v>
      </c>
      <c r="B7" s="32">
        <v>6237.0</v>
      </c>
      <c r="C7" s="38">
        <f t="shared" si="1"/>
        <v>0</v>
      </c>
      <c r="D7" s="68">
        <v>222.0</v>
      </c>
      <c r="E7" s="60">
        <f t="shared" si="2"/>
        <v>0</v>
      </c>
      <c r="F7" s="59">
        <f t="shared" si="3"/>
        <v>0.03559403559</v>
      </c>
      <c r="G7" s="45">
        <v>260.0</v>
      </c>
      <c r="H7" s="44">
        <v>2574.0</v>
      </c>
      <c r="I7" s="47" t="str">
        <f>HYPERLINK("https://www.ontario.ca/page/2019-novel-coronavirus","Source")</f>
        <v>Source</v>
      </c>
      <c r="J7" s="51"/>
      <c r="K7" s="29"/>
      <c r="L7" s="32">
        <v>6237.0</v>
      </c>
      <c r="M7" s="68">
        <v>222.0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30.0" customHeight="1">
      <c r="A8" s="34" t="s">
        <v>146</v>
      </c>
      <c r="B8" s="36">
        <v>1500.0</v>
      </c>
      <c r="C8" s="38">
        <f t="shared" si="1"/>
        <v>0</v>
      </c>
      <c r="D8" s="58">
        <v>39.0</v>
      </c>
      <c r="E8" s="60">
        <f t="shared" si="2"/>
        <v>0</v>
      </c>
      <c r="F8" s="59">
        <f t="shared" si="3"/>
        <v>0.026</v>
      </c>
      <c r="G8" s="45">
        <v>14.0</v>
      </c>
      <c r="H8" s="45">
        <v>713.0</v>
      </c>
      <c r="I8" s="48" t="str">
        <f>HYPERLINK("https://www.alberta.ca/coronavirus-info-for-albertans.aspx","Source")</f>
        <v>Source</v>
      </c>
      <c r="J8" s="51"/>
      <c r="K8" s="29"/>
      <c r="L8" s="36">
        <v>1500.0</v>
      </c>
      <c r="M8" s="58">
        <v>39.0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30.0" customHeight="1">
      <c r="A9" s="34" t="s">
        <v>149</v>
      </c>
      <c r="B9" s="36">
        <v>1410.0</v>
      </c>
      <c r="C9" s="38">
        <f t="shared" si="1"/>
        <v>0</v>
      </c>
      <c r="D9" s="36">
        <v>55.0</v>
      </c>
      <c r="E9" s="40">
        <f t="shared" si="2"/>
        <v>0</v>
      </c>
      <c r="F9" s="42">
        <f t="shared" si="3"/>
        <v>0.0390070922</v>
      </c>
      <c r="G9" s="43">
        <v>72.0</v>
      </c>
      <c r="H9" s="45">
        <v>879.0</v>
      </c>
      <c r="I9" s="48" t="str">
        <f>HYPERLINK("https://www.ctvnews.ca/health/coronavirus/tracking-every-case-of-covid-19-in-canada-1.4852102","Source")</f>
        <v>Source</v>
      </c>
      <c r="J9" s="29"/>
      <c r="K9" s="29"/>
      <c r="L9" s="36">
        <v>1410.0</v>
      </c>
      <c r="M9" s="36">
        <v>55.0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30.0" customHeight="1">
      <c r="A10" s="34" t="s">
        <v>153</v>
      </c>
      <c r="B10" s="36">
        <v>407.0</v>
      </c>
      <c r="C10" s="38">
        <f t="shared" si="1"/>
        <v>0</v>
      </c>
      <c r="D10" s="58">
        <v>3.0</v>
      </c>
      <c r="E10" s="60">
        <f t="shared" si="2"/>
        <v>0</v>
      </c>
      <c r="F10" s="42">
        <f t="shared" si="3"/>
        <v>0.007371007371</v>
      </c>
      <c r="G10" s="45" t="s">
        <v>22</v>
      </c>
      <c r="H10" s="45">
        <v>93.0</v>
      </c>
      <c r="I10" s="48" t="str">
        <f>HYPERLINK("https://novascotia.ca/coronavirus/#alerts","Source")</f>
        <v>Source</v>
      </c>
      <c r="J10" s="29"/>
      <c r="K10" s="29"/>
      <c r="L10" s="36">
        <v>407.0</v>
      </c>
      <c r="M10" s="58">
        <v>3.0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30.0" customHeight="1">
      <c r="A11" s="34" t="s">
        <v>157</v>
      </c>
      <c r="B11" s="36">
        <v>285.0</v>
      </c>
      <c r="C11" s="38">
        <f t="shared" si="1"/>
        <v>7</v>
      </c>
      <c r="D11" s="58">
        <v>3.0</v>
      </c>
      <c r="E11" s="60">
        <f t="shared" si="2"/>
        <v>0</v>
      </c>
      <c r="F11" s="42">
        <f t="shared" si="3"/>
        <v>0.01052631579</v>
      </c>
      <c r="G11" s="45">
        <v>4.0</v>
      </c>
      <c r="H11" s="45">
        <v>136.0</v>
      </c>
      <c r="I11" s="48" t="str">
        <f>HYPERLINK("https://www.saskatchewan.ca/government/health-care-administration-and-provider-resources/treatment-procedures-and-guidelines/emerging-public-health-issues/2019-novel-coronavirus/cases-and-risk-of-covid-19-in-saskatchewan","Source")</f>
        <v>Source</v>
      </c>
      <c r="J11" s="29"/>
      <c r="K11" s="29"/>
      <c r="L11" s="36">
        <v>278.0</v>
      </c>
      <c r="M11" s="58">
        <v>3.0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30.0" customHeight="1">
      <c r="A12" s="34" t="s">
        <v>160</v>
      </c>
      <c r="B12" s="36">
        <v>239.0</v>
      </c>
      <c r="C12" s="38">
        <f t="shared" si="1"/>
        <v>0</v>
      </c>
      <c r="D12" s="58">
        <v>2.0</v>
      </c>
      <c r="E12" s="60">
        <f t="shared" si="2"/>
        <v>0</v>
      </c>
      <c r="F12" s="59">
        <f t="shared" si="3"/>
        <v>0.008368200837</v>
      </c>
      <c r="G12" s="45">
        <v>4.0</v>
      </c>
      <c r="H12" s="45">
        <v>103.0</v>
      </c>
      <c r="I12" s="48" t="str">
        <f>HYPERLINK("https://www.cbc.ca/news/canada/newfoundland-labrador/newfoundland-labrador-covid-april-6-1.5523014","Source")</f>
        <v>Source</v>
      </c>
      <c r="J12" s="29"/>
      <c r="K12" s="99"/>
      <c r="L12" s="36">
        <v>239.0</v>
      </c>
      <c r="M12" s="58">
        <v>2.0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30.0" customHeight="1">
      <c r="A13" s="34" t="s">
        <v>164</v>
      </c>
      <c r="B13" s="36">
        <v>230.0</v>
      </c>
      <c r="C13" s="38">
        <f t="shared" si="1"/>
        <v>0</v>
      </c>
      <c r="D13" s="58">
        <v>4.0</v>
      </c>
      <c r="E13" s="60">
        <f t="shared" si="2"/>
        <v>0</v>
      </c>
      <c r="F13" s="42">
        <f t="shared" si="3"/>
        <v>0.01739130435</v>
      </c>
      <c r="G13" s="45">
        <v>6.0</v>
      </c>
      <c r="H13" s="45">
        <v>92.0</v>
      </c>
      <c r="I13" s="48" t="str">
        <f>HYPERLINK("https://www.gov.mb.ca/covid19/updates/index.html","Source")</f>
        <v>Source</v>
      </c>
      <c r="J13" s="29"/>
      <c r="K13" s="29"/>
      <c r="L13" s="36">
        <v>230.0</v>
      </c>
      <c r="M13" s="58">
        <v>4.0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30.0" customHeight="1">
      <c r="A14" s="34" t="s">
        <v>167</v>
      </c>
      <c r="B14" s="36">
        <v>112.0</v>
      </c>
      <c r="C14" s="38">
        <f t="shared" si="1"/>
        <v>0</v>
      </c>
      <c r="D14" s="58">
        <v>0.0</v>
      </c>
      <c r="E14" s="60">
        <f t="shared" si="2"/>
        <v>0</v>
      </c>
      <c r="F14" s="59">
        <f t="shared" si="3"/>
        <v>0</v>
      </c>
      <c r="G14" s="45" t="s">
        <v>22</v>
      </c>
      <c r="H14" s="45">
        <v>60.0</v>
      </c>
      <c r="I14" s="48" t="str">
        <f>HYPERLINK("https://www2.gnb.ca/content/gnb/en/departments/ocmoh/cdc/content/respiratory_diseases/coronavirus.html","Source")</f>
        <v>Source</v>
      </c>
      <c r="J14" s="29"/>
      <c r="K14" s="29"/>
      <c r="L14" s="36">
        <v>112.0</v>
      </c>
      <c r="M14" s="58">
        <v>0.0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30.0" customHeight="1">
      <c r="A15" s="34" t="s">
        <v>170</v>
      </c>
      <c r="B15" s="36">
        <v>25.0</v>
      </c>
      <c r="C15" s="38">
        <f t="shared" si="1"/>
        <v>0</v>
      </c>
      <c r="D15" s="58">
        <v>0.0</v>
      </c>
      <c r="E15" s="60">
        <f t="shared" si="2"/>
        <v>0</v>
      </c>
      <c r="F15" s="42">
        <f t="shared" si="3"/>
        <v>0</v>
      </c>
      <c r="G15" s="45" t="s">
        <v>22</v>
      </c>
      <c r="H15" s="45">
        <v>17.0</v>
      </c>
      <c r="I15" s="48" t="str">
        <f>HYPERLINK("https://www.princeedwardisland.ca/en/topic/covid-19","Source")</f>
        <v>Source</v>
      </c>
      <c r="J15" s="29"/>
      <c r="K15" s="29"/>
      <c r="L15" s="36">
        <v>25.0</v>
      </c>
      <c r="M15" s="58">
        <v>0.0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30.0" customHeight="1">
      <c r="A16" s="34" t="s">
        <v>172</v>
      </c>
      <c r="B16" s="36">
        <v>13.0</v>
      </c>
      <c r="C16" s="38">
        <f t="shared" si="1"/>
        <v>0</v>
      </c>
      <c r="D16" s="58">
        <v>0.0</v>
      </c>
      <c r="E16" s="60">
        <f t="shared" si="2"/>
        <v>0</v>
      </c>
      <c r="F16" s="59">
        <f t="shared" si="3"/>
        <v>0</v>
      </c>
      <c r="G16" s="45" t="s">
        <v>22</v>
      </c>
      <c r="H16" s="45" t="s">
        <v>22</v>
      </c>
      <c r="I16" s="48" t="str">
        <f>HYPERLINK("https://www.canada.ca/en/public-health/services/diseases/2019-novel-coronavirus-infection.html#a1","Source")</f>
        <v>Source</v>
      </c>
      <c r="J16" s="29"/>
      <c r="K16" s="29"/>
      <c r="L16" s="36">
        <v>13.0</v>
      </c>
      <c r="M16" s="58">
        <v>0.0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30.0" customHeight="1">
      <c r="A17" s="34" t="s">
        <v>176</v>
      </c>
      <c r="B17" s="36">
        <v>8.0</v>
      </c>
      <c r="C17" s="38">
        <f t="shared" si="1"/>
        <v>0</v>
      </c>
      <c r="D17" s="58">
        <v>0.0</v>
      </c>
      <c r="E17" s="60">
        <f t="shared" si="2"/>
        <v>0</v>
      </c>
      <c r="F17" s="59">
        <f t="shared" si="3"/>
        <v>0</v>
      </c>
      <c r="G17" s="45" t="s">
        <v>22</v>
      </c>
      <c r="H17" s="45">
        <v>4.0</v>
      </c>
      <c r="I17" s="48" t="str">
        <f>HYPERLINK("https://yukon.ca/covid-19","Source")</f>
        <v>Source</v>
      </c>
      <c r="J17" s="29"/>
      <c r="K17" s="29"/>
      <c r="L17" s="36">
        <v>8.0</v>
      </c>
      <c r="M17" s="58">
        <v>0.0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30.0" customHeight="1">
      <c r="A18" s="34" t="s">
        <v>178</v>
      </c>
      <c r="B18" s="36">
        <v>5.0</v>
      </c>
      <c r="C18" s="38">
        <f t="shared" si="1"/>
        <v>0</v>
      </c>
      <c r="D18" s="58">
        <v>0.0</v>
      </c>
      <c r="E18" s="60">
        <f t="shared" si="2"/>
        <v>0</v>
      </c>
      <c r="F18" s="42">
        <f t="shared" si="3"/>
        <v>0</v>
      </c>
      <c r="G18" s="45" t="s">
        <v>22</v>
      </c>
      <c r="H18" s="45">
        <v>1.0</v>
      </c>
      <c r="I18" s="48" t="str">
        <f>HYPERLINK("https://www.cbc.ca/news/canada/north/nwt-first-case-covid19-1.5505701","Source")</f>
        <v>Source</v>
      </c>
      <c r="J18" s="29"/>
      <c r="K18" s="29"/>
      <c r="L18" s="36">
        <v>5.0</v>
      </c>
      <c r="M18" s="58">
        <v>0.0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30.0" customHeight="1">
      <c r="A19" s="34" t="s">
        <v>180</v>
      </c>
      <c r="B19" s="36">
        <v>0.0</v>
      </c>
      <c r="C19" s="38">
        <f t="shared" si="1"/>
        <v>0</v>
      </c>
      <c r="D19" s="58">
        <v>0.0</v>
      </c>
      <c r="E19" s="60">
        <f t="shared" si="2"/>
        <v>0</v>
      </c>
      <c r="F19" s="100" t="s">
        <v>50</v>
      </c>
      <c r="G19" s="45" t="s">
        <v>50</v>
      </c>
      <c r="H19" s="45" t="s">
        <v>50</v>
      </c>
      <c r="I19" s="48" t="str">
        <f>HYPERLINK("https://www.gov.nu.ca/health/information/covid-19-novel-coronavirus","Source")</f>
        <v>Source</v>
      </c>
      <c r="J19" s="29"/>
      <c r="K19" s="29"/>
      <c r="L19" s="36">
        <v>0.0</v>
      </c>
      <c r="M19" s="58">
        <v>0.0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30.0" customHeight="1">
      <c r="A20" s="84" t="s">
        <v>58</v>
      </c>
      <c r="B20" s="85">
        <f>SUM(B6:B19)</f>
        <v>22148</v>
      </c>
      <c r="C20" s="38">
        <f t="shared" si="1"/>
        <v>7</v>
      </c>
      <c r="D20" s="85">
        <f>SUM(D6:D19)</f>
        <v>569</v>
      </c>
      <c r="E20" s="40">
        <f t="shared" si="2"/>
        <v>0</v>
      </c>
      <c r="F20" s="42">
        <f>DIVIDE(D20, B20)</f>
        <v>0.0256908073</v>
      </c>
      <c r="G20" s="85">
        <f t="shared" ref="G20:H20" si="4">SUM(G6:G19)</f>
        <v>360</v>
      </c>
      <c r="H20" s="85">
        <f t="shared" si="4"/>
        <v>6013</v>
      </c>
      <c r="I20" s="86"/>
      <c r="J20" s="29"/>
      <c r="K20" s="29"/>
      <c r="L20" s="85">
        <f t="shared" ref="L20:M20" si="5">SUM(L6:L19)</f>
        <v>22141</v>
      </c>
      <c r="M20" s="85">
        <f t="shared" si="5"/>
        <v>569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93"/>
      <c r="B21" s="10"/>
      <c r="C21" s="10"/>
      <c r="D21" s="10"/>
      <c r="E21" s="10"/>
      <c r="F21" s="10"/>
      <c r="G21" s="10"/>
      <c r="H21" s="10"/>
      <c r="I21" s="3"/>
      <c r="J21" s="6"/>
      <c r="K21" s="6"/>
      <c r="L21" s="10"/>
      <c r="M21" s="10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1"/>
      <c r="B22" s="92"/>
      <c r="C22" s="92"/>
      <c r="D22" s="10"/>
      <c r="E22" s="10"/>
      <c r="F22" s="10"/>
      <c r="G22" s="10"/>
      <c r="H22" s="10"/>
      <c r="I22" s="3"/>
      <c r="J22" s="6"/>
      <c r="K22" s="6"/>
      <c r="L22" s="92"/>
      <c r="M22" s="1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3"/>
      <c r="B23" s="10"/>
      <c r="C23" s="10"/>
      <c r="D23" s="10"/>
      <c r="E23" s="10"/>
      <c r="F23" s="10"/>
      <c r="G23" s="10"/>
      <c r="H23" s="10"/>
      <c r="I23" s="3"/>
      <c r="J23" s="6"/>
      <c r="K23" s="6"/>
      <c r="L23" s="10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3"/>
      <c r="B24" s="10"/>
      <c r="C24" s="10"/>
      <c r="D24" s="10"/>
      <c r="E24" s="10"/>
      <c r="F24" s="10"/>
      <c r="G24" s="10"/>
      <c r="H24" s="10"/>
      <c r="I24" s="3"/>
      <c r="J24" s="6"/>
      <c r="K24" s="3"/>
      <c r="L24" s="10"/>
      <c r="M24" s="10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</sheetData>
  <mergeCells count="2">
    <mergeCell ref="A1:I1"/>
    <mergeCell ref="E2:H2"/>
  </mergeCells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  <col customWidth="1" min="8" max="8" width="0.57"/>
  </cols>
  <sheetData>
    <row r="1" ht="27.75" customHeight="1">
      <c r="A1" s="1"/>
      <c r="H1" s="3"/>
      <c r="I1" s="3"/>
    </row>
    <row r="2">
      <c r="A2" s="4" t="s">
        <v>1</v>
      </c>
      <c r="B2" s="4" t="s">
        <v>2</v>
      </c>
      <c r="D2" s="5" t="s">
        <v>3</v>
      </c>
      <c r="F2" s="7" t="s">
        <v>185</v>
      </c>
      <c r="I2" s="3"/>
    </row>
    <row r="3">
      <c r="A3" s="13">
        <f t="shared" ref="A3:B3" si="1">SUM(B15, B16)</f>
        <v>84028</v>
      </c>
      <c r="B3" s="13">
        <f t="shared" si="1"/>
        <v>3339</v>
      </c>
      <c r="D3" s="15">
        <f>SUM(F15, F16)</f>
        <v>78000</v>
      </c>
      <c r="F3" s="16">
        <f>MINUS(A3,B3 + D3)</f>
        <v>2689</v>
      </c>
      <c r="G3" s="16"/>
      <c r="H3" s="5"/>
      <c r="I3" s="3"/>
    </row>
    <row r="4">
      <c r="A4" s="19"/>
      <c r="B4" s="9"/>
      <c r="C4" s="9"/>
      <c r="D4" s="8"/>
      <c r="E4" s="8"/>
      <c r="F4" s="8"/>
      <c r="G4" s="9"/>
      <c r="H4" s="6"/>
      <c r="I4" s="6"/>
    </row>
    <row r="5" ht="30.0" customHeight="1">
      <c r="A5" s="120" t="s">
        <v>187</v>
      </c>
      <c r="B5" s="121" t="s">
        <v>8</v>
      </c>
      <c r="C5" s="121" t="s">
        <v>10</v>
      </c>
      <c r="D5" s="122" t="s">
        <v>189</v>
      </c>
      <c r="E5" s="122" t="s">
        <v>190</v>
      </c>
      <c r="F5" s="122" t="s">
        <v>14</v>
      </c>
      <c r="G5" s="121"/>
      <c r="H5" s="29"/>
      <c r="I5" s="29"/>
    </row>
    <row r="6" ht="30.0" customHeight="1">
      <c r="A6" s="79" t="s">
        <v>191</v>
      </c>
      <c r="B6" s="80">
        <v>67803.0</v>
      </c>
      <c r="C6" s="80">
        <v>3219.0</v>
      </c>
      <c r="D6" s="123">
        <v>95.0</v>
      </c>
      <c r="E6" s="82" t="s">
        <v>22</v>
      </c>
      <c r="F6" s="123">
        <v>64264.0</v>
      </c>
      <c r="G6" s="124" t="str">
        <f>HYPERLINK("http://www.nhc.gov.cn/yjb/s7860/202004/be5fdf84937844bcb88841c2c6bb8145.shtml","Source")</f>
        <v>Source</v>
      </c>
      <c r="H6" s="125"/>
      <c r="I6" s="29"/>
    </row>
    <row r="7" ht="30.0" customHeight="1">
      <c r="A7" s="126" t="s">
        <v>193</v>
      </c>
      <c r="B7" s="127">
        <v>1459.0</v>
      </c>
      <c r="C7" s="128">
        <v>8.0</v>
      </c>
      <c r="D7" s="129">
        <v>2.0</v>
      </c>
      <c r="E7" s="129">
        <v>4.0</v>
      </c>
      <c r="F7" s="130">
        <v>1357.0</v>
      </c>
      <c r="G7" s="132" t="str">
        <f>HYPERLINK("http://wsjkw.gd.gov.cn/zwyw_yqxx/content/post_2963066.html","Source")</f>
        <v>Source</v>
      </c>
      <c r="H7" s="29"/>
      <c r="I7" s="29"/>
    </row>
    <row r="8" ht="30.0" customHeight="1">
      <c r="A8" s="79" t="s">
        <v>197</v>
      </c>
      <c r="B8" s="80">
        <v>1276.0</v>
      </c>
      <c r="C8" s="81">
        <v>22.0</v>
      </c>
      <c r="D8" s="82">
        <v>0.0</v>
      </c>
      <c r="E8" s="82">
        <v>0.0</v>
      </c>
      <c r="F8" s="123">
        <v>1251.0</v>
      </c>
      <c r="G8" s="124" t="str">
        <f>HYPERLINK("https://m.weibo.cn/detail/4488452735550800","Source")</f>
        <v>Source</v>
      </c>
      <c r="H8" s="125"/>
      <c r="I8" s="29"/>
    </row>
    <row r="9" ht="30.0" customHeight="1">
      <c r="A9" s="79" t="s">
        <v>199</v>
      </c>
      <c r="B9" s="80">
        <v>1257.0</v>
      </c>
      <c r="C9" s="81">
        <v>1.0</v>
      </c>
      <c r="D9" s="82" t="s">
        <v>22</v>
      </c>
      <c r="E9" s="82" t="s">
        <v>22</v>
      </c>
      <c r="F9" s="123">
        <v>1226.0</v>
      </c>
      <c r="G9" s="137" t="str">
        <f>HYPERLINK("http://www.bjnews.com.cn/feature/2020/03/31/711060.html","Source")</f>
        <v>Source</v>
      </c>
      <c r="H9" s="29"/>
      <c r="I9" s="29"/>
    </row>
    <row r="10" ht="30.0" customHeight="1">
      <c r="A10" s="79" t="s">
        <v>200</v>
      </c>
      <c r="B10" s="80">
        <v>1018.0</v>
      </c>
      <c r="C10" s="81">
        <v>4.0</v>
      </c>
      <c r="D10" s="82">
        <v>0.0</v>
      </c>
      <c r="E10" s="82">
        <v>0.0</v>
      </c>
      <c r="F10" s="123">
        <v>1014.0</v>
      </c>
      <c r="G10" s="124" t="str">
        <f>HYPERLINK("http://wjw.hunan.gov.cn/wjw/xxgk/gzdt/zyxw_1/202003/t20200331_11867420.html","Source")</f>
        <v>Source</v>
      </c>
      <c r="H10" s="29"/>
      <c r="I10" s="29"/>
    </row>
    <row r="11" ht="30.0" customHeight="1">
      <c r="A11" s="79" t="s">
        <v>203</v>
      </c>
      <c r="B11" s="80">
        <v>580.0</v>
      </c>
      <c r="C11" s="81">
        <v>8.0</v>
      </c>
      <c r="D11" s="82" t="s">
        <v>22</v>
      </c>
      <c r="E11" s="82" t="s">
        <v>22</v>
      </c>
      <c r="F11" s="82">
        <v>418.0</v>
      </c>
      <c r="G11" s="137" t="str">
        <f>HYPERLINK("http://wjw.beijing.gov.cn/xwzx_20031/wnxw/202004/t20200401_1771919.html","Source")</f>
        <v>Source</v>
      </c>
      <c r="H11" s="29"/>
      <c r="I11" s="29"/>
    </row>
    <row r="12" ht="30.0" customHeight="1">
      <c r="A12" s="79" t="s">
        <v>205</v>
      </c>
      <c r="B12" s="80">
        <v>516.0</v>
      </c>
      <c r="C12" s="81">
        <v>7.0</v>
      </c>
      <c r="D12" s="82">
        <v>0.0</v>
      </c>
      <c r="E12" s="82">
        <v>5.0</v>
      </c>
      <c r="F12" s="82">
        <v>341.0</v>
      </c>
      <c r="G12" s="124" t="str">
        <f>HYPERLINK("http://wsjkw.sh.gov.cn/xwfb/20200401/50133c67b43d4c91a884d6de41dfce23.html","Source")</f>
        <v>Source</v>
      </c>
      <c r="H12" s="29"/>
      <c r="I12" s="29"/>
    </row>
    <row r="13" ht="30.0" customHeight="1">
      <c r="A13" s="79" t="s">
        <v>207</v>
      </c>
      <c r="B13" s="80">
        <v>8044.0</v>
      </c>
      <c r="C13" s="81">
        <v>70.0</v>
      </c>
      <c r="D13" s="82" t="s">
        <v>208</v>
      </c>
      <c r="E13" s="82" t="s">
        <v>22</v>
      </c>
      <c r="F13" s="123">
        <v>7654.0</v>
      </c>
      <c r="G13" s="124" t="str">
        <f>HYPERLINK("http://www.nhc.gov.cn/yjb/s7860/202004/be5fdf84937844bcb88841c2c6bb8145.shtml","Source")</f>
        <v>Source</v>
      </c>
      <c r="H13" s="125"/>
      <c r="I13" s="29"/>
    </row>
    <row r="14" ht="30.0" customHeight="1">
      <c r="A14" s="79" t="s">
        <v>210</v>
      </c>
      <c r="B14" s="80">
        <v>2075.0</v>
      </c>
      <c r="C14" s="81">
        <v>0.0</v>
      </c>
      <c r="D14" s="82">
        <v>0.0</v>
      </c>
      <c r="E14" s="82">
        <v>0.0</v>
      </c>
      <c r="F14" s="123">
        <v>475.0</v>
      </c>
      <c r="G14" s="83"/>
      <c r="H14" s="125"/>
      <c r="I14" s="29"/>
    </row>
    <row r="15" ht="30.0" customHeight="1">
      <c r="A15" s="87" t="s">
        <v>58</v>
      </c>
      <c r="B15" s="145">
        <f t="shared" ref="B15:C15" si="2">SUM(B6:B14)</f>
        <v>84028</v>
      </c>
      <c r="C15" s="145">
        <f t="shared" si="2"/>
        <v>3339</v>
      </c>
      <c r="D15" s="145">
        <v>141.0</v>
      </c>
      <c r="E15" s="145"/>
      <c r="F15" s="145">
        <f>SUM(F6:F14)</f>
        <v>78000</v>
      </c>
      <c r="G15" s="90"/>
      <c r="H15" s="29"/>
      <c r="I15" s="29"/>
    </row>
    <row r="16">
      <c r="A16" s="87"/>
      <c r="B16" s="88"/>
      <c r="C16" s="88"/>
      <c r="D16" s="89"/>
      <c r="E16" s="148"/>
      <c r="F16" s="88"/>
      <c r="G16" s="90"/>
      <c r="H16" s="6"/>
      <c r="I16" s="6"/>
    </row>
    <row r="17">
      <c r="A17" s="91"/>
      <c r="B17" s="92"/>
      <c r="C17" s="10"/>
      <c r="D17" s="10"/>
      <c r="E17" s="10"/>
      <c r="F17" s="10"/>
      <c r="G17" s="3"/>
      <c r="H17" s="3"/>
      <c r="I17" s="3"/>
    </row>
    <row r="18">
      <c r="A18" s="93"/>
      <c r="B18" s="10"/>
      <c r="C18" s="10"/>
      <c r="D18" s="10"/>
      <c r="E18" s="10"/>
      <c r="F18" s="10"/>
      <c r="G18" s="3"/>
      <c r="H18" s="3"/>
      <c r="I18" s="3"/>
    </row>
    <row r="19">
      <c r="A19" s="93"/>
      <c r="B19" s="10"/>
      <c r="C19" s="10"/>
      <c r="D19" s="10"/>
      <c r="E19" s="10"/>
      <c r="F19" s="10"/>
      <c r="G19" s="3"/>
      <c r="H19" s="3"/>
      <c r="I19" s="3"/>
    </row>
  </sheetData>
  <mergeCells count="6">
    <mergeCell ref="A1:G1"/>
    <mergeCell ref="B2:C2"/>
    <mergeCell ref="D2:E2"/>
    <mergeCell ref="F2:H2"/>
    <mergeCell ref="B3:C3"/>
    <mergeCell ref="D3:E3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7.57"/>
  </cols>
  <sheetData>
    <row r="1">
      <c r="A1" s="131" t="s">
        <v>195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>
      <c r="A2" s="35" t="s">
        <v>196</v>
      </c>
      <c r="B2" s="31"/>
      <c r="C2" s="133">
        <v>5.0</v>
      </c>
      <c r="D2" s="134" t="str">
        <f>HYPERLINK("https://tass.com/world/1141003","Source")</f>
        <v>Source</v>
      </c>
      <c r="E2" s="135"/>
      <c r="F2" s="136" t="s">
        <v>52</v>
      </c>
      <c r="G2" s="138" t="s">
        <v>8</v>
      </c>
      <c r="H2" s="138" t="s">
        <v>10</v>
      </c>
      <c r="I2" s="138" t="s">
        <v>14</v>
      </c>
      <c r="J2" s="136"/>
      <c r="K2" s="136"/>
    </row>
    <row r="3">
      <c r="A3" s="35" t="s">
        <v>202</v>
      </c>
      <c r="B3" s="31"/>
      <c r="C3" s="133">
        <v>4.0</v>
      </c>
      <c r="D3" s="134" t="str">
        <f>HYPERLINK("https://ria.ru/20200405/1569597185.html","Source")</f>
        <v>Source</v>
      </c>
      <c r="E3" s="135"/>
      <c r="F3" s="136" t="s">
        <v>204</v>
      </c>
      <c r="G3" s="139">
        <v>1912.0</v>
      </c>
      <c r="H3" s="139">
        <v>67.0</v>
      </c>
      <c r="I3" s="139">
        <v>1054.0</v>
      </c>
      <c r="J3" s="140" t="str">
        <f>HYPERLINK("https://www.snohd.org/499/COVID-19-Case-Count-Info","Source")</f>
        <v>Source</v>
      </c>
      <c r="K3" s="141"/>
    </row>
    <row r="4">
      <c r="A4" s="35" t="s">
        <v>209</v>
      </c>
      <c r="B4" s="31"/>
      <c r="C4" s="133">
        <v>1.0</v>
      </c>
      <c r="D4" s="134" t="str">
        <f>HYPERLINK("https://tass.com/world/1141457","Source")</f>
        <v>Source</v>
      </c>
      <c r="E4" s="135"/>
      <c r="F4" s="142" t="s">
        <v>211</v>
      </c>
      <c r="G4" s="143">
        <v>875.0</v>
      </c>
      <c r="H4" s="143">
        <v>18.0</v>
      </c>
      <c r="I4" s="144" t="s">
        <v>22</v>
      </c>
      <c r="J4" s="146" t="str">
        <f>HYPERLINK("https://twitter.com/TPCHD","Source")</f>
        <v>Source</v>
      </c>
      <c r="K4" s="146" t="str">
        <f>HYPERLINK("https://www.tpchd.org/healthy-people/diseases/covid-19-pierce-county-cases","Source")</f>
        <v>Source</v>
      </c>
    </row>
    <row r="5">
      <c r="A5" s="147" t="s">
        <v>213</v>
      </c>
      <c r="B5" s="31"/>
      <c r="C5" s="133">
        <v>1.0</v>
      </c>
      <c r="D5" s="134" t="str">
        <f>HYPERLINK("https://news.trust.org/item/20200407130156-nbeye","Source")</f>
        <v>Source</v>
      </c>
      <c r="E5" s="135"/>
      <c r="F5" s="142" t="s">
        <v>214</v>
      </c>
      <c r="G5" s="143">
        <v>13.0</v>
      </c>
      <c r="H5" s="143">
        <v>1.0</v>
      </c>
      <c r="I5" s="143">
        <v>9.0</v>
      </c>
      <c r="J5" s="146" t="str">
        <f>HYPERLINK("https://kimatv.com/news/local/12-total-cases-of-covid-19-confirmed-in-kittitas-county","Source")</f>
        <v>Source</v>
      </c>
      <c r="K5" s="149" t="str">
        <f>HYPERLINK("https://kitcogis.maps.arcgis.com/apps/opsdashboard/index.html#/8d4896b6fe7b4805a7251a1284b051fb","Source")</f>
        <v>Source</v>
      </c>
    </row>
    <row r="6">
      <c r="A6" s="131" t="s">
        <v>58</v>
      </c>
      <c r="B6" s="31"/>
      <c r="C6" s="150">
        <f>SUM(C2:C5)</f>
        <v>11</v>
      </c>
      <c r="D6" s="31"/>
      <c r="E6" s="31"/>
      <c r="F6" s="142" t="s">
        <v>217</v>
      </c>
      <c r="G6" s="143">
        <v>125.0</v>
      </c>
      <c r="H6" s="144">
        <v>2.0</v>
      </c>
      <c r="I6" s="143">
        <v>28.0</v>
      </c>
      <c r="J6" s="146" t="str">
        <f>HYPERLINK("http://granthealth.org/updates-for-covid-19-in-grant-county/","Source")</f>
        <v>Source</v>
      </c>
      <c r="K6" s="151"/>
    </row>
    <row r="7">
      <c r="A7" s="31"/>
      <c r="B7" s="31"/>
      <c r="C7" s="31"/>
      <c r="D7" s="31"/>
      <c r="E7" s="31"/>
      <c r="F7" s="142" t="s">
        <v>218</v>
      </c>
      <c r="G7" s="143">
        <v>511.0</v>
      </c>
      <c r="H7" s="143">
        <v>20.0</v>
      </c>
      <c r="I7" s="144" t="s">
        <v>22</v>
      </c>
      <c r="J7" s="146" t="str">
        <f>HYPERLINK("https://www.yakimacounty.us/2323/COVID-19","Source")</f>
        <v>Source</v>
      </c>
      <c r="K7" s="99"/>
    </row>
    <row r="8">
      <c r="A8" s="131" t="s">
        <v>219</v>
      </c>
      <c r="B8" s="31"/>
      <c r="C8" s="31"/>
      <c r="D8" s="31"/>
      <c r="E8" s="31"/>
      <c r="F8" s="142" t="s">
        <v>221</v>
      </c>
      <c r="G8" s="143">
        <v>250.0</v>
      </c>
      <c r="H8" s="143">
        <v>23.0</v>
      </c>
      <c r="I8" s="144" t="s">
        <v>22</v>
      </c>
      <c r="J8" s="146" t="str">
        <f>HYPERLINK("https://www.whatcomcounty.us/3329/Novel-Coronavirus-COVID-19#case","Source")</f>
        <v>Source</v>
      </c>
      <c r="K8" s="151"/>
    </row>
    <row r="9">
      <c r="A9" s="35" t="s">
        <v>222</v>
      </c>
      <c r="B9" s="134" t="str">
        <f>HYPERLINK("https://en.wikipedia.org/wiki/2020_coronavirus_pandemic_in_R%C3%A9union","Link")</f>
        <v>Link</v>
      </c>
      <c r="C9" s="134" t="str">
        <f>HYPERLINK("http://www.reunion.gouv.fr/point-de-situation-du-06-04-2020-5-nouveaux-cas-a6489.html","Link")</f>
        <v>Link</v>
      </c>
      <c r="D9" s="31"/>
      <c r="E9" s="31"/>
      <c r="F9" s="142" t="s">
        <v>223</v>
      </c>
      <c r="G9" s="152">
        <v>251.0</v>
      </c>
      <c r="H9" s="143">
        <v>14.0</v>
      </c>
      <c r="I9" s="144" t="s">
        <v>22</v>
      </c>
      <c r="J9" s="146" t="str">
        <f>HYPERLINK("https://srhd.org/covid19","Source")</f>
        <v>Source</v>
      </c>
      <c r="K9" s="144"/>
    </row>
    <row r="10">
      <c r="A10" s="147" t="s">
        <v>225</v>
      </c>
      <c r="B10" s="134" t="str">
        <f>HYPERLINK("https://en.wikipedia.org/wiki/2020_coronavirus_pandemic_in_Saint_Pierre_and_Miquelon","Link")</f>
        <v>Link</v>
      </c>
      <c r="C10" s="35"/>
      <c r="D10" s="31"/>
      <c r="E10" s="31"/>
      <c r="F10" s="142" t="s">
        <v>226</v>
      </c>
      <c r="G10" s="152">
        <v>4117.0</v>
      </c>
      <c r="H10" s="143">
        <v>277.0</v>
      </c>
      <c r="I10" s="144" t="s">
        <v>22</v>
      </c>
      <c r="J10" s="146" t="str">
        <f>HYPERLINK("https://kingcounty.gov/depts/health/communicable-diseases/disease-control/novel-coronavirus.aspx","Source")</f>
        <v>Source</v>
      </c>
      <c r="K10" s="144"/>
    </row>
    <row r="11">
      <c r="A11" s="35" t="s">
        <v>227</v>
      </c>
      <c r="B11" s="134" t="str">
        <f>HYPERLINK("https://en.wikipedia.org/wiki/2020_coronavirus_pandemic_in_the_Guantanamo_Bay_Naval_Base","Link")</f>
        <v>Link</v>
      </c>
      <c r="C11" s="134" t="str">
        <f>HYPERLINK("https://www.navy.mil/submit/display.asp?story_id=112454","Link")</f>
        <v>Link</v>
      </c>
      <c r="D11" s="31"/>
      <c r="E11" s="31"/>
      <c r="F11" s="142" t="s">
        <v>229</v>
      </c>
      <c r="G11" s="152">
        <v>157.0</v>
      </c>
      <c r="H11" s="143">
        <v>7.0</v>
      </c>
      <c r="I11" s="144" t="s">
        <v>22</v>
      </c>
      <c r="J11" s="146" t="str">
        <f>HYPERLINK("https://www.islandcountywa.gov/Health/Pages/COVID-19.aspx","Source")</f>
        <v>Source</v>
      </c>
      <c r="K11" s="144"/>
    </row>
    <row r="12">
      <c r="A12" s="35" t="s">
        <v>230</v>
      </c>
      <c r="B12" s="134" t="str">
        <f>HYPERLINK("https://en.wikipedia.org/wiki/2020_coronavirus_pandemic_in_Sint_Eustatius","Link")</f>
        <v>Link</v>
      </c>
      <c r="C12" s="31"/>
      <c r="D12" s="31"/>
      <c r="E12" s="31"/>
      <c r="F12" s="142" t="s">
        <v>232</v>
      </c>
      <c r="G12" s="152">
        <v>140.0</v>
      </c>
      <c r="H12" s="144">
        <v>2.0</v>
      </c>
      <c r="I12" s="144" t="s">
        <v>22</v>
      </c>
      <c r="J12" s="146" t="str">
        <f t="shared" ref="J12:J13" si="1">HYPERLINK("https://www.bfhd.wa.gov/cms/One.aspx?portalId=10766056&amp;pageId=16584954","Source")</f>
        <v>Source</v>
      </c>
      <c r="K12" s="144"/>
    </row>
    <row r="13">
      <c r="A13" s="35" t="s">
        <v>233</v>
      </c>
      <c r="B13" s="134" t="str">
        <f>HYPERLINK("https://en.wikipedia.org/wiki/2020_coronavirus_pandemic_in_Somaliland","Link")</f>
        <v>Link</v>
      </c>
      <c r="C13" s="31"/>
      <c r="D13" s="31"/>
      <c r="E13" s="31"/>
      <c r="F13" s="142" t="s">
        <v>234</v>
      </c>
      <c r="G13" s="152">
        <v>303.0</v>
      </c>
      <c r="H13" s="143">
        <v>25.0</v>
      </c>
      <c r="I13" s="144" t="s">
        <v>22</v>
      </c>
      <c r="J13" s="146" t="str">
        <f t="shared" si="1"/>
        <v>Source</v>
      </c>
      <c r="K13" s="11"/>
    </row>
    <row r="14">
      <c r="A14" s="147" t="s">
        <v>235</v>
      </c>
      <c r="B14" s="134" t="str">
        <f>HYPERLINK("https://en.wikipedia.org/wiki/2020_coronavirus_pandemic_in_S%C3%A3o_Tom%C3%A9_and_Pr%C3%ADncipe","Link")</f>
        <v>Link</v>
      </c>
      <c r="C14" s="31"/>
      <c r="D14" s="31"/>
      <c r="E14" s="31"/>
      <c r="F14" s="142" t="s">
        <v>236</v>
      </c>
      <c r="G14" s="152">
        <v>1719.0</v>
      </c>
      <c r="H14" s="143">
        <v>31.0</v>
      </c>
      <c r="I14" s="144" t="s">
        <v>22</v>
      </c>
      <c r="J14" s="146" t="str">
        <f>HYPERLINK("https://www.doh.wa.gov/Emergencies/Coronavirus","Source")</f>
        <v>Source</v>
      </c>
      <c r="K14" s="151"/>
    </row>
    <row r="15">
      <c r="A15" s="35" t="s">
        <v>237</v>
      </c>
      <c r="B15" s="134" t="str">
        <f>HYPERLINK("https://en.wikipedia.org/wiki/2020_coronavirus_pandemic_in_the_%C3%85land_Islands","Link")</f>
        <v>Link</v>
      </c>
      <c r="C15" s="31"/>
      <c r="D15" s="31"/>
      <c r="E15" s="31"/>
      <c r="F15" s="142" t="s">
        <v>239</v>
      </c>
      <c r="G15" s="153">
        <f t="shared" ref="G15:I15" si="2">SUM(G3:G14)</f>
        <v>10373</v>
      </c>
      <c r="H15" s="153">
        <f t="shared" si="2"/>
        <v>487</v>
      </c>
      <c r="I15" s="153">
        <f t="shared" si="2"/>
        <v>1091</v>
      </c>
      <c r="J15" s="144"/>
      <c r="K15" s="144"/>
    </row>
    <row r="16">
      <c r="A16" s="147" t="s">
        <v>240</v>
      </c>
      <c r="B16" s="134" t="str">
        <f>HYPERLINK("https://en.wikipedia.org/wiki/2020_coronavirus_pandemic_in_Akrotiri_and_Dhekelia","Link")</f>
        <v>Link</v>
      </c>
      <c r="C16" s="31"/>
      <c r="D16" s="31"/>
      <c r="E16" s="31"/>
      <c r="F16" s="31"/>
      <c r="G16" s="31"/>
      <c r="H16" s="31"/>
      <c r="I16" s="31"/>
      <c r="J16" s="31"/>
      <c r="K16" s="31"/>
    </row>
    <row r="17">
      <c r="A17" s="35" t="s">
        <v>242</v>
      </c>
      <c r="B17" s="134" t="str">
        <f>HYPERLINK("https://en.wikipedia.org/wiki/2020_coronavirus_pandemic_in_the_Collectivity_of_Saint_Martin","Link")</f>
        <v>Link</v>
      </c>
      <c r="C17" s="31"/>
      <c r="D17" s="31"/>
      <c r="E17" s="31"/>
      <c r="F17" s="31"/>
      <c r="G17" s="31"/>
      <c r="H17" s="31"/>
      <c r="I17" s="31"/>
      <c r="J17" s="31"/>
      <c r="K17" s="31"/>
    </row>
    <row r="18">
      <c r="A18" s="35" t="s">
        <v>243</v>
      </c>
      <c r="B18" s="134" t="str">
        <f>HYPERLINK("https://en.wikipedia.org/wiki/2020_coronavirus_pandemic_in_French_Guiana","Link")</f>
        <v>Link</v>
      </c>
      <c r="C18" s="134" t="str">
        <f>HYPERLINK("http://www.guyane.gouv.fr/Politiques-publiques/Sante/Coronavirus-Covid-19/COVID-INFO","Link")</f>
        <v>Link</v>
      </c>
      <c r="D18" s="31"/>
      <c r="E18" s="31"/>
      <c r="F18" s="31"/>
      <c r="G18" s="31"/>
      <c r="H18" s="31"/>
      <c r="I18" s="31"/>
      <c r="J18" s="31"/>
      <c r="K18" s="31"/>
    </row>
    <row r="19">
      <c r="A19" s="35" t="s">
        <v>244</v>
      </c>
      <c r="B19" s="134" t="str">
        <f>HYPERLINK("https://en.wikipedia.org/wiki/2020_coronavirus_pandemic_in_Guadeloupe","Link")</f>
        <v>Link</v>
      </c>
      <c r="C19" s="31"/>
      <c r="D19" s="31"/>
      <c r="E19" s="31"/>
      <c r="F19" s="31"/>
      <c r="G19" s="31"/>
      <c r="H19" s="31"/>
      <c r="I19" s="31"/>
      <c r="J19" s="31"/>
      <c r="K19" s="31"/>
    </row>
    <row r="20">
      <c r="A20" s="35" t="s">
        <v>246</v>
      </c>
      <c r="B20" s="134" t="str">
        <f>HYPERLINK("https://en.wikipedia.org/wiki/2020_coronavirus_pandemic_in_Martinique","Link")</f>
        <v>Link</v>
      </c>
      <c r="C20" s="31"/>
      <c r="D20" s="31"/>
      <c r="E20" s="31"/>
      <c r="F20" s="31"/>
      <c r="G20" s="31"/>
      <c r="H20" s="31"/>
      <c r="I20" s="31"/>
      <c r="J20" s="31"/>
      <c r="K20" s="31"/>
    </row>
    <row r="21">
      <c r="A21" s="35" t="s">
        <v>247</v>
      </c>
      <c r="B21" s="134" t="str">
        <f>HYPERLINK("https://en.wikipedia.org/wiki/2020_coronavirus_pandemic_in_Mayotte","Link")</f>
        <v>Link</v>
      </c>
      <c r="C21" s="134" t="str">
        <f>HYPERLINK("http://www.mayotte.gouv.fr/Politiques-publiques/Sante/CORONAVIRUS-COVID-19/Point-de-situation/Coronavirus-COVID-19-a-Mayotte-186-cas-confirmes-au-total","Link")</f>
        <v>Link</v>
      </c>
      <c r="D21" s="31"/>
      <c r="E21" s="31"/>
      <c r="F21" s="31"/>
      <c r="G21" s="31"/>
      <c r="H21" s="31"/>
      <c r="I21" s="31"/>
      <c r="J21" s="31"/>
      <c r="K21" s="31"/>
    </row>
    <row r="23">
      <c r="A23" s="131" t="s">
        <v>249</v>
      </c>
      <c r="B23" s="154" t="s">
        <v>250</v>
      </c>
    </row>
    <row r="24">
      <c r="A24" s="154" t="s">
        <v>55</v>
      </c>
    </row>
    <row r="25">
      <c r="A25" s="154" t="s">
        <v>41</v>
      </c>
      <c r="B25" s="155" t="str">
        <f>HYPERLINK("https://twitter.com/DHSCgovuk","Link")</f>
        <v>Link</v>
      </c>
    </row>
    <row r="26">
      <c r="A26" s="154" t="s">
        <v>20</v>
      </c>
      <c r="B26" s="156"/>
    </row>
    <row r="27">
      <c r="A27" s="154" t="s">
        <v>25</v>
      </c>
      <c r="B27" s="156"/>
    </row>
    <row r="28">
      <c r="A28" s="154" t="s">
        <v>26</v>
      </c>
      <c r="B28" s="156"/>
    </row>
    <row r="29">
      <c r="A29" s="154" t="s">
        <v>35</v>
      </c>
      <c r="B29" s="156"/>
    </row>
    <row r="30">
      <c r="A30" s="154" t="s">
        <v>29</v>
      </c>
      <c r="B30" s="156"/>
    </row>
    <row r="31">
      <c r="A31" s="154" t="s">
        <v>32</v>
      </c>
      <c r="B31" s="156"/>
    </row>
    <row r="32">
      <c r="A32" s="154" t="s">
        <v>38</v>
      </c>
      <c r="B32" s="156"/>
    </row>
    <row r="33">
      <c r="A33" s="154" t="s">
        <v>251</v>
      </c>
      <c r="B33" s="157" t="s">
        <v>253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9.14"/>
    <col customWidth="1" min="4" max="4" width="9.71"/>
    <col customWidth="1" min="5" max="5" width="13.0"/>
  </cols>
  <sheetData>
    <row r="1" ht="27.75" customHeight="1">
      <c r="A1" s="1" t="s">
        <v>272</v>
      </c>
      <c r="F1" s="3"/>
      <c r="G1" s="3"/>
      <c r="H1" s="3"/>
    </row>
    <row r="2">
      <c r="A2" s="4" t="s">
        <v>274</v>
      </c>
      <c r="B2" s="4" t="s">
        <v>275</v>
      </c>
      <c r="D2" s="5" t="s">
        <v>276</v>
      </c>
      <c r="E2" s="8"/>
      <c r="F2" s="3"/>
      <c r="G2" s="3"/>
      <c r="H2" s="3"/>
    </row>
    <row r="3">
      <c r="A3" s="13">
        <f t="shared" ref="A3:B3" si="1">SUM(B24, B25)</f>
        <v>3196</v>
      </c>
      <c r="B3" s="13">
        <f t="shared" si="1"/>
        <v>33</v>
      </c>
      <c r="D3" s="15">
        <f>SUM(E24, E25)</f>
        <v>9</v>
      </c>
      <c r="E3" s="8"/>
      <c r="F3" s="3"/>
      <c r="G3" s="3"/>
      <c r="H3" s="3"/>
    </row>
    <row r="4">
      <c r="A4" s="19"/>
      <c r="B4" s="9"/>
      <c r="C4" s="9"/>
      <c r="D4" s="8"/>
      <c r="E4" s="8"/>
      <c r="F4" s="3"/>
      <c r="G4" s="3"/>
      <c r="H4" s="3"/>
    </row>
    <row r="5" ht="30.0" customHeight="1">
      <c r="A5" s="120" t="s">
        <v>278</v>
      </c>
      <c r="B5" s="121" t="s">
        <v>279</v>
      </c>
      <c r="C5" s="121" t="s">
        <v>280</v>
      </c>
      <c r="D5" s="122" t="s">
        <v>281</v>
      </c>
      <c r="E5" s="122" t="s">
        <v>282</v>
      </c>
      <c r="F5" s="31"/>
      <c r="G5" s="31"/>
      <c r="H5" s="31"/>
    </row>
    <row r="6" ht="30.0" customHeight="1">
      <c r="A6" s="79" t="s">
        <v>283</v>
      </c>
      <c r="B6" s="80">
        <v>977.0</v>
      </c>
      <c r="C6" s="81">
        <v>11.0</v>
      </c>
      <c r="D6" s="82"/>
      <c r="E6" s="82">
        <v>1.0</v>
      </c>
      <c r="F6" s="31"/>
      <c r="G6" s="31"/>
      <c r="H6" s="31"/>
    </row>
    <row r="7" ht="30.0" customHeight="1">
      <c r="A7" s="79" t="s">
        <v>88</v>
      </c>
      <c r="B7" s="80">
        <v>434.0</v>
      </c>
      <c r="C7" s="81">
        <v>0.0</v>
      </c>
      <c r="D7" s="82"/>
      <c r="E7" s="159"/>
      <c r="F7" s="31"/>
      <c r="G7" s="31"/>
      <c r="H7" s="31"/>
    </row>
    <row r="8" ht="30.0" customHeight="1">
      <c r="A8" s="79" t="s">
        <v>85</v>
      </c>
      <c r="B8" s="80">
        <v>426.0</v>
      </c>
      <c r="C8" s="80">
        <v>7.0</v>
      </c>
      <c r="D8" s="123">
        <v>6.0</v>
      </c>
      <c r="E8" s="82">
        <v>3.0</v>
      </c>
      <c r="F8" s="31"/>
      <c r="G8" s="31"/>
      <c r="H8" s="31"/>
    </row>
    <row r="9" ht="30.0" customHeight="1">
      <c r="A9" s="79" t="s">
        <v>105</v>
      </c>
      <c r="B9" s="80">
        <v>263.0</v>
      </c>
      <c r="C9" s="81">
        <v>3.0</v>
      </c>
      <c r="D9" s="82">
        <v>16.0</v>
      </c>
      <c r="E9" s="82">
        <v>2.0</v>
      </c>
      <c r="F9" s="31"/>
      <c r="G9" s="31"/>
      <c r="H9" s="31"/>
    </row>
    <row r="10" ht="30.0" customHeight="1">
      <c r="A10" s="79" t="s">
        <v>285</v>
      </c>
      <c r="B10" s="80">
        <v>203.0</v>
      </c>
      <c r="C10" s="81">
        <v>2.0</v>
      </c>
      <c r="D10" s="82">
        <v>3.0</v>
      </c>
      <c r="E10" s="82">
        <v>3.0</v>
      </c>
      <c r="F10" s="31"/>
      <c r="G10" s="31"/>
      <c r="H10" s="31"/>
    </row>
    <row r="11" ht="30.0" customHeight="1">
      <c r="A11" s="79" t="s">
        <v>286</v>
      </c>
      <c r="B11" s="80">
        <v>200.0</v>
      </c>
      <c r="C11" s="81">
        <v>1.0</v>
      </c>
      <c r="D11" s="82">
        <v>8.0</v>
      </c>
      <c r="E11" s="159"/>
      <c r="F11" s="31"/>
      <c r="G11" s="31"/>
      <c r="H11" s="31"/>
    </row>
    <row r="12" ht="30.0" customHeight="1">
      <c r="A12" s="79" t="s">
        <v>171</v>
      </c>
      <c r="B12" s="80">
        <v>158.0</v>
      </c>
      <c r="C12" s="81">
        <v>3.0</v>
      </c>
      <c r="D12" s="82"/>
      <c r="E12" s="159"/>
      <c r="F12" s="31"/>
      <c r="G12" s="31"/>
      <c r="H12" s="31"/>
    </row>
    <row r="13" ht="30.0" customHeight="1">
      <c r="A13" s="79" t="s">
        <v>154</v>
      </c>
      <c r="B13" s="80">
        <v>158.0</v>
      </c>
      <c r="C13" s="81">
        <v>0.0</v>
      </c>
      <c r="D13" s="82"/>
      <c r="E13" s="159"/>
      <c r="F13" s="31"/>
      <c r="G13" s="31"/>
      <c r="H13" s="31"/>
    </row>
    <row r="14" ht="30.0" customHeight="1">
      <c r="A14" s="79" t="s">
        <v>260</v>
      </c>
      <c r="B14" s="80">
        <v>113.0</v>
      </c>
      <c r="C14" s="81">
        <v>2.0</v>
      </c>
      <c r="D14" s="82"/>
      <c r="E14" s="159"/>
      <c r="F14" s="31"/>
      <c r="G14" s="31"/>
      <c r="H14" s="31"/>
    </row>
    <row r="15" ht="30.0" customHeight="1">
      <c r="A15" s="79" t="s">
        <v>264</v>
      </c>
      <c r="B15" s="80">
        <v>110.0</v>
      </c>
      <c r="C15" s="81"/>
      <c r="D15" s="82"/>
      <c r="E15" s="159"/>
      <c r="F15" s="31"/>
      <c r="G15" s="31"/>
      <c r="H15" s="31"/>
    </row>
    <row r="16" ht="30.0" customHeight="1">
      <c r="A16" s="79" t="s">
        <v>289</v>
      </c>
      <c r="B16" s="80">
        <v>72.0</v>
      </c>
      <c r="C16" s="81">
        <v>2.0</v>
      </c>
      <c r="D16" s="82"/>
      <c r="E16" s="159"/>
      <c r="F16" s="31"/>
      <c r="G16" s="31"/>
      <c r="H16" s="31"/>
    </row>
    <row r="17" ht="30.0" customHeight="1">
      <c r="A17" s="79" t="s">
        <v>269</v>
      </c>
      <c r="B17" s="80">
        <v>24.0</v>
      </c>
      <c r="C17" s="81">
        <v>0.0</v>
      </c>
      <c r="D17" s="82"/>
      <c r="E17" s="159"/>
      <c r="F17" s="31"/>
      <c r="G17" s="31"/>
      <c r="H17" s="31"/>
    </row>
    <row r="18" ht="30.0" customHeight="1">
      <c r="A18" s="79" t="s">
        <v>259</v>
      </c>
      <c r="B18" s="80">
        <v>21.0</v>
      </c>
      <c r="C18" s="81">
        <v>1.0</v>
      </c>
      <c r="D18" s="82"/>
      <c r="E18" s="159"/>
      <c r="F18" s="31"/>
      <c r="G18" s="31"/>
      <c r="H18" s="31"/>
    </row>
    <row r="19" ht="30.0" customHeight="1">
      <c r="A19" s="79" t="s">
        <v>290</v>
      </c>
      <c r="B19" s="80">
        <v>19.0</v>
      </c>
      <c r="C19" s="81">
        <v>0.0</v>
      </c>
      <c r="D19" s="82"/>
      <c r="E19" s="159"/>
      <c r="F19" s="31"/>
      <c r="G19" s="31"/>
      <c r="H19" s="31"/>
    </row>
    <row r="20" ht="30.0" customHeight="1">
      <c r="A20" s="79" t="s">
        <v>291</v>
      </c>
      <c r="B20" s="80">
        <v>18.0</v>
      </c>
      <c r="C20" s="81">
        <v>1.0</v>
      </c>
      <c r="D20" s="82"/>
      <c r="E20" s="159"/>
      <c r="F20" s="31"/>
      <c r="G20" s="31"/>
      <c r="H20" s="31"/>
    </row>
    <row r="21" ht="30.0" customHeight="1">
      <c r="A21" s="79" t="s">
        <v>292</v>
      </c>
      <c r="B21" s="80">
        <v>13.0</v>
      </c>
      <c r="C21" s="81">
        <v>1.0</v>
      </c>
      <c r="D21" s="82"/>
      <c r="E21" s="159"/>
      <c r="F21" s="31"/>
      <c r="G21" s="31"/>
      <c r="H21" s="31"/>
    </row>
    <row r="22" ht="30.0" customHeight="1">
      <c r="A22" s="79" t="s">
        <v>294</v>
      </c>
      <c r="B22" s="80">
        <v>3.0</v>
      </c>
      <c r="C22" s="81"/>
      <c r="D22" s="82"/>
      <c r="E22" s="159"/>
      <c r="F22" s="31"/>
      <c r="G22" s="31"/>
      <c r="H22" s="31"/>
    </row>
    <row r="23" ht="30.0" customHeight="1">
      <c r="A23" s="79" t="s">
        <v>295</v>
      </c>
      <c r="B23" s="80">
        <v>2.0</v>
      </c>
      <c r="C23" s="81"/>
      <c r="D23" s="82"/>
      <c r="E23" s="159"/>
      <c r="F23" s="31"/>
      <c r="G23" s="31"/>
      <c r="H23" s="31"/>
    </row>
    <row r="24" ht="30.0" customHeight="1">
      <c r="A24" s="87" t="s">
        <v>58</v>
      </c>
      <c r="B24" s="145">
        <f t="shared" ref="B24:C24" si="2">SUM(B6:B20)</f>
        <v>3196</v>
      </c>
      <c r="C24" s="145">
        <f t="shared" si="2"/>
        <v>33</v>
      </c>
      <c r="D24" s="145">
        <f t="shared" ref="D24:E24" si="3">SUM(D6:D16)</f>
        <v>33</v>
      </c>
      <c r="E24" s="145">
        <f t="shared" si="3"/>
        <v>9</v>
      </c>
      <c r="F24" s="31"/>
      <c r="G24" s="31"/>
      <c r="H24" s="31"/>
    </row>
    <row r="25">
      <c r="A25" s="93"/>
      <c r="B25" s="10"/>
      <c r="C25" s="10"/>
      <c r="D25" s="10"/>
      <c r="E25" s="10"/>
      <c r="F25" s="3"/>
      <c r="G25" s="3"/>
      <c r="H25" s="3"/>
    </row>
    <row r="26">
      <c r="A26" s="91"/>
      <c r="B26" s="92"/>
      <c r="C26" s="10"/>
      <c r="D26" s="10"/>
      <c r="E26" s="10"/>
      <c r="F26" s="3"/>
      <c r="G26" s="3"/>
      <c r="H26" s="3"/>
    </row>
    <row r="27">
      <c r="A27" s="93"/>
      <c r="B27" s="10"/>
      <c r="C27" s="10"/>
      <c r="D27" s="10"/>
      <c r="E27" s="10"/>
      <c r="F27" s="3"/>
      <c r="G27" s="3"/>
      <c r="H27" s="3"/>
    </row>
    <row r="28">
      <c r="A28" s="93"/>
      <c r="B28" s="10"/>
      <c r="C28" s="10"/>
      <c r="D28" s="10"/>
      <c r="E28" s="10"/>
      <c r="F28" s="3"/>
      <c r="G28" s="3"/>
      <c r="H28" s="3"/>
    </row>
  </sheetData>
  <mergeCells count="3">
    <mergeCell ref="A1:E1"/>
    <mergeCell ref="B2:C2"/>
    <mergeCell ref="B3:C3"/>
  </mergeCells>
  <drawing r:id="rId1"/>
  <tableParts count="1">
    <tablePart r:id="rId3"/>
  </tableParts>
</worksheet>
</file>