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ld" sheetId="1" r:id="rId4"/>
    <sheet state="visible" name="USA" sheetId="2" r:id="rId5"/>
    <sheet state="visible" name="Australia" sheetId="3" r:id="rId6"/>
    <sheet state="visible" name="Cruise ships" sheetId="4" r:id="rId7"/>
    <sheet state="visible" name="Canada" sheetId="5" r:id="rId8"/>
    <sheet state="visible" name="China" sheetId="6" r:id="rId9"/>
    <sheet state="visible" name="Notes" sheetId="7" r:id="rId10"/>
    <sheet state="visible" name="NY" sheetId="8" r:id="rId11"/>
    <sheet state="visible" name="Cases" sheetId="11" r:id="rId12"/>
    <sheet state="visible" name="Deaths" sheetId="13" r:id="rId13"/>
    <sheet state="visible" name="América Latina" sheetId="14" r:id="rId1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0">
      <text>
        <t xml:space="preserve">39,730 confirmed or suspected cases in nursing homes</t>
      </text>
    </comment>
    <comment authorId="0" ref="L10">
      <text>
        <t xml:space="preserve">39,730 confirmed or suspected cases in nursing homes</t>
      </text>
    </comment>
    <comment authorId="0" ref="K165">
      <text>
        <t xml:space="preserve">15 cases reported by WHO, checking tomorrow</t>
      </text>
    </comment>
  </commentList>
</comments>
</file>

<file path=xl/sharedStrings.xml><?xml version="1.0" encoding="utf-8"?>
<sst xmlns="http://schemas.openxmlformats.org/spreadsheetml/2006/main" count="965" uniqueCount="438">
  <si>
    <t>Updated throughout the day</t>
  </si>
  <si>
    <t>CASES</t>
  </si>
  <si>
    <t>DEATHS</t>
  </si>
  <si>
    <t>RECOVERED</t>
  </si>
  <si>
    <t>UNRESOLVED</t>
  </si>
  <si>
    <t>UNITED STATES</t>
  </si>
  <si>
    <t>LOCATION</t>
  </si>
  <si>
    <t>Cases</t>
  </si>
  <si>
    <t>AUSTRALIA</t>
  </si>
  <si>
    <t>New cases</t>
  </si>
  <si>
    <t>Deaths</t>
  </si>
  <si>
    <t>New deaths</t>
  </si>
  <si>
    <t>Death rate</t>
  </si>
  <si>
    <t>Serious &amp; Critical</t>
  </si>
  <si>
    <t>Recovered</t>
  </si>
  <si>
    <t>Links</t>
  </si>
  <si>
    <t>New South Wales</t>
  </si>
  <si>
    <t>United States</t>
  </si>
  <si>
    <t>New York</t>
  </si>
  <si>
    <t>Daily</t>
  </si>
  <si>
    <t>New Jersey</t>
  </si>
  <si>
    <t>Victoria</t>
  </si>
  <si>
    <t>Spain</t>
  </si>
  <si>
    <t>Massachusetts</t>
  </si>
  <si>
    <t>Italy</t>
  </si>
  <si>
    <t>Queensland</t>
  </si>
  <si>
    <t>N/A</t>
  </si>
  <si>
    <t>France</t>
  </si>
  <si>
    <t>Michigan</t>
  </si>
  <si>
    <t>Western Australia</t>
  </si>
  <si>
    <t>California</t>
  </si>
  <si>
    <t>Germany</t>
  </si>
  <si>
    <t>Frequent</t>
  </si>
  <si>
    <t>United Kingdom</t>
  </si>
  <si>
    <t>Pennsylvania</t>
  </si>
  <si>
    <t>South Australia</t>
  </si>
  <si>
    <t>Illinois</t>
  </si>
  <si>
    <t>China</t>
  </si>
  <si>
    <t>Tasmania</t>
  </si>
  <si>
    <t>Florida</t>
  </si>
  <si>
    <t>At least 2</t>
  </si>
  <si>
    <t>Louisiana</t>
  </si>
  <si>
    <t>Iran</t>
  </si>
  <si>
    <t>Canberra (ACT)</t>
  </si>
  <si>
    <t>Texas</t>
  </si>
  <si>
    <t>Turkey</t>
  </si>
  <si>
    <t>Northern Territory</t>
  </si>
  <si>
    <t>Daily + media</t>
  </si>
  <si>
    <t>Georgia</t>
  </si>
  <si>
    <t>Belgium</t>
  </si>
  <si>
    <t>External territories</t>
  </si>
  <si>
    <t>Connecticut</t>
  </si>
  <si>
    <t>Brazil</t>
  </si>
  <si>
    <t>-</t>
  </si>
  <si>
    <t>Washington</t>
  </si>
  <si>
    <t>Netherlands</t>
  </si>
  <si>
    <t>Jervis Bay</t>
  </si>
  <si>
    <t>Canada</t>
  </si>
  <si>
    <t>Maryland</t>
  </si>
  <si>
    <t>Indiana</t>
  </si>
  <si>
    <t>Switzerland</t>
  </si>
  <si>
    <t>TOTAL</t>
  </si>
  <si>
    <t>Colorado</t>
  </si>
  <si>
    <t>Russia</t>
  </si>
  <si>
    <t>Ohio</t>
  </si>
  <si>
    <t>Portugal</t>
  </si>
  <si>
    <t>Virginia</t>
  </si>
  <si>
    <t>Austria</t>
  </si>
  <si>
    <t>Throughout</t>
  </si>
  <si>
    <t>Tennessee</t>
  </si>
  <si>
    <t>Ireland</t>
  </si>
  <si>
    <t>North Carolina</t>
  </si>
  <si>
    <t>Israel</t>
  </si>
  <si>
    <t>Missouri</t>
  </si>
  <si>
    <t>2 times</t>
  </si>
  <si>
    <t>India</t>
  </si>
  <si>
    <t>U.S. military</t>
  </si>
  <si>
    <t>Sweden</t>
  </si>
  <si>
    <t>Daily (M-F)</t>
  </si>
  <si>
    <t>Alabama</t>
  </si>
  <si>
    <t>Arizona</t>
  </si>
  <si>
    <t>Peru</t>
  </si>
  <si>
    <t>Wisconsin</t>
  </si>
  <si>
    <t>South Korea</t>
  </si>
  <si>
    <t>South Carolina</t>
  </si>
  <si>
    <t>Japan</t>
  </si>
  <si>
    <t>Rhode Island</t>
  </si>
  <si>
    <t>Mississippi</t>
  </si>
  <si>
    <t>Chile</t>
  </si>
  <si>
    <t>Nevada</t>
  </si>
  <si>
    <t>CRUISE SHIPS</t>
  </si>
  <si>
    <t>Ecuador</t>
  </si>
  <si>
    <t>On board</t>
  </si>
  <si>
    <t>Infection rate</t>
  </si>
  <si>
    <t>X</t>
  </si>
  <si>
    <t>Utah</t>
  </si>
  <si>
    <t>Poland</t>
  </si>
  <si>
    <t>Greg Mortimer</t>
  </si>
  <si>
    <t>Kentucky</t>
  </si>
  <si>
    <t>Romania</t>
  </si>
  <si>
    <t>Oklahoma</t>
  </si>
  <si>
    <t>Daily + deaths</t>
  </si>
  <si>
    <t>Denmark</t>
  </si>
  <si>
    <t>Zaandam</t>
  </si>
  <si>
    <t>?</t>
  </si>
  <si>
    <t>District of Columbia</t>
  </si>
  <si>
    <t>Norway</t>
  </si>
  <si>
    <t>Costa Favolosa</t>
  </si>
  <si>
    <t>Delaware</t>
  </si>
  <si>
    <t>Australia</t>
  </si>
  <si>
    <t>Source</t>
  </si>
  <si>
    <t>Iowa</t>
  </si>
  <si>
    <t>Pakistan</t>
  </si>
  <si>
    <t>Minnesota</t>
  </si>
  <si>
    <t>Any time</t>
  </si>
  <si>
    <t>Czech Republic</t>
  </si>
  <si>
    <t>Oregon</t>
  </si>
  <si>
    <t>At least 3</t>
  </si>
  <si>
    <t>Saudi Arabia</t>
  </si>
  <si>
    <t>Arkansas</t>
  </si>
  <si>
    <t>3 times/day</t>
  </si>
  <si>
    <t>Mexico</t>
  </si>
  <si>
    <t>Kansas</t>
  </si>
  <si>
    <t>Philippines</t>
  </si>
  <si>
    <t>New Mexico</t>
  </si>
  <si>
    <t>United Arab Emirates</t>
  </si>
  <si>
    <t>Idaho</t>
  </si>
  <si>
    <t>Indonesia</t>
  </si>
  <si>
    <t>Possibly 2?</t>
  </si>
  <si>
    <t>South Dakota</t>
  </si>
  <si>
    <t>Malaysia</t>
  </si>
  <si>
    <t>New Hampshire</t>
  </si>
  <si>
    <t>Serbia</t>
  </si>
  <si>
    <t>Puerto Rico</t>
  </si>
  <si>
    <t>Ukraine</t>
  </si>
  <si>
    <t>Panama</t>
  </si>
  <si>
    <t>Nebraska</t>
  </si>
  <si>
    <t>Belarus</t>
  </si>
  <si>
    <t>Maine</t>
  </si>
  <si>
    <t>Qatar</t>
  </si>
  <si>
    <t>Vermont</t>
  </si>
  <si>
    <t>Singapore</t>
  </si>
  <si>
    <t>West Virginia</t>
  </si>
  <si>
    <t>Dominican Republic</t>
  </si>
  <si>
    <t>Federal prisons</t>
  </si>
  <si>
    <t>Luxembourg</t>
  </si>
  <si>
    <t>Hawaii</t>
  </si>
  <si>
    <t>CANADA</t>
  </si>
  <si>
    <t>Finland</t>
  </si>
  <si>
    <t>Montana</t>
  </si>
  <si>
    <t>Quebec</t>
  </si>
  <si>
    <t>Twice a day</t>
  </si>
  <si>
    <t>Wyoming</t>
  </si>
  <si>
    <t>Colombia</t>
  </si>
  <si>
    <t>North Dakota</t>
  </si>
  <si>
    <t>Thailand</t>
  </si>
  <si>
    <t>Ontario</t>
  </si>
  <si>
    <t>South Africa</t>
  </si>
  <si>
    <t>Alaska</t>
  </si>
  <si>
    <t>Alberta</t>
  </si>
  <si>
    <t>Guam</t>
  </si>
  <si>
    <t>Egypt</t>
  </si>
  <si>
    <t>British Columbia</t>
  </si>
  <si>
    <t>Grand Princess</t>
  </si>
  <si>
    <t>Argentina</t>
  </si>
  <si>
    <t>Nova Scotia</t>
  </si>
  <si>
    <t>U.S. Virgin Islands</t>
  </si>
  <si>
    <t>Greece</t>
  </si>
  <si>
    <t>Diamond Princess (repatriated)</t>
  </si>
  <si>
    <t>Saskatchewan</t>
  </si>
  <si>
    <t>Algeria</t>
  </si>
  <si>
    <t>Northern Mariana Islands</t>
  </si>
  <si>
    <t>Moldova</t>
  </si>
  <si>
    <t>Manitoba</t>
  </si>
  <si>
    <t>Wuhan (repatriated)</t>
  </si>
  <si>
    <t>Morocco</t>
  </si>
  <si>
    <t>Newfoundland &amp; Labrador</t>
  </si>
  <si>
    <t>Croatia</t>
  </si>
  <si>
    <t>American Samoa</t>
  </si>
  <si>
    <t>New Brunswick</t>
  </si>
  <si>
    <t>Iceland</t>
  </si>
  <si>
    <t>ICE/TSA/CBP</t>
  </si>
  <si>
    <t>Prince Edward Island</t>
  </si>
  <si>
    <t>Bahrain</t>
  </si>
  <si>
    <t>U.S. TOTAL</t>
  </si>
  <si>
    <t>Repatriated travellers</t>
  </si>
  <si>
    <t>Hungary</t>
  </si>
  <si>
    <t>Yukon</t>
  </si>
  <si>
    <t>Iraq</t>
  </si>
  <si>
    <t>Northwest Territories</t>
  </si>
  <si>
    <t>Kuwait</t>
  </si>
  <si>
    <t>% of deaths</t>
  </si>
  <si>
    <t>Nunavut</t>
  </si>
  <si>
    <t>Estonia</t>
  </si>
  <si>
    <t>New Zealand</t>
  </si>
  <si>
    <t>Uzbekistan</t>
  </si>
  <si>
    <t>2 or 3</t>
  </si>
  <si>
    <t>Kazakhstan</t>
  </si>
  <si>
    <t>Several</t>
  </si>
  <si>
    <t>Azerbaijan</t>
  </si>
  <si>
    <t>ACTIVE CASES</t>
  </si>
  <si>
    <t>Slovenia</t>
  </si>
  <si>
    <t>MAINLAND CHINA</t>
  </si>
  <si>
    <t>Bangladesh</t>
  </si>
  <si>
    <t>Serious</t>
  </si>
  <si>
    <t>Critical</t>
  </si>
  <si>
    <t>Hubei province (includes Wuhan)</t>
  </si>
  <si>
    <t>Armenia</t>
  </si>
  <si>
    <t>Bosnia</t>
  </si>
  <si>
    <t>Guangdong province</t>
  </si>
  <si>
    <t>Lithuania</t>
  </si>
  <si>
    <t>Disputed territories</t>
  </si>
  <si>
    <t>Hong Kong</t>
  </si>
  <si>
    <t>Henan province</t>
  </si>
  <si>
    <t>Zhejiang province</t>
  </si>
  <si>
    <t>North Macedonia</t>
  </si>
  <si>
    <t>Donetsk People’s Republic</t>
  </si>
  <si>
    <t>Hunan province</t>
  </si>
  <si>
    <t>Beijing</t>
  </si>
  <si>
    <t>Adams</t>
  </si>
  <si>
    <t>Oman</t>
  </si>
  <si>
    <t>Shanghai</t>
  </si>
  <si>
    <t>Luhansk People's Republic</t>
  </si>
  <si>
    <t>Other regions/TBD</t>
  </si>
  <si>
    <t>&lt;45</t>
  </si>
  <si>
    <t>Slovakia</t>
  </si>
  <si>
    <t>Asotin</t>
  </si>
  <si>
    <t>Asymptomatic</t>
  </si>
  <si>
    <t>Abkhazia</t>
  </si>
  <si>
    <t>Benton</t>
  </si>
  <si>
    <t>Cameroon</t>
  </si>
  <si>
    <t>Cuba</t>
  </si>
  <si>
    <t>Republic of Artsakh (AKA Nagorno-Karabakh)</t>
  </si>
  <si>
    <t>Chelan</t>
  </si>
  <si>
    <t>Afghanistan</t>
  </si>
  <si>
    <t>Clallam</t>
  </si>
  <si>
    <t>Clark</t>
  </si>
  <si>
    <t>To check for inclusion</t>
  </si>
  <si>
    <t>Tunisia</t>
  </si>
  <si>
    <t>Columbia</t>
  </si>
  <si>
    <t>Reunion</t>
  </si>
  <si>
    <t>Cowlitz</t>
  </si>
  <si>
    <t>Bulgaria</t>
  </si>
  <si>
    <t>Saint Pierre and Miquelon</t>
  </si>
  <si>
    <t>Douglas</t>
  </si>
  <si>
    <t>Guantanamo</t>
  </si>
  <si>
    <t>Diamond Princess</t>
  </si>
  <si>
    <t>Ferry</t>
  </si>
  <si>
    <t>Sint Eustatius</t>
  </si>
  <si>
    <t>The Bronx</t>
  </si>
  <si>
    <t>Cyprus</t>
  </si>
  <si>
    <t>Brooklyn/Kings</t>
  </si>
  <si>
    <t>Manhattan</t>
  </si>
  <si>
    <t>Franklin</t>
  </si>
  <si>
    <t>Queens</t>
  </si>
  <si>
    <t>Staten Island/Richmond</t>
  </si>
  <si>
    <t>Somaliland</t>
  </si>
  <si>
    <t>Total</t>
  </si>
  <si>
    <t>Andorra</t>
  </si>
  <si>
    <t>Garfield</t>
  </si>
  <si>
    <t>São Tomé and Príncipe</t>
  </si>
  <si>
    <t>Grant</t>
  </si>
  <si>
    <t>Latvia</t>
  </si>
  <si>
    <t>Åland Islands</t>
  </si>
  <si>
    <t>Grays Harbor</t>
  </si>
  <si>
    <t>Akrotiri and Dhekelia</t>
  </si>
  <si>
    <t>Island</t>
  </si>
  <si>
    <t>Lebanon</t>
  </si>
  <si>
    <t>Saint Martin</t>
  </si>
  <si>
    <t>Jefferson</t>
  </si>
  <si>
    <t>French Guiana</t>
  </si>
  <si>
    <t>King</t>
  </si>
  <si>
    <t>Ivory Coast</t>
  </si>
  <si>
    <t>Guadeloupe</t>
  </si>
  <si>
    <t>Kitsap</t>
  </si>
  <si>
    <t>Martinique</t>
  </si>
  <si>
    <t>Kittitas</t>
  </si>
  <si>
    <t>Ghana</t>
  </si>
  <si>
    <t>Mayotte</t>
  </si>
  <si>
    <t>Klickitat</t>
  </si>
  <si>
    <t>Costa Rica</t>
  </si>
  <si>
    <t>Navajo Nation</t>
  </si>
  <si>
    <t>Lewis</t>
  </si>
  <si>
    <t>Niger</t>
  </si>
  <si>
    <t>Indian Country</t>
  </si>
  <si>
    <t>Lincoln</t>
  </si>
  <si>
    <t>Mason</t>
  </si>
  <si>
    <t>Okanogan</t>
  </si>
  <si>
    <t>Calculating recoveries for</t>
  </si>
  <si>
    <t>Uruguay</t>
  </si>
  <si>
    <t>Find old totals</t>
  </si>
  <si>
    <t>Pacific</t>
  </si>
  <si>
    <t>Pend Oreille</t>
  </si>
  <si>
    <t>Pierce</t>
  </si>
  <si>
    <t>Burkina Faso</t>
  </si>
  <si>
    <t>San Juan</t>
  </si>
  <si>
    <t>Skagit</t>
  </si>
  <si>
    <t>Skamania</t>
  </si>
  <si>
    <t>Albania</t>
  </si>
  <si>
    <t>Snohomish</t>
  </si>
  <si>
    <t>Spokane</t>
  </si>
  <si>
    <t>Stevens</t>
  </si>
  <si>
    <t>Last checked</t>
  </si>
  <si>
    <t>Kyrgyzstan</t>
  </si>
  <si>
    <t>April 7 for March 24</t>
  </si>
  <si>
    <t>Thurston</t>
  </si>
  <si>
    <t>Wahkiakum</t>
  </si>
  <si>
    <t>Walla Walla</t>
  </si>
  <si>
    <t>Whatcom</t>
  </si>
  <si>
    <t>Whitman</t>
  </si>
  <si>
    <t>Honduras</t>
  </si>
  <si>
    <t>Yakima</t>
  </si>
  <si>
    <t>Unassigned</t>
  </si>
  <si>
    <t>Nigeria</t>
  </si>
  <si>
    <t>Malta</t>
  </si>
  <si>
    <t>NYC confirmed</t>
  </si>
  <si>
    <t>Bolivia</t>
  </si>
  <si>
    <t>NYC probable</t>
  </si>
  <si>
    <t>Outside NYC</t>
  </si>
  <si>
    <t>Total New York</t>
  </si>
  <si>
    <t>Jordan</t>
  </si>
  <si>
    <t>Taiwan</t>
  </si>
  <si>
    <t>San Marino</t>
  </si>
  <si>
    <t>Kosovo</t>
  </si>
  <si>
    <t>Djibouti</t>
  </si>
  <si>
    <t>Guinea</t>
  </si>
  <si>
    <t>Mauritius</t>
  </si>
  <si>
    <t>Senegal</t>
  </si>
  <si>
    <t>Palestine</t>
  </si>
  <si>
    <t>Montenegro</t>
  </si>
  <si>
    <t>Vietnam</t>
  </si>
  <si>
    <t>Isle of Man</t>
  </si>
  <si>
    <t>DR Congo</t>
  </si>
  <si>
    <t>2 a day</t>
  </si>
  <si>
    <t>Sri Lanka</t>
  </si>
  <si>
    <t>Guernsey</t>
  </si>
  <si>
    <t>Jersey</t>
  </si>
  <si>
    <t>Kenya</t>
  </si>
  <si>
    <t>Venezuela</t>
  </si>
  <si>
    <t>Guatemala</t>
  </si>
  <si>
    <t>Paraguay</t>
  </si>
  <si>
    <t>A Marzo 21</t>
  </si>
  <si>
    <t>CASOS</t>
  </si>
  <si>
    <t>MUERTES</t>
  </si>
  <si>
    <t>RECUPERADOS</t>
  </si>
  <si>
    <t>El Salvador</t>
  </si>
  <si>
    <t>Mundo Hispano</t>
  </si>
  <si>
    <t>Casos</t>
  </si>
  <si>
    <t>Muertes</t>
  </si>
  <si>
    <t>Serios</t>
  </si>
  <si>
    <t>Recuperados</t>
  </si>
  <si>
    <t>Brasil</t>
  </si>
  <si>
    <t>Mali</t>
  </si>
  <si>
    <t>Brunei</t>
  </si>
  <si>
    <t>México</t>
  </si>
  <si>
    <t>Panamá</t>
  </si>
  <si>
    <t>Rwanda</t>
  </si>
  <si>
    <t>Rep. Dominicana</t>
  </si>
  <si>
    <t>Gibraltar</t>
  </si>
  <si>
    <t>Jamaica</t>
  </si>
  <si>
    <t>Nicaragua</t>
  </si>
  <si>
    <t>Cambodia</t>
  </si>
  <si>
    <t>Trinidad and Tobago</t>
  </si>
  <si>
    <t>Madagascar</t>
  </si>
  <si>
    <t>Northern Cyprus</t>
  </si>
  <si>
    <t>Monaco</t>
  </si>
  <si>
    <t>Aruba</t>
  </si>
  <si>
    <t>Ethiopia</t>
  </si>
  <si>
    <t>Gabon</t>
  </si>
  <si>
    <t>Liechtenstein</t>
  </si>
  <si>
    <t>Togo</t>
  </si>
  <si>
    <t>1 or 2</t>
  </si>
  <si>
    <t>Congo Republic</t>
  </si>
  <si>
    <t>Barbados</t>
  </si>
  <si>
    <t>Myanmar</t>
  </si>
  <si>
    <t>Somalia</t>
  </si>
  <si>
    <t>Liberia</t>
  </si>
  <si>
    <t>Bermuda</t>
  </si>
  <si>
    <t>French Polynesia</t>
  </si>
  <si>
    <t>Uganda</t>
  </si>
  <si>
    <t>Cayman Islands</t>
  </si>
  <si>
    <t>Tanzania</t>
  </si>
  <si>
    <t>Bahamas</t>
  </si>
  <si>
    <t>Sint Maarten</t>
  </si>
  <si>
    <t>Guyana</t>
  </si>
  <si>
    <t>Macau</t>
  </si>
  <si>
    <t>Zambia</t>
  </si>
  <si>
    <t>Guinea-Bissau</t>
  </si>
  <si>
    <t>Equatorial Guinea</t>
  </si>
  <si>
    <t>Haiti</t>
  </si>
  <si>
    <t>Benin</t>
  </si>
  <si>
    <t>Eritrea</t>
  </si>
  <si>
    <t>Syria</t>
  </si>
  <si>
    <t>Sudan</t>
  </si>
  <si>
    <t>Mongolia</t>
  </si>
  <si>
    <t>Mozambique</t>
  </si>
  <si>
    <t>Libya</t>
  </si>
  <si>
    <t>Antigua and Barbuda</t>
  </si>
  <si>
    <t>Chad</t>
  </si>
  <si>
    <t>Maldives</t>
  </si>
  <si>
    <t>Angola</t>
  </si>
  <si>
    <t>Malawi</t>
  </si>
  <si>
    <t>Laos</t>
  </si>
  <si>
    <t>Zimbabwe</t>
  </si>
  <si>
    <t>Belize</t>
  </si>
  <si>
    <t>New Caledonia</t>
  </si>
  <si>
    <t>Namibia</t>
  </si>
  <si>
    <t>Fiji</t>
  </si>
  <si>
    <t>Nepal</t>
  </si>
  <si>
    <t>Saint Lucia</t>
  </si>
  <si>
    <t>Eswatini</t>
  </si>
  <si>
    <t>Curaçao</t>
  </si>
  <si>
    <t>Grenada</t>
  </si>
  <si>
    <t>Botswana</t>
  </si>
  <si>
    <t>Saint Vincent and the Grenadines</t>
  </si>
  <si>
    <t>St. Kitts and Nevis</t>
  </si>
  <si>
    <t>Cape Verde</t>
  </si>
  <si>
    <t>Greenland</t>
  </si>
  <si>
    <t>Seychelles</t>
  </si>
  <si>
    <t>Central African Republic</t>
  </si>
  <si>
    <t>Falkland Islands</t>
  </si>
  <si>
    <t>Montserrat</t>
  </si>
  <si>
    <t>Sierra Leone</t>
  </si>
  <si>
    <t>Suriname</t>
  </si>
  <si>
    <t>Turks and Caicos Islands</t>
  </si>
  <si>
    <t>The Gambia</t>
  </si>
  <si>
    <t>Vatican City</t>
  </si>
  <si>
    <t>Mauritania</t>
  </si>
  <si>
    <t>St. Barthélemy</t>
  </si>
  <si>
    <t>Timor-Leste</t>
  </si>
  <si>
    <t>Burundi</t>
  </si>
  <si>
    <t>Bhutan</t>
  </si>
  <si>
    <t>South Sudan</t>
  </si>
  <si>
    <t>British Virgin Islands</t>
  </si>
  <si>
    <t>Anguilla</t>
  </si>
  <si>
    <t>Papua New Guinea</t>
  </si>
  <si>
    <t>Yemen</t>
  </si>
  <si>
    <t>TBD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</si>
</sst>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45">
    <font>
      <sz val="10.0"/>
      <color rgb="FF000000"/>
      <name val="Arial"/>
    </font>
    <font>
      <b/>
      <i/>
      <sz val="11.0"/>
      <color rgb="FF000000"/>
      <name val="Arial"/>
    </font>
    <font>
      <b/>
      <i/>
      <sz val="12.0"/>
      <color rgb="FF000000"/>
      <name val="Roboto"/>
    </font>
    <font>
      <sz val="11.0"/>
      <color theme="1"/>
      <name val="Arial"/>
    </font>
    <font>
      <b/>
      <sz val="13.0"/>
      <color rgb="FF000000"/>
      <name val="Roboto"/>
    </font>
    <font>
      <b/>
      <sz val="13.0"/>
      <color theme="1"/>
      <name val="Roboto"/>
    </font>
    <font>
      <b/>
      <sz val="11.0"/>
      <color theme="1"/>
      <name val="Roboto"/>
    </font>
    <font>
      <b/>
      <sz val="11.0"/>
      <color rgb="FF000000"/>
      <name val="Roboto"/>
    </font>
    <font>
      <b/>
      <sz val="13.0"/>
      <color rgb="FF000000"/>
      <name val="Docs-Roboto"/>
    </font>
    <font>
      <b/>
      <sz val="13.0"/>
      <color rgb="FFFF0000"/>
      <name val="Roboto"/>
    </font>
    <font>
      <b/>
      <sz val="13.0"/>
      <color rgb="FF6AA84F"/>
      <name val="Roboto"/>
    </font>
    <font>
      <b/>
      <sz val="13.0"/>
      <color rgb="FFE69138"/>
      <name val="Roboto"/>
    </font>
    <font>
      <sz val="11.0"/>
      <color rgb="FF000000"/>
      <name val="Roboto"/>
    </font>
    <font>
      <u/>
      <sz val="11.0"/>
      <color rgb="FF0A0A0A"/>
      <name val="Roboto"/>
    </font>
    <font>
      <u/>
      <sz val="11.0"/>
      <color rgb="FF0A0A0A"/>
      <name val="Roboto"/>
    </font>
    <font>
      <u/>
      <sz val="11.0"/>
      <color rgb="FF0A0A0A"/>
      <name val="Roboto"/>
    </font>
    <font>
      <sz val="11.0"/>
      <color rgb="FFFFFFFF"/>
      <name val="Arial"/>
    </font>
    <font>
      <u/>
      <sz val="11.0"/>
      <color rgb="FF0A0A0A"/>
      <name val="Roboto"/>
    </font>
    <font>
      <sz val="11.0"/>
      <color rgb="FF0A0A0A"/>
      <name val="Roboto"/>
    </font>
    <font>
      <b/>
      <sz val="11.0"/>
      <color rgb="FFFF0000"/>
      <name val="Roboto"/>
    </font>
    <font>
      <b/>
      <sz val="11.0"/>
      <color rgb="FFFF0000"/>
      <name val="Arial"/>
    </font>
    <font>
      <sz val="11.0"/>
      <color rgb="FF999999"/>
      <name val="Arial"/>
    </font>
    <font>
      <b/>
      <i/>
      <sz val="11.0"/>
      <color rgb="FF000000"/>
      <name val="Roboto"/>
    </font>
    <font>
      <sz val="11.0"/>
      <color rgb="FF666666"/>
      <name val="Arial"/>
    </font>
    <font>
      <u/>
      <sz val="11.0"/>
      <color rgb="FF0000FF"/>
    </font>
    <font>
      <sz val="11.0"/>
      <color rgb="FFFFFFFF"/>
      <name val="Roboto"/>
    </font>
    <font>
      <sz val="11.0"/>
      <color rgb="FF000000"/>
      <name val="Arial"/>
    </font>
    <font>
      <b/>
      <sz val="11.0"/>
      <color rgb="FF38761D"/>
      <name val="Roboto"/>
    </font>
    <font>
      <u/>
      <sz val="11.0"/>
      <color rgb="FF0A0A0A"/>
      <name val="Roboto"/>
    </font>
    <font>
      <b/>
      <sz val="11.0"/>
      <color theme="1"/>
      <name val="Arial"/>
    </font>
    <font>
      <u/>
      <sz val="11.0"/>
      <color rgb="FF0A0A0A"/>
      <name val="Roboto"/>
    </font>
    <font>
      <color theme="1"/>
      <name val="Arial"/>
    </font>
    <font>
      <u/>
      <sz val="11.0"/>
      <color rgb="FF0A0A0A"/>
      <name val="Roboto"/>
    </font>
    <font>
      <u/>
      <sz val="11.0"/>
      <color rgb="FF1155CC"/>
      <name val="Arial"/>
    </font>
    <font>
      <u/>
      <sz val="11.0"/>
      <color rgb="FF1155CC"/>
      <name val="Arial"/>
    </font>
    <font>
      <u/>
      <sz val="11.0"/>
      <color rgb="FF1155CC"/>
      <name val="Arial"/>
    </font>
    <font>
      <u/>
      <sz val="11.0"/>
      <color rgb="FF1155CC"/>
      <name val="Arial"/>
    </font>
    <font>
      <u/>
      <sz val="11.0"/>
      <color rgb="FF1155CC"/>
      <name val="Arial"/>
    </font>
    <font>
      <u/>
      <sz val="11.0"/>
      <color rgb="FF1155CC"/>
      <name val="Arial"/>
    </font>
    <font>
      <u/>
      <color rgb="FF0000FF"/>
      <name val="Arial"/>
    </font>
    <font>
      <u/>
      <color rgb="FF0000FF"/>
      <name val="Arial"/>
    </font>
    <font>
      <u/>
      <color rgb="FF1155CC"/>
      <name val="Arial"/>
    </font>
    <font>
      <sz val="19.0"/>
      <color rgb="FF333333"/>
      <name val="Arial"/>
    </font>
    <font>
      <b/>
      <color theme="1"/>
      <name val="Arial"/>
    </font>
    <font>
      <u/>
      <sz val="11.0"/>
      <color rgb="FF000000"/>
      <name val="Roboto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  <fill>
      <patternFill patternType="solid">
        <fgColor rgb="FFD9EAD3"/>
        <bgColor rgb="FFD9EAD3"/>
      </patternFill>
    </fill>
    <fill>
      <patternFill patternType="solid">
        <fgColor rgb="FF999999"/>
        <bgColor rgb="FF999999"/>
      </patternFill>
    </fill>
    <fill>
      <patternFill patternType="solid">
        <fgColor rgb="FFFF9900"/>
        <bgColor rgb="FFFF9900"/>
      </patternFill>
    </fill>
    <fill>
      <patternFill patternType="solid">
        <fgColor rgb="FF980000"/>
        <bgColor rgb="FF980000"/>
      </patternFill>
    </fill>
  </fills>
  <borders count="5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2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top"/>
    </xf>
    <xf borderId="0" fillId="0" fontId="2" numFmtId="0" xfId="0" applyAlignment="1" applyFont="1">
      <alignment horizontal="left" readingOrder="0" vertical="bottom"/>
    </xf>
    <xf borderId="0" fillId="0" fontId="3" numFmtId="0" xfId="0" applyFont="1"/>
    <xf borderId="0" fillId="0" fontId="4" numFmtId="0" xfId="0" applyAlignment="1" applyFont="1">
      <alignment horizontal="left" readingOrder="0" vertical="bottom"/>
    </xf>
    <xf borderId="0" fillId="0" fontId="5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0" fontId="5" numFmtId="0" xfId="0" applyAlignment="1" applyFont="1">
      <alignment horizontal="left" readingOrder="0" vertical="bottom"/>
    </xf>
    <xf borderId="0" fillId="2" fontId="3" numFmtId="0" xfId="0" applyFill="1" applyFont="1"/>
    <xf borderId="0" fillId="0" fontId="3" numFmtId="0" xfId="0" applyAlignment="1" applyFont="1">
      <alignment horizontal="center"/>
    </xf>
    <xf borderId="0" fillId="2" fontId="3" numFmtId="0" xfId="0" applyAlignment="1" applyFont="1">
      <alignment horizontal="center"/>
    </xf>
    <xf borderId="0" fillId="2" fontId="8" numFmtId="0" xfId="0" applyAlignment="1" applyFont="1">
      <alignment horizontal="left" readingOrder="0"/>
    </xf>
    <xf borderId="0" fillId="0" fontId="9" numFmtId="3" xfId="0" applyAlignment="1" applyFont="1" applyNumberFormat="1">
      <alignment horizontal="left" vertical="bottom"/>
    </xf>
    <xf borderId="0" fillId="0" fontId="10" numFmtId="3" xfId="0" applyAlignment="1" applyFont="1" applyNumberFormat="1">
      <alignment horizontal="left" vertical="bottom"/>
    </xf>
    <xf borderId="0" fillId="2" fontId="9" numFmtId="3" xfId="0" applyAlignment="1" applyFont="1" applyNumberFormat="1">
      <alignment horizontal="left"/>
    </xf>
    <xf borderId="0" fillId="0" fontId="11" numFmtId="3" xfId="0" applyAlignment="1" applyFont="1" applyNumberFormat="1">
      <alignment horizontal="center" vertical="bottom"/>
    </xf>
    <xf borderId="0" fillId="0" fontId="11" numFmtId="3" xfId="0" applyAlignment="1" applyFont="1" applyNumberFormat="1">
      <alignment horizontal="left" shrinkToFit="0" vertical="bottom" wrapText="0"/>
    </xf>
    <xf borderId="0" fillId="0" fontId="7" numFmtId="0" xfId="0" applyAlignment="1" applyFont="1">
      <alignment horizontal="left" readingOrder="0"/>
    </xf>
    <xf borderId="0" fillId="2" fontId="9" numFmtId="0" xfId="0" applyAlignment="1" applyFont="1">
      <alignment horizontal="left"/>
    </xf>
    <xf borderId="0" fillId="0" fontId="3" numFmtId="0" xfId="0" applyAlignment="1" applyFont="1">
      <alignment readingOrder="0"/>
    </xf>
    <xf borderId="1" fillId="3" fontId="7" numFmtId="0" xfId="0" applyAlignment="1" applyBorder="1" applyFill="1" applyFont="1">
      <alignment horizontal="left" readingOrder="0" shrinkToFit="0" vertical="center" wrapText="1"/>
    </xf>
    <xf borderId="1" fillId="0" fontId="7" numFmtId="0" xfId="0" applyAlignment="1" applyBorder="1" applyFont="1">
      <alignment horizontal="left" readingOrder="0" shrinkToFit="0" vertical="center" wrapText="1"/>
    </xf>
    <xf borderId="1" fillId="3" fontId="7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1" fillId="3" fontId="6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left" readingOrder="0" vertical="center"/>
    </xf>
    <xf borderId="0" fillId="2" fontId="3" numFmtId="0" xfId="0" applyAlignment="1" applyFont="1">
      <alignment vertical="center"/>
    </xf>
    <xf borderId="0" fillId="2" fontId="3" numFmtId="0" xfId="0" applyAlignment="1" applyFont="1">
      <alignment horizontal="center" vertical="center"/>
    </xf>
    <xf borderId="0" fillId="0" fontId="3" numFmtId="0" xfId="0" applyAlignment="1" applyFont="1">
      <alignment vertical="center"/>
    </xf>
    <xf borderId="0" fillId="0" fontId="3" numFmtId="0" xfId="0" applyAlignment="1" applyFont="1">
      <alignment readingOrder="0" vertical="center"/>
    </xf>
    <xf borderId="1" fillId="0" fontId="12" numFmtId="0" xfId="0" applyAlignment="1" applyBorder="1" applyFont="1">
      <alignment horizontal="left" readingOrder="0" shrinkToFit="0" vertical="center" wrapText="1"/>
    </xf>
    <xf borderId="1" fillId="4" fontId="12" numFmtId="0" xfId="0" applyAlignment="1" applyBorder="1" applyFill="1" applyFont="1">
      <alignment horizontal="left" readingOrder="0" shrinkToFit="0" vertical="center" wrapText="1"/>
    </xf>
    <xf borderId="1" fillId="0" fontId="12" numFmtId="3" xfId="0" applyAlignment="1" applyBorder="1" applyFont="1" applyNumberFormat="1">
      <alignment horizontal="center" readingOrder="0" shrinkToFit="0" vertical="center" wrapText="1"/>
    </xf>
    <xf borderId="1" fillId="4" fontId="12" numFmtId="3" xfId="0" applyAlignment="1" applyBorder="1" applyFont="1" applyNumberFormat="1">
      <alignment horizontal="center" readingOrder="0" shrinkToFit="0" vertical="center" wrapText="1"/>
    </xf>
    <xf borderId="1" fillId="0" fontId="12" numFmtId="0" xfId="0" applyAlignment="1" applyBorder="1" applyFont="1">
      <alignment horizontal="left" readingOrder="0" shrinkToFit="0" vertical="center" wrapText="1"/>
    </xf>
    <xf borderId="1" fillId="5" fontId="12" numFmtId="3" xfId="0" applyAlignment="1" applyBorder="1" applyFill="1" applyFont="1" applyNumberFormat="1">
      <alignment horizontal="center" readingOrder="0" shrinkToFit="0" vertical="center" wrapText="1"/>
    </xf>
    <xf borderId="1" fillId="0" fontId="12" numFmtId="3" xfId="0" applyAlignment="1" applyBorder="1" applyFont="1" applyNumberFormat="1">
      <alignment horizontal="center" readingOrder="0" vertical="center"/>
    </xf>
    <xf borderId="1" fillId="6" fontId="12" numFmtId="3" xfId="0" applyAlignment="1" applyBorder="1" applyFill="1" applyFont="1" applyNumberFormat="1">
      <alignment horizontal="center" readingOrder="0" shrinkToFit="0" vertical="center" wrapText="1"/>
    </xf>
    <xf borderId="1" fillId="7" fontId="12" numFmtId="3" xfId="0" applyAlignment="1" applyBorder="1" applyFill="1" applyFont="1" applyNumberFormat="1">
      <alignment horizontal="center" readingOrder="0" vertical="center"/>
    </xf>
    <xf borderId="1" fillId="2" fontId="3" numFmtId="10" xfId="0" applyAlignment="1" applyBorder="1" applyFont="1" applyNumberFormat="1">
      <alignment horizontal="center" readingOrder="0" vertical="center"/>
    </xf>
    <xf borderId="1" fillId="4" fontId="3" numFmtId="3" xfId="0" applyAlignment="1" applyBorder="1" applyFont="1" applyNumberFormat="1">
      <alignment horizontal="center" readingOrder="0" shrinkToFit="0" vertical="center" wrapText="1"/>
    </xf>
    <xf borderId="1" fillId="0" fontId="3" numFmtId="3" xfId="0" applyAlignment="1" applyBorder="1" applyFont="1" applyNumberFormat="1">
      <alignment horizontal="center" readingOrder="0" shrinkToFit="0" vertical="center" wrapText="1"/>
    </xf>
    <xf borderId="1" fillId="6" fontId="3" numFmtId="3" xfId="0" applyAlignment="1" applyBorder="1" applyFont="1" applyNumberFormat="1">
      <alignment horizontal="center" readingOrder="0" vertical="center"/>
    </xf>
    <xf borderId="1" fillId="4" fontId="13" numFmtId="0" xfId="0" applyAlignment="1" applyBorder="1" applyFont="1">
      <alignment horizontal="center" readingOrder="0" shrinkToFit="0" vertical="center" wrapText="1"/>
    </xf>
    <xf borderId="0" fillId="8" fontId="3" numFmtId="0" xfId="0" applyAlignment="1" applyFill="1" applyFont="1">
      <alignment vertical="center"/>
    </xf>
    <xf borderId="1" fillId="0" fontId="3" numFmtId="0" xfId="0" applyAlignment="1" applyBorder="1" applyFont="1">
      <alignment horizontal="center" readingOrder="0" shrinkToFit="0" vertical="center" wrapText="1"/>
    </xf>
    <xf borderId="0" fillId="2" fontId="3" numFmtId="0" xfId="0" applyAlignment="1" applyFont="1">
      <alignment horizontal="center" readingOrder="0" vertical="center"/>
    </xf>
    <xf borderId="1" fillId="0" fontId="3" numFmtId="3" xfId="0" applyAlignment="1" applyBorder="1" applyFont="1" applyNumberFormat="1">
      <alignment horizontal="center" readingOrder="0" vertical="center"/>
    </xf>
    <xf borderId="1" fillId="0" fontId="14" numFmtId="0" xfId="0" applyAlignment="1" applyBorder="1" applyFont="1">
      <alignment horizontal="center" readingOrder="0" shrinkToFit="0" vertical="center" wrapText="1"/>
    </xf>
    <xf borderId="1" fillId="3" fontId="12" numFmtId="0" xfId="0" applyAlignment="1" applyBorder="1" applyFont="1">
      <alignment horizontal="left" readingOrder="0" shrinkToFit="0" vertical="center" wrapText="1"/>
    </xf>
    <xf borderId="1" fillId="0" fontId="15" numFmtId="0" xfId="0" applyAlignment="1" applyBorder="1" applyFont="1">
      <alignment horizontal="center" readingOrder="0" vertical="center"/>
    </xf>
    <xf borderId="1" fillId="3" fontId="12" numFmtId="3" xfId="0" applyAlignment="1" applyBorder="1" applyFont="1" applyNumberFormat="1">
      <alignment horizontal="center" readingOrder="0" shrinkToFit="0" vertical="center" wrapText="1"/>
    </xf>
    <xf borderId="0" fillId="2" fontId="3" numFmtId="0" xfId="0" applyAlignment="1" applyFont="1">
      <alignment vertical="center"/>
    </xf>
    <xf borderId="0" fillId="9" fontId="3" numFmtId="0" xfId="0" applyAlignment="1" applyFill="1" applyFont="1">
      <alignment horizontal="center" vertical="center"/>
    </xf>
    <xf borderId="0" fillId="2" fontId="16" numFmtId="0" xfId="0" applyAlignment="1" applyFont="1">
      <alignment vertical="center"/>
    </xf>
    <xf borderId="1" fillId="0" fontId="12" numFmtId="0" xfId="0" applyAlignment="1" applyBorder="1" applyFont="1">
      <alignment horizontal="center" readingOrder="0" vertical="center"/>
    </xf>
    <xf borderId="1" fillId="4" fontId="3" numFmtId="10" xfId="0" applyAlignment="1" applyBorder="1" applyFont="1" applyNumberFormat="1">
      <alignment horizontal="center" readingOrder="0" vertical="center"/>
    </xf>
    <xf borderId="1" fillId="3" fontId="3" numFmtId="3" xfId="0" applyAlignment="1" applyBorder="1" applyFont="1" applyNumberFormat="1">
      <alignment horizontal="center" readingOrder="0" shrinkToFit="0" vertical="center" wrapText="1"/>
    </xf>
    <xf borderId="1" fillId="0" fontId="12" numFmtId="0" xfId="0" applyAlignment="1" applyBorder="1" applyFont="1">
      <alignment horizontal="center" readingOrder="0" shrinkToFit="0" vertical="center" wrapText="1"/>
    </xf>
    <xf borderId="1" fillId="0" fontId="12" numFmtId="3" xfId="0" applyAlignment="1" applyBorder="1" applyFont="1" applyNumberFormat="1">
      <alignment horizontal="center" readingOrder="0" vertical="center"/>
    </xf>
    <xf borderId="1" fillId="6" fontId="12" numFmtId="0" xfId="0" applyAlignment="1" applyBorder="1" applyFont="1">
      <alignment horizontal="center" readingOrder="0" shrinkToFit="0" vertical="center" wrapText="1"/>
    </xf>
    <xf borderId="1" fillId="3" fontId="17" numFmtId="0" xfId="0" applyAlignment="1" applyBorder="1" applyFont="1">
      <alignment horizontal="center" readingOrder="0" shrinkToFit="0" vertical="center" wrapText="1"/>
    </xf>
    <xf borderId="1" fillId="3" fontId="3" numFmtId="10" xfId="0" applyAlignment="1" applyBorder="1" applyFont="1" applyNumberFormat="1">
      <alignment horizontal="center" readingOrder="0" vertical="center"/>
    </xf>
    <xf borderId="0" fillId="10" fontId="3" numFmtId="0" xfId="0" applyAlignment="1" applyFill="1" applyFont="1">
      <alignment vertical="center"/>
    </xf>
    <xf borderId="0" fillId="11" fontId="3" numFmtId="0" xfId="0" applyAlignment="1" applyFill="1" applyFont="1">
      <alignment vertical="center"/>
    </xf>
    <xf borderId="1" fillId="3" fontId="12" numFmtId="0" xfId="0" applyAlignment="1" applyBorder="1" applyFont="1">
      <alignment horizontal="center" readingOrder="0" shrinkToFit="0" vertical="center" wrapText="1"/>
    </xf>
    <xf borderId="1" fillId="3" fontId="3" numFmtId="0" xfId="0" applyAlignment="1" applyBorder="1" applyFont="1">
      <alignment horizontal="center" readingOrder="0" shrinkToFit="0" vertical="center" wrapText="1"/>
    </xf>
    <xf borderId="1" fillId="4" fontId="12" numFmtId="0" xfId="0" applyAlignment="1" applyBorder="1" applyFont="1">
      <alignment horizontal="center" readingOrder="0" shrinkToFit="0" vertical="center" wrapText="1"/>
    </xf>
    <xf borderId="1" fillId="4" fontId="3" numFmtId="0" xfId="0" applyAlignment="1" applyBorder="1" applyFont="1">
      <alignment horizontal="center" readingOrder="0" shrinkToFit="0" vertical="center" wrapText="1"/>
    </xf>
    <xf borderId="0" fillId="9" fontId="3" numFmtId="0" xfId="0" applyAlignment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center" readingOrder="0" vertical="center"/>
    </xf>
    <xf borderId="1" fillId="0" fontId="18" numFmtId="0" xfId="0" applyAlignment="1" applyBorder="1" applyFont="1">
      <alignment horizontal="center" readingOrder="0" shrinkToFit="0" vertical="center" wrapText="1"/>
    </xf>
    <xf borderId="1" fillId="3" fontId="18" numFmtId="0" xfId="0" applyAlignment="1" applyBorder="1" applyFont="1">
      <alignment horizontal="center" readingOrder="0" shrinkToFit="0" vertical="center" wrapText="1"/>
    </xf>
    <xf borderId="1" fillId="3" fontId="3" numFmtId="0" xfId="0" applyAlignment="1" applyBorder="1" applyFont="1">
      <alignment horizontal="center" readingOrder="0" vertical="center"/>
    </xf>
    <xf borderId="0" fillId="0" fontId="12" numFmtId="0" xfId="0" applyAlignment="1" applyFont="1">
      <alignment horizontal="left" readingOrder="0" shrinkToFit="0" vertical="center" wrapText="1"/>
    </xf>
    <xf borderId="0" fillId="0" fontId="12" numFmtId="3" xfId="0" applyAlignment="1" applyFont="1" applyNumberFormat="1">
      <alignment horizontal="center" readingOrder="0" shrinkToFit="0" vertical="center" wrapText="1"/>
    </xf>
    <xf borderId="0" fillId="0" fontId="1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18" numFmtId="0" xfId="0" applyAlignment="1" applyFont="1">
      <alignment horizontal="center" readingOrder="0" shrinkToFit="0" vertical="center" wrapText="1"/>
    </xf>
    <xf borderId="1" fillId="0" fontId="7" numFmtId="0" xfId="0" applyAlignment="1" applyBorder="1" applyFont="1">
      <alignment horizontal="left" readingOrder="0" shrinkToFit="0" vertical="center" wrapText="1"/>
    </xf>
    <xf borderId="1" fillId="0" fontId="19" numFmtId="3" xfId="0" applyAlignment="1" applyBorder="1" applyFont="1" applyNumberFormat="1">
      <alignment horizontal="center" readingOrder="0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left" readingOrder="0" shrinkToFit="0" vertical="center" wrapText="1"/>
    </xf>
    <xf borderId="0" fillId="0" fontId="19" numFmtId="0" xfId="0" applyAlignment="1" applyFont="1">
      <alignment horizontal="center" readingOrder="0" shrinkToFit="0" vertical="center" wrapText="1"/>
    </xf>
    <xf borderId="0" fillId="0" fontId="20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10" fontId="21" numFmtId="0" xfId="0" applyAlignment="1" applyFont="1">
      <alignment vertical="center"/>
    </xf>
    <xf borderId="0" fillId="0" fontId="22" numFmtId="0" xfId="0" applyAlignment="1" applyFont="1">
      <alignment vertical="bottom"/>
    </xf>
    <xf borderId="0" fillId="0" fontId="7" numFmtId="164" xfId="0" applyAlignment="1" applyFont="1" applyNumberFormat="1">
      <alignment horizontal="center" vertical="bottom"/>
    </xf>
    <xf borderId="0" fillId="0" fontId="3" numFmtId="0" xfId="0" applyAlignment="1" applyFont="1">
      <alignment horizontal="left"/>
    </xf>
    <xf borderId="1" fillId="0" fontId="12" numFmtId="0" xfId="0" applyAlignment="1" applyBorder="1" applyFont="1">
      <alignment horizontal="center" readingOrder="0" vertical="center"/>
    </xf>
    <xf borderId="0" fillId="11" fontId="21" numFmtId="0" xfId="0" applyAlignment="1" applyFont="1">
      <alignment vertical="center"/>
    </xf>
    <xf borderId="0" fillId="10" fontId="23" numFmtId="0" xfId="0" applyAlignment="1" applyFont="1">
      <alignment vertical="center"/>
    </xf>
    <xf borderId="1" fillId="0" fontId="24" numFmtId="3" xfId="0" applyAlignment="1" applyBorder="1" applyFont="1" applyNumberFormat="1">
      <alignment horizontal="center" readingOrder="0" shrinkToFit="0" vertical="center" wrapText="1"/>
    </xf>
    <xf borderId="0" fillId="10" fontId="3" numFmtId="0" xfId="0" applyAlignment="1" applyFont="1">
      <alignment vertical="center"/>
    </xf>
    <xf borderId="1" fillId="0" fontId="18" numFmtId="0" xfId="0" applyAlignment="1" applyBorder="1" applyFont="1">
      <alignment horizontal="center" readingOrder="0" vertical="center"/>
    </xf>
    <xf borderId="1" fillId="3" fontId="18" numFmtId="0" xfId="0" applyAlignment="1" applyBorder="1" applyFont="1">
      <alignment horizontal="center" readingOrder="0" shrinkToFit="0" vertical="center" wrapText="1"/>
    </xf>
    <xf borderId="1" fillId="4" fontId="3" numFmtId="0" xfId="0" applyAlignment="1" applyBorder="1" applyFont="1">
      <alignment horizontal="center" readingOrder="0" vertical="center"/>
    </xf>
    <xf borderId="0" fillId="2" fontId="25" numFmtId="0" xfId="0" applyAlignment="1" applyFont="1">
      <alignment horizontal="left" readingOrder="0" shrinkToFit="0" vertical="center" wrapText="1"/>
    </xf>
    <xf borderId="0" fillId="2" fontId="25" numFmtId="3" xfId="0" applyAlignment="1" applyFont="1" applyNumberFormat="1">
      <alignment horizontal="center" readingOrder="0" shrinkToFit="0" vertical="center" wrapText="1"/>
    </xf>
    <xf borderId="0" fillId="10" fontId="26" numFmtId="0" xfId="0" applyAlignment="1" applyFont="1">
      <alignment vertical="center"/>
    </xf>
    <xf borderId="0" fillId="2" fontId="25" numFmtId="0" xfId="0" applyAlignment="1" applyFont="1">
      <alignment horizontal="center" readingOrder="0" shrinkToFit="0" vertical="center" wrapText="1"/>
    </xf>
    <xf borderId="0" fillId="2" fontId="16" numFmtId="0" xfId="0" applyAlignment="1" applyFont="1">
      <alignment horizontal="center" readingOrder="0" shrinkToFit="0" vertical="center" wrapText="1"/>
    </xf>
    <xf borderId="0" fillId="2" fontId="16" numFmtId="0" xfId="0" applyAlignment="1" applyFont="1">
      <alignment horizontal="center" shrinkToFit="0" vertical="center" wrapText="1"/>
    </xf>
    <xf borderId="0" fillId="2" fontId="25" numFmtId="0" xfId="0" applyAlignment="1" applyFont="1">
      <alignment horizontal="center" readingOrder="0" shrinkToFit="0" vertical="center" wrapText="1"/>
    </xf>
    <xf borderId="0" fillId="4" fontId="7" numFmtId="0" xfId="0" applyAlignment="1" applyFont="1">
      <alignment horizontal="left" readingOrder="0" shrinkToFit="0" vertical="center" wrapText="1"/>
    </xf>
    <xf borderId="0" fillId="4" fontId="19" numFmtId="3" xfId="0" applyAlignment="1" applyFont="1" applyNumberFormat="1">
      <alignment horizontal="center" readingOrder="0" shrinkToFit="0" vertical="center" wrapText="1"/>
    </xf>
    <xf borderId="0" fillId="5" fontId="7" numFmtId="3" xfId="0" applyAlignment="1" applyFont="1" applyNumberFormat="1">
      <alignment horizontal="center" readingOrder="0" shrinkToFit="0" vertical="center" wrapText="1"/>
    </xf>
    <xf borderId="0" fillId="6" fontId="7" numFmtId="3" xfId="0" applyAlignment="1" applyFont="1" applyNumberFormat="1">
      <alignment horizontal="center" readingOrder="0" shrinkToFit="0" vertical="center" wrapText="1"/>
    </xf>
    <xf borderId="0" fillId="4" fontId="7" numFmtId="10" xfId="0" applyAlignment="1" applyFont="1" applyNumberFormat="1">
      <alignment horizontal="center" readingOrder="0" shrinkToFit="0" vertical="center" wrapText="1"/>
    </xf>
    <xf borderId="0" fillId="4" fontId="7" numFmtId="3" xfId="0" applyAlignment="1" applyFont="1" applyNumberFormat="1">
      <alignment horizontal="center" readingOrder="0" shrinkToFit="0" vertical="center" wrapText="1"/>
    </xf>
    <xf borderId="0" fillId="4" fontId="27" numFmtId="3" xfId="0" applyAlignment="1" applyFont="1" applyNumberFormat="1">
      <alignment horizontal="center" readingOrder="0" shrinkToFit="0" vertical="center" wrapText="1"/>
    </xf>
    <xf borderId="0" fillId="4" fontId="7" numFmtId="0" xfId="0" applyAlignment="1" applyFont="1">
      <alignment horizontal="center" shrinkToFit="0" vertical="center" wrapText="1"/>
    </xf>
    <xf borderId="0" fillId="3" fontId="7" numFmtId="0" xfId="0" applyAlignment="1" applyFont="1">
      <alignment shrinkToFit="0" wrapText="1"/>
    </xf>
    <xf borderId="0" fillId="3" fontId="7" numFmtId="0" xfId="0" applyAlignment="1" applyFont="1">
      <alignment horizontal="center" shrinkToFit="0" wrapText="1"/>
    </xf>
    <xf borderId="0" fillId="3" fontId="6" numFmtId="0" xfId="0" applyAlignment="1" applyFont="1">
      <alignment horizontal="center" shrinkToFit="0" wrapText="1"/>
    </xf>
    <xf borderId="0" fillId="3" fontId="7" numFmtId="0" xfId="0" applyAlignment="1" applyFont="1">
      <alignment horizontal="left" readingOrder="0" shrinkToFit="0" vertical="center" wrapText="1"/>
    </xf>
    <xf borderId="0" fillId="3" fontId="7" numFmtId="0" xfId="0" applyAlignment="1" applyFont="1">
      <alignment horizontal="center" readingOrder="0" shrinkToFit="0" vertical="center" wrapText="1"/>
    </xf>
    <xf borderId="0" fillId="3" fontId="6" numFmtId="0" xfId="0" applyAlignment="1" applyFont="1">
      <alignment horizontal="center" readingOrder="0" shrinkToFit="0" vertical="center" wrapText="1"/>
    </xf>
    <xf borderId="0" fillId="0" fontId="3" numFmtId="3" xfId="0" applyAlignment="1" applyFont="1" applyNumberFormat="1">
      <alignment horizontal="center" readingOrder="0" shrinkToFit="0" vertical="center" wrapText="1"/>
    </xf>
    <xf borderId="0" fillId="0" fontId="28" numFmtId="0" xfId="0" applyAlignment="1" applyFont="1">
      <alignment horizontal="center" readingOrder="0" shrinkToFit="0" vertical="center" wrapText="1"/>
    </xf>
    <xf borderId="0" fillId="2" fontId="21" numFmtId="0" xfId="0" applyAlignment="1" applyFont="1">
      <alignment vertical="center"/>
    </xf>
    <xf borderId="0" fillId="4" fontId="12" numFmtId="0" xfId="0" applyAlignment="1" applyFont="1">
      <alignment horizontal="left" readingOrder="0" shrinkToFit="0" vertical="center" wrapText="1"/>
    </xf>
    <xf borderId="0" fillId="4" fontId="12" numFmtId="3" xfId="0" applyAlignment="1" applyFont="1" applyNumberFormat="1">
      <alignment horizontal="center" readingOrder="0" shrinkToFit="0" vertical="center" wrapText="1"/>
    </xf>
    <xf borderId="0" fillId="4" fontId="12" numFmtId="0" xfId="0" applyAlignment="1" applyFont="1">
      <alignment horizontal="center" readingOrder="0" shrinkToFit="0" vertical="center" wrapText="1"/>
    </xf>
    <xf borderId="0" fillId="4" fontId="3" numFmtId="0" xfId="0" applyAlignment="1" applyFont="1">
      <alignment horizontal="center" readingOrder="0" shrinkToFit="0" vertical="center" wrapText="1"/>
    </xf>
    <xf borderId="0" fillId="0" fontId="29" numFmtId="0" xfId="0" applyAlignment="1" applyFont="1">
      <alignment readingOrder="0" vertical="center"/>
    </xf>
    <xf borderId="0" fillId="4" fontId="3" numFmtId="3" xfId="0" applyAlignment="1" applyFont="1" applyNumberFormat="1">
      <alignment horizontal="center" readingOrder="0" shrinkToFit="0" vertical="center" wrapText="1"/>
    </xf>
    <xf borderId="0" fillId="0" fontId="29" numFmtId="0" xfId="0" applyFont="1"/>
    <xf borderId="0" fillId="4" fontId="30" numFmtId="0" xfId="0" applyAlignment="1" applyFont="1">
      <alignment horizontal="center" readingOrder="0" shrinkToFit="0" vertical="center" wrapText="1"/>
    </xf>
    <xf borderId="0" fillId="0" fontId="31" numFmtId="0" xfId="0" applyFont="1"/>
    <xf borderId="0" fillId="0" fontId="31" numFmtId="0" xfId="0" applyFont="1"/>
    <xf borderId="0" fillId="0" fontId="3" numFmtId="0" xfId="0" applyAlignment="1" applyFont="1">
      <alignment readingOrder="0" vertical="center"/>
    </xf>
    <xf borderId="0" fillId="2" fontId="29" numFmtId="0" xfId="0" applyFont="1"/>
    <xf borderId="0" fillId="2" fontId="29" numFmtId="0" xfId="0" applyAlignment="1" applyFont="1">
      <alignment horizontal="center"/>
    </xf>
    <xf borderId="0" fillId="0" fontId="3" numFmtId="0" xfId="0" applyFont="1"/>
    <xf borderId="0" fillId="3" fontId="3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/>
    </xf>
    <xf borderId="0" fillId="0" fontId="33" numFmtId="0" xfId="0" applyFont="1"/>
    <xf borderId="0" fillId="2" fontId="29" numFmtId="0" xfId="0" applyAlignment="1" applyFont="1">
      <alignment readingOrder="0"/>
    </xf>
    <xf borderId="0" fillId="2" fontId="3" numFmtId="3" xfId="0" applyAlignment="1" applyFont="1" applyNumberFormat="1">
      <alignment horizontal="center" readingOrder="0"/>
    </xf>
    <xf borderId="0" fillId="2" fontId="34" numFmtId="0" xfId="0" applyFont="1"/>
    <xf borderId="0" fillId="2" fontId="31" numFmtId="0" xfId="0" applyFont="1"/>
    <xf borderId="0" fillId="0" fontId="35" numFmtId="0" xfId="0" applyFont="1"/>
    <xf borderId="0" fillId="12" fontId="3" numFmtId="0" xfId="0" applyAlignment="1" applyFill="1" applyFont="1">
      <alignment readingOrder="0" vertical="center"/>
    </xf>
    <xf borderId="0" fillId="2" fontId="29" numFmtId="0" xfId="0" applyFont="1"/>
    <xf borderId="0" fillId="0" fontId="19" numFmtId="3" xfId="0" applyAlignment="1" applyFont="1" applyNumberFormat="1">
      <alignment horizontal="center" readingOrder="0" shrinkToFit="0" vertical="center" wrapText="1"/>
    </xf>
    <xf borderId="0" fillId="2" fontId="3" numFmtId="3" xfId="0" applyAlignment="1" applyFont="1" applyNumberFormat="1">
      <alignment horizontal="center" readingOrder="0"/>
    </xf>
    <xf borderId="0" fillId="2" fontId="3" numFmtId="0" xfId="0" applyAlignment="1" applyFont="1">
      <alignment horizontal="center" readingOrder="0"/>
    </xf>
    <xf borderId="0" fillId="2" fontId="3" numFmtId="0" xfId="0" applyAlignment="1" applyFont="1">
      <alignment horizontal="center"/>
    </xf>
    <xf borderId="0" fillId="0" fontId="20" numFmtId="0" xfId="0" applyAlignment="1" applyFont="1">
      <alignment horizontal="center" shrinkToFit="0" vertical="center" wrapText="1"/>
    </xf>
    <xf borderId="0" fillId="2" fontId="36" numFmtId="0" xfId="0" applyFont="1"/>
    <xf borderId="0" fillId="0" fontId="3" numFmtId="0" xfId="0" applyAlignment="1" applyFont="1">
      <alignment shrinkToFit="0" wrapText="1"/>
    </xf>
    <xf borderId="0" fillId="0" fontId="37" numFmtId="0" xfId="0" applyFont="1"/>
    <xf borderId="0" fillId="2" fontId="29" numFmtId="0" xfId="0" applyAlignment="1" applyFont="1">
      <alignment readingOrder="0"/>
    </xf>
    <xf borderId="0" fillId="0" fontId="29" numFmtId="0" xfId="0" applyFont="1"/>
    <xf borderId="0" fillId="0" fontId="29" numFmtId="0" xfId="0" applyAlignment="1" applyFont="1">
      <alignment readingOrder="0"/>
    </xf>
    <xf borderId="0" fillId="0" fontId="38" numFmtId="0" xfId="0" applyFont="1"/>
    <xf borderId="0" fillId="0" fontId="29" numFmtId="0" xfId="0" applyAlignment="1" applyFont="1">
      <alignment horizontal="center" readingOrder="0"/>
    </xf>
    <xf borderId="0" fillId="0" fontId="31" numFmtId="0" xfId="0" applyAlignment="1" applyFont="1">
      <alignment readingOrder="0"/>
    </xf>
    <xf borderId="0" fillId="0" fontId="31" numFmtId="3" xfId="0" applyAlignment="1" applyFont="1" applyNumberFormat="1">
      <alignment horizontal="center" readingOrder="0"/>
    </xf>
    <xf borderId="0" fillId="12" fontId="3" numFmtId="0" xfId="0" applyAlignment="1" applyFont="1">
      <alignment vertical="center"/>
    </xf>
    <xf borderId="0" fillId="0" fontId="31" numFmtId="0" xfId="0" applyAlignment="1" applyFont="1">
      <alignment horizontal="center" readingOrder="0"/>
    </xf>
    <xf borderId="0" fillId="0" fontId="31" numFmtId="0" xfId="0" applyAlignment="1" applyFont="1">
      <alignment horizontal="center"/>
    </xf>
    <xf borderId="0" fillId="11" fontId="29" numFmtId="0" xfId="0" applyFont="1"/>
    <xf borderId="0" fillId="11" fontId="3" numFmtId="0" xfId="0" applyAlignment="1" applyFont="1">
      <alignment horizontal="center" readingOrder="0"/>
    </xf>
    <xf borderId="0" fillId="11" fontId="3" numFmtId="0" xfId="0" applyAlignment="1" applyFont="1">
      <alignment horizontal="center"/>
    </xf>
    <xf borderId="0" fillId="2" fontId="31" numFmtId="0" xfId="0" applyFont="1"/>
    <xf borderId="0" fillId="2" fontId="39" numFmtId="0" xfId="0" applyAlignment="1" applyFont="1">
      <alignment readingOrder="0"/>
    </xf>
    <xf borderId="0" fillId="2" fontId="31" numFmtId="0" xfId="0" applyAlignment="1" applyFont="1">
      <alignment readingOrder="0"/>
    </xf>
    <xf borderId="0" fillId="0" fontId="31" numFmtId="0" xfId="0" applyAlignment="1" applyFont="1">
      <alignment readingOrder="0" vertical="bottom"/>
    </xf>
    <xf borderId="0" fillId="0" fontId="40" numFmtId="0" xfId="0" applyAlignment="1" applyFont="1">
      <alignment readingOrder="0" vertical="bottom"/>
    </xf>
    <xf borderId="0" fillId="0" fontId="31" numFmtId="0" xfId="0" applyAlignment="1" applyFont="1">
      <alignment vertical="bottom"/>
    </xf>
    <xf borderId="0" fillId="0" fontId="31" numFmtId="0" xfId="0" applyAlignment="1" applyFont="1">
      <alignment vertical="bottom"/>
    </xf>
    <xf borderId="0" fillId="0" fontId="41" numFmtId="0" xfId="0" applyAlignment="1" applyFont="1">
      <alignment vertical="bottom"/>
    </xf>
    <xf borderId="0" fillId="2" fontId="42" numFmtId="0" xfId="0" applyAlignment="1" applyFont="1">
      <alignment horizontal="center" readingOrder="0"/>
    </xf>
    <xf borderId="0" fillId="0" fontId="29" numFmtId="0" xfId="0" applyAlignment="1" applyFont="1">
      <alignment vertical="bottom"/>
    </xf>
    <xf borderId="0" fillId="12" fontId="31" numFmtId="0" xfId="0" applyFont="1"/>
    <xf borderId="0" fillId="0" fontId="31" numFmtId="0" xfId="0" applyAlignment="1" applyFont="1">
      <alignment horizontal="center" vertical="bottom"/>
    </xf>
    <xf borderId="0" fillId="2" fontId="31" numFmtId="0" xfId="0" applyFont="1"/>
    <xf borderId="0" fillId="2" fontId="29" numFmtId="3" xfId="0" applyAlignment="1" applyFont="1" applyNumberFormat="1">
      <alignment horizontal="center"/>
    </xf>
    <xf borderId="0" fillId="2" fontId="29" numFmtId="0" xfId="0" applyAlignment="1" applyFont="1">
      <alignment horizontal="center"/>
    </xf>
    <xf borderId="0" fillId="2" fontId="29" numFmtId="0" xfId="0" applyAlignment="1" applyFont="1">
      <alignment readingOrder="0" vertical="bottom"/>
    </xf>
    <xf borderId="0" fillId="0" fontId="43" numFmtId="3" xfId="0" applyAlignment="1" applyFont="1" applyNumberFormat="1">
      <alignment horizontal="center" vertical="bottom"/>
    </xf>
    <xf borderId="0" fillId="2" fontId="3" numFmtId="0" xfId="0" applyAlignment="1" applyFont="1">
      <alignment readingOrder="0" vertical="bottom"/>
    </xf>
    <xf borderId="0" fillId="0" fontId="43" numFmtId="0" xfId="0" applyAlignment="1" applyFont="1">
      <alignment horizontal="center" readingOrder="0" vertical="bottom"/>
    </xf>
    <xf borderId="0" fillId="0" fontId="31" numFmtId="3" xfId="0" applyAlignment="1" applyFont="1" applyNumberFormat="1">
      <alignment horizontal="center" readingOrder="0" vertical="bottom"/>
    </xf>
    <xf borderId="0" fillId="0" fontId="31" numFmtId="3" xfId="0" applyAlignment="1" applyFont="1" applyNumberFormat="1">
      <alignment horizontal="center"/>
    </xf>
    <xf borderId="0" fillId="0" fontId="3" numFmtId="0" xfId="0" applyAlignment="1" applyFont="1">
      <alignment horizontal="center" shrinkToFit="0" vertical="center" wrapText="1"/>
    </xf>
    <xf borderId="2" fillId="0" fontId="12" numFmtId="0" xfId="0" applyAlignment="1" applyBorder="1" applyFont="1">
      <alignment horizontal="center" readingOrder="0" vertical="center"/>
    </xf>
    <xf borderId="3" fillId="7" fontId="12" numFmtId="3" xfId="0" applyAlignment="1" applyBorder="1" applyFont="1" applyNumberFormat="1">
      <alignment horizontal="center" readingOrder="0" vertical="center"/>
    </xf>
    <xf borderId="4" fillId="0" fontId="12" numFmtId="0" xfId="0" applyAlignment="1" applyBorder="1" applyFont="1">
      <alignment horizontal="center" readingOrder="0" vertical="center"/>
    </xf>
    <xf borderId="3" fillId="6" fontId="3" numFmtId="3" xfId="0" applyAlignment="1" applyBorder="1" applyFont="1" applyNumberFormat="1">
      <alignment horizontal="center" readingOrder="0" vertical="center"/>
    </xf>
    <xf borderId="1" fillId="4" fontId="12" numFmtId="0" xfId="0" applyAlignment="1" applyBorder="1" applyFont="1">
      <alignment horizontal="left" readingOrder="0" shrinkToFit="0" vertical="center" wrapText="1"/>
    </xf>
    <xf borderId="1" fillId="4" fontId="12" numFmtId="0" xfId="0" applyAlignment="1" applyBorder="1" applyFont="1">
      <alignment horizontal="center" readingOrder="0" vertical="center"/>
    </xf>
    <xf borderId="1" fillId="4" fontId="26" numFmtId="10" xfId="0" applyAlignment="1" applyBorder="1" applyFont="1" applyNumberFormat="1">
      <alignment horizontal="center" readingOrder="0" vertical="center"/>
    </xf>
    <xf borderId="1" fillId="4" fontId="26" numFmtId="0" xfId="0" applyAlignment="1" applyBorder="1" applyFont="1">
      <alignment horizontal="center" readingOrder="0" vertical="center"/>
    </xf>
    <xf borderId="1" fillId="4" fontId="44" numFmtId="0" xfId="0" applyAlignment="1" applyBorder="1" applyFont="1">
      <alignment horizontal="center" readingOrder="0" vertical="center"/>
    </xf>
    <xf borderId="0" fillId="2" fontId="26" numFmtId="0" xfId="0" applyAlignment="1" applyFont="1">
      <alignment vertical="center"/>
    </xf>
    <xf borderId="0" fillId="2" fontId="26" numFmtId="0" xfId="0" applyAlignment="1" applyFont="1">
      <alignment horizontal="center" vertical="center"/>
    </xf>
    <xf borderId="0" fillId="2" fontId="25" numFmtId="0" xfId="0" applyAlignment="1" applyFont="1">
      <alignment horizontal="left" readingOrder="0" vertical="center"/>
    </xf>
    <xf borderId="0" fillId="2" fontId="25" numFmtId="0" xfId="0" applyAlignment="1" applyFont="1">
      <alignment horizontal="center" readingOrder="0" vertical="center"/>
    </xf>
    <xf borderId="0" fillId="2" fontId="25" numFmtId="3" xfId="0" applyAlignment="1" applyFont="1" applyNumberFormat="1">
      <alignment horizontal="center" readingOrder="0" vertical="center"/>
    </xf>
    <xf borderId="0" fillId="2" fontId="16" numFmtId="3" xfId="0" applyAlignment="1" applyFont="1" applyNumberFormat="1">
      <alignment horizontal="center" readingOrder="0" vertical="center"/>
    </xf>
    <xf borderId="0" fillId="2" fontId="16" numFmtId="0" xfId="0" applyAlignment="1" applyFont="1">
      <alignment horizontal="center" readingOrder="0" vertical="center"/>
    </xf>
    <xf borderId="0" fillId="2" fontId="25" numFmtId="0" xfId="0" applyAlignment="1" applyFont="1">
      <alignment horizontal="center" readingOrder="0" vertical="center"/>
    </xf>
    <xf borderId="0" fillId="2" fontId="16" numFmtId="0" xfId="0" applyAlignment="1" applyFont="1">
      <alignment horizontal="center" vertical="center"/>
    </xf>
    <xf borderId="0" fillId="4" fontId="7" numFmtId="0" xfId="0" applyAlignment="1" applyFont="1">
      <alignment horizontal="left" readingOrder="0" vertical="center"/>
    </xf>
    <xf borderId="0" fillId="4" fontId="20" numFmtId="3" xfId="0" applyAlignment="1" applyFont="1" applyNumberFormat="1">
      <alignment horizontal="center" vertical="center"/>
    </xf>
    <xf borderId="0" fillId="7" fontId="7" numFmtId="3" xfId="0" applyAlignment="1" applyFont="1" applyNumberFormat="1">
      <alignment horizontal="center" readingOrder="0" vertical="center"/>
    </xf>
    <xf borderId="0" fillId="4" fontId="19" numFmtId="3" xfId="0" applyAlignment="1" applyFont="1" applyNumberFormat="1">
      <alignment horizontal="center" readingOrder="0" vertical="center"/>
    </xf>
    <xf borderId="0" fillId="6" fontId="7" numFmtId="3" xfId="0" applyAlignment="1" applyFont="1" applyNumberFormat="1">
      <alignment horizontal="center" readingOrder="0" vertical="center"/>
    </xf>
    <xf borderId="0" fillId="4" fontId="7" numFmtId="10" xfId="0" applyAlignment="1" applyFont="1" applyNumberFormat="1">
      <alignment horizontal="center" readingOrder="0" vertical="center"/>
    </xf>
    <xf borderId="0" fillId="4" fontId="7" numFmtId="3" xfId="0" applyAlignment="1" applyFont="1" applyNumberFormat="1">
      <alignment horizontal="center" readingOrder="0" vertical="center"/>
    </xf>
    <xf borderId="0" fillId="4" fontId="27" numFmtId="3" xfId="0" applyAlignment="1" applyFont="1" applyNumberFormat="1">
      <alignment horizontal="center" readingOrder="0" vertical="center"/>
    </xf>
    <xf borderId="0" fillId="4" fontId="3" numFmtId="0" xfId="0" applyAlignment="1" applyFont="1">
      <alignment horizontal="center" vertical="center"/>
    </xf>
    <xf borderId="0" fillId="4" fontId="19" numFmtId="0" xfId="0" applyAlignment="1" applyFont="1">
      <alignment horizontal="center" readingOrder="0" vertical="center"/>
    </xf>
    <xf borderId="0" fillId="2" fontId="31" numFmtId="0" xfId="0" applyAlignment="1" applyFont="1">
      <alignment vertical="bottom"/>
    </xf>
    <xf borderId="0" fillId="2" fontId="7" numFmtId="0" xfId="0" applyAlignment="1" applyFont="1">
      <alignment horizontal="center" vertical="center"/>
    </xf>
    <xf borderId="0" fillId="2" fontId="7" numFmtId="0" xfId="0" applyAlignment="1" applyFont="1">
      <alignment horizontal="center" shrinkToFit="0" vertical="center" wrapText="1"/>
    </xf>
    <xf borderId="0" fillId="2" fontId="7" numFmtId="0" xfId="0" applyAlignment="1" applyFont="1">
      <alignment horizontal="center" vertical="center"/>
    </xf>
    <xf borderId="0" fillId="2" fontId="6" numFmtId="0" xfId="0" applyAlignment="1" applyFont="1">
      <alignment horizontal="center" shrinkToFit="0" vertical="center" wrapText="1"/>
    </xf>
    <xf borderId="0" fillId="2" fontId="6" numFmtId="0" xfId="0" applyAlignment="1" applyFont="1">
      <alignment horizontal="center" readingOrder="0" shrinkToFit="0" vertical="center" wrapText="1"/>
    </xf>
    <xf borderId="0" fillId="2" fontId="6" numFmtId="0" xfId="0" applyAlignment="1" applyFont="1">
      <alignment vertical="center"/>
    </xf>
    <xf borderId="0" fillId="2" fontId="31" numFmtId="0" xfId="0" applyAlignment="1" applyFon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5">
    <tableStyle count="3" pivot="0" name="Australia-style">
      <tableStyleElement dxfId="1" type="headerRow"/>
      <tableStyleElement dxfId="2" type="firstRowStripe"/>
      <tableStyleElement dxfId="3" type="secondRowStripe"/>
    </tableStyle>
    <tableStyle count="3" pivot="0" name="Australia-style 2">
      <tableStyleElement dxfId="1" type="headerRow"/>
      <tableStyleElement dxfId="2" type="firstRowStripe"/>
      <tableStyleElement dxfId="3" type="secondRowStripe"/>
    </tableStyle>
    <tableStyle count="3" pivot="0" name="Cruise ships-style">
      <tableStyleElement dxfId="1" type="headerRow"/>
      <tableStyleElement dxfId="2" type="firstRowStripe"/>
      <tableStyleElement dxfId="3" type="secondRowStripe"/>
    </tableStyle>
    <tableStyle count="3" pivot="0" name="Cruise ships-style 2">
      <tableStyleElement dxfId="1" type="headerRow"/>
      <tableStyleElement dxfId="2" type="firstRowStripe"/>
      <tableStyleElement dxfId="3" type="secondRowStripe"/>
    </tableStyle>
    <tableStyle count="3" pivot="0" name="USA-style">
      <tableStyleElement dxfId="1" type="headerRow"/>
      <tableStyleElement dxfId="2" type="firstRowStripe"/>
      <tableStyleElement dxfId="3" type="secondRowStripe"/>
    </tableStyle>
    <tableStyle count="3" pivot="0" name="USA-style 2">
      <tableStyleElement dxfId="1" type="headerRow"/>
      <tableStyleElement dxfId="2" type="firstRowStripe"/>
      <tableStyleElement dxfId="3" type="secondRowStripe"/>
    </tableStyle>
    <tableStyle count="3" pivot="0" name="USA-style 3">
      <tableStyleElement dxfId="1" type="headerRow"/>
      <tableStyleElement dxfId="2" type="firstRowStripe"/>
      <tableStyleElement dxfId="3" type="secondRowStripe"/>
    </tableStyle>
    <tableStyle count="3" pivot="0" name="Canada-style">
      <tableStyleElement dxfId="1" type="headerRow"/>
      <tableStyleElement dxfId="2" type="firstRowStripe"/>
      <tableStyleElement dxfId="3" type="secondRowStripe"/>
    </tableStyle>
    <tableStyle count="3" pivot="0" name="Canada-style 2">
      <tableStyleElement dxfId="1" type="headerRow"/>
      <tableStyleElement dxfId="2" type="firstRowStripe"/>
      <tableStyleElement dxfId="3" type="secondRowStripe"/>
    </tableStyle>
    <tableStyle count="3" pivot="0" name="China-style">
      <tableStyleElement dxfId="1" type="headerRow"/>
      <tableStyleElement dxfId="2" type="firstRowStripe"/>
      <tableStyleElement dxfId="3" type="secondRowStripe"/>
    </tableStyle>
    <tableStyle count="3" pivot="0" name="Notes-style">
      <tableStyleElement dxfId="1" type="headerRow"/>
      <tableStyleElement dxfId="2" type="firstRowStripe"/>
      <tableStyleElement dxfId="3" type="secondRowStripe"/>
    </tableStyle>
    <tableStyle count="3" pivot="0" name="América Latina-style">
      <tableStyleElement dxfId="1" type="headerRow"/>
      <tableStyleElement dxfId="2" type="firstRowStripe"/>
      <tableStyleElement dxfId="3" type="secondRowStripe"/>
    </tableStyle>
    <tableStyle count="3" pivot="0" name="World-style">
      <tableStyleElement dxfId="1" type="headerRow"/>
      <tableStyleElement dxfId="2" type="firstRowStripe"/>
      <tableStyleElement dxfId="3" type="secondRowStripe"/>
    </tableStyle>
    <tableStyle count="3" pivot="0" name="World-style 2">
      <tableStyleElement dxfId="1" type="headerRow"/>
      <tableStyleElement dxfId="2" type="firstRowStripe"/>
      <tableStyleElement dxfId="3" type="secondRowStripe"/>
    </tableStyle>
    <tableStyle count="3" pivot="0" name="World-style 3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chartsheet" Target="chartsheets/sheet2.xml"/><Relationship Id="rId12" Type="http://schemas.openxmlformats.org/officeDocument/2006/relationships/chartsheet" Target="chartsheets/sheet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9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t>Overall cases per country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Pt>
            <c:idx val="136"/>
            <c:spPr>
              <a:solidFill>
                <a:srgbClr val="FF378D"/>
              </a:solidFill>
            </c:spPr>
          </c:dPt>
          <c:dPt>
            <c:idx val="137"/>
            <c:spPr>
              <a:solidFill>
                <a:srgbClr val="0B733E"/>
              </a:solidFill>
            </c:spPr>
          </c:dPt>
          <c:dPt>
            <c:idx val="138"/>
            <c:spPr>
              <a:solidFill>
                <a:srgbClr val="5BCF40"/>
              </a:solidFill>
            </c:spPr>
          </c:dPt>
          <c:dPt>
            <c:idx val="139"/>
            <c:spPr>
              <a:solidFill>
                <a:srgbClr val="7F55A7"/>
              </a:solidFill>
            </c:spPr>
          </c:dPt>
          <c:dPt>
            <c:idx val="140"/>
            <c:spPr>
              <a:solidFill>
                <a:srgbClr val="178EC8"/>
              </a:solidFill>
            </c:spPr>
          </c:dPt>
          <c:dPt>
            <c:idx val="141"/>
            <c:spPr>
              <a:solidFill>
                <a:srgbClr val="AF04F6"/>
              </a:solidFill>
            </c:spPr>
          </c:dPt>
          <c:dPt>
            <c:idx val="142"/>
            <c:spPr>
              <a:solidFill>
                <a:srgbClr val="FF5EDA"/>
              </a:solidFill>
            </c:spPr>
          </c:dPt>
          <c:dPt>
            <c:idx val="143"/>
            <c:spPr>
              <a:solidFill>
                <a:srgbClr val="4386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58DE3"/>
              </a:solidFill>
            </c:spPr>
          </c:dPt>
          <c:dPt>
            <c:idx val="146"/>
            <c:spPr>
              <a:solidFill>
                <a:srgbClr val="1A9F13"/>
              </a:solidFill>
            </c:spPr>
          </c:dPt>
          <c:dPt>
            <c:idx val="147"/>
            <c:spPr>
              <a:solidFill>
                <a:srgbClr val="EB1F29"/>
              </a:solidFill>
            </c:spPr>
          </c:dPt>
          <c:dPt>
            <c:idx val="148"/>
            <c:spPr>
              <a:solidFill>
                <a:srgbClr val="FF8F26"/>
              </a:solidFill>
            </c:spPr>
          </c:dPt>
          <c:dPt>
            <c:idx val="149"/>
            <c:spPr>
              <a:solidFill>
                <a:srgbClr val="7A9A60"/>
              </a:solidFill>
            </c:spPr>
          </c:dPt>
          <c:dPt>
            <c:idx val="150"/>
            <c:spPr>
              <a:solidFill>
                <a:srgbClr val="CC1947"/>
              </a:solidFill>
            </c:spPr>
          </c:dPt>
          <c:dPt>
            <c:idx val="151"/>
            <c:spPr>
              <a:solidFill>
                <a:srgbClr val="8DC720"/>
              </a:solidFill>
            </c:spPr>
          </c:dPt>
          <c:dPt>
            <c:idx val="152"/>
            <c:spPr>
              <a:solidFill>
                <a:srgbClr val="1BB75F"/>
              </a:solidFill>
            </c:spPr>
          </c:dPt>
          <c:dPt>
            <c:idx val="153"/>
            <c:spPr>
              <a:solidFill>
                <a:srgbClr val="27355D"/>
              </a:solidFill>
            </c:spPr>
          </c:dPt>
          <c:dPt>
            <c:idx val="154"/>
            <c:spPr>
              <a:solidFill>
                <a:srgbClr val="FFB772"/>
              </a:solidFill>
            </c:spPr>
          </c:dPt>
          <c:dPt>
            <c:idx val="155"/>
            <c:spPr>
              <a:solidFill>
                <a:srgbClr val="B2AE72"/>
              </a:solidFill>
            </c:spPr>
          </c:dPt>
          <c:dPt>
            <c:idx val="156"/>
            <c:spPr>
              <a:solidFill>
                <a:srgbClr val="043D4A"/>
              </a:solidFill>
            </c:spPr>
          </c:dPt>
          <c:dPt>
            <c:idx val="157"/>
            <c:spPr>
              <a:solidFill>
                <a:srgbClr val="8FFF5D"/>
              </a:solidFill>
            </c:spPr>
          </c:dPt>
          <c:dPt>
            <c:idx val="158"/>
            <c:spPr>
              <a:solidFill>
                <a:srgbClr val="1AC7AA"/>
              </a:solidFill>
            </c:spPr>
          </c:dPt>
          <c:dPt>
            <c:idx val="159"/>
            <c:spPr>
              <a:solidFill>
                <a:srgbClr val="634F91"/>
              </a:solidFill>
            </c:spPr>
          </c:dPt>
          <c:dPt>
            <c:idx val="160"/>
            <c:spPr>
              <a:solidFill>
                <a:srgbClr val="FFE7BE"/>
              </a:solidFill>
            </c:spPr>
          </c:dPt>
          <c:dPt>
            <c:idx val="161"/>
            <c:spPr>
              <a:solidFill>
                <a:srgbClr val="EBC283"/>
              </a:solidFill>
            </c:spPr>
          </c:dPt>
          <c:dPt>
            <c:idx val="162"/>
            <c:spPr>
              <a:solidFill>
                <a:srgbClr val="3D614D"/>
              </a:solidFill>
            </c:spPr>
          </c:dPt>
          <c:dPt>
            <c:idx val="163"/>
            <c:spPr>
              <a:solidFill>
                <a:srgbClr val="963699"/>
              </a:solidFill>
            </c:spPr>
          </c:dPt>
          <c:dPt>
            <c:idx val="164"/>
            <c:spPr>
              <a:solidFill>
                <a:srgbClr val="1BDFF5"/>
              </a:solidFill>
            </c:spPr>
          </c:dPt>
          <c:dPt>
            <c:idx val="165"/>
            <c:spPr>
              <a:solidFill>
                <a:srgbClr val="A36DC4"/>
              </a:solidFill>
            </c:spPr>
          </c:dPt>
          <c:dPt>
            <c:idx val="166"/>
            <c:spPr>
              <a:solidFill>
                <a:srgbClr val="FF0C0A"/>
              </a:solidFill>
            </c:spPr>
          </c:dPt>
          <c:dPt>
            <c:idx val="167"/>
            <c:spPr>
              <a:solidFill>
                <a:srgbClr val="23D694"/>
              </a:solidFill>
            </c:spPr>
          </c:dPt>
          <c:dPt>
            <c:idx val="168"/>
            <c:spPr>
              <a:solidFill>
                <a:srgbClr val="768750"/>
              </a:solidFill>
            </c:spPr>
          </c:dPt>
          <c:dPt>
            <c:idx val="169"/>
            <c:spPr>
              <a:solidFill>
                <a:srgbClr val="9E6ED6"/>
              </a:solidFill>
            </c:spPr>
          </c:dPt>
          <c:dPt>
            <c:idx val="170"/>
            <c:spPr>
              <a:solidFill>
                <a:srgbClr val="1FEF40"/>
              </a:solidFill>
            </c:spPr>
          </c:dPt>
          <c:dPt>
            <c:idx val="171"/>
            <c:spPr>
              <a:solidFill>
                <a:srgbClr val="DF87F8"/>
              </a:solidFill>
            </c:spPr>
          </c:dPt>
          <c:dPt>
            <c:idx val="172"/>
            <c:spPr>
              <a:solidFill>
                <a:srgbClr val="FF3F57"/>
              </a:solidFill>
            </c:spPr>
          </c:dPt>
          <c:dPt>
            <c:idx val="173"/>
            <c:spPr>
              <a:solidFill>
                <a:srgbClr val="5AE7A5"/>
              </a:solidFill>
            </c:spPr>
          </c:dPt>
          <c:dPt>
            <c:idx val="174"/>
            <c:spPr>
              <a:solidFill>
                <a:srgbClr val="AEAB54"/>
              </a:solidFill>
            </c:spPr>
          </c:dPt>
          <c:dPt>
            <c:idx val="175"/>
            <c:spPr>
              <a:solidFill>
                <a:srgbClr val="A7A712"/>
              </a:solidFill>
            </c:spPr>
          </c:dPt>
          <c:dPt>
            <c:idx val="176"/>
            <c:spPr>
              <a:solidFill>
                <a:srgbClr val="1F0B8C"/>
              </a:solidFill>
            </c:spPr>
          </c:dPt>
          <c:dPt>
            <c:idx val="177"/>
            <c:spPr>
              <a:solidFill>
                <a:srgbClr val="1B9F2B"/>
              </a:solidFill>
            </c:spPr>
          </c:dPt>
          <c:dPt>
            <c:idx val="178"/>
            <c:spPr>
              <a:solidFill>
                <a:srgbClr val="FF6BA3"/>
              </a:solidFill>
            </c:spPr>
          </c:dPt>
          <c:dPt>
            <c:idx val="179"/>
            <c:spPr>
              <a:solidFill>
                <a:srgbClr val="92FBB6"/>
              </a:solidFill>
            </c:spPr>
          </c:dPt>
          <c:dPt>
            <c:idx val="180"/>
            <c:spPr>
              <a:solidFill>
                <a:srgbClr val="E7CF57"/>
              </a:solidFill>
            </c:spPr>
          </c:dPt>
          <c:dPt>
            <c:idx val="181"/>
            <c:spPr>
              <a:solidFill>
                <a:srgbClr val="A7DF4F"/>
              </a:solidFill>
            </c:spPr>
          </c:dPt>
          <c:dPt>
            <c:idx val="182"/>
            <c:spPr>
              <a:solidFill>
                <a:srgbClr val="1F1FD7"/>
              </a:solidFill>
            </c:spPr>
          </c:dPt>
          <c:dPt>
            <c:idx val="183"/>
            <c:spPr>
              <a:solidFill>
                <a:srgbClr val="57B75F"/>
              </a:solidFill>
            </c:spPr>
          </c:dPt>
          <c:dPt>
            <c:idx val="184"/>
            <c:spPr>
              <a:solidFill>
                <a:srgbClr val="FF8FEF"/>
              </a:solidFill>
            </c:spPr>
          </c:dPt>
          <c:dPt>
            <c:idx val="185"/>
            <c:spPr>
              <a:solidFill>
                <a:srgbClr val="C70FC7"/>
              </a:solidFill>
            </c:spPr>
          </c:dPt>
          <c:dPt>
            <c:idx val="186"/>
            <c:spPr>
              <a:solidFill>
                <a:srgbClr val="24F55A"/>
              </a:solidFill>
            </c:spPr>
          </c:dPt>
          <c:dPt>
            <c:idx val="187"/>
            <c:spPr>
              <a:solidFill>
                <a:srgbClr val="AF178C"/>
              </a:solidFill>
            </c:spPr>
          </c:dPt>
          <c:dPt>
            <c:idx val="188"/>
            <c:spPr>
              <a:solidFill>
                <a:srgbClr val="232B22"/>
              </a:solidFill>
            </c:spPr>
          </c:dPt>
          <c:dPt>
            <c:idx val="189"/>
            <c:spPr>
              <a:solidFill>
                <a:srgbClr val="97D793"/>
              </a:solidFill>
            </c:spPr>
          </c:dPt>
          <c:dPt>
            <c:idx val="190"/>
            <c:spPr>
              <a:solidFill>
                <a:srgbClr val="FFBB3B"/>
              </a:solidFill>
            </c:spPr>
          </c:dPt>
          <c:dPt>
            <c:idx val="191"/>
            <c:spPr>
              <a:solidFill>
                <a:srgbClr val="FF23D8"/>
              </a:solidFill>
            </c:spPr>
          </c:dPt>
          <c:dPt>
            <c:idx val="192"/>
            <c:spPr>
              <a:solidFill>
                <a:srgbClr val="5D195E"/>
              </a:solidFill>
            </c:spPr>
          </c:dPt>
          <c:dPt>
            <c:idx val="193"/>
            <c:spPr>
              <a:solidFill>
                <a:srgbClr val="B757C8"/>
              </a:solidFill>
            </c:spPr>
          </c:dPt>
          <c:dPt>
            <c:idx val="194"/>
            <c:spPr>
              <a:solidFill>
                <a:srgbClr val="233F6E"/>
              </a:solidFill>
            </c:spPr>
          </c:dPt>
          <c:dPt>
            <c:idx val="195"/>
            <c:spPr>
              <a:solidFill>
                <a:srgbClr val="D3EFC6"/>
              </a:solidFill>
            </c:spPr>
          </c:dPt>
          <c:dPt>
            <c:idx val="196"/>
            <c:spPr>
              <a:solidFill>
                <a:srgbClr val="FFEF87"/>
              </a:solidFill>
            </c:spPr>
          </c:dPt>
          <c:dPt>
            <c:idx val="197"/>
            <c:spPr>
              <a:solidFill>
                <a:srgbClr val="3737E9"/>
              </a:solidFill>
            </c:spPr>
          </c:dPt>
          <c:dPt>
            <c:idx val="198"/>
            <c:spPr>
              <a:solidFill>
                <a:srgbClr val="953D61"/>
              </a:solidFill>
            </c:spPr>
          </c:dPt>
          <c:dPt>
            <c:idx val="199"/>
            <c:spPr>
              <a:solidFill>
                <a:srgbClr val="BF8805"/>
              </a:solidFill>
            </c:spPr>
          </c:dPt>
          <c:dPt>
            <c:idx val="200"/>
            <c:spPr>
              <a:solidFill>
                <a:srgbClr val="235BB9"/>
              </a:solidFill>
            </c:spPr>
          </c:dPt>
          <c:dPt>
            <c:idx val="201"/>
            <c:spPr>
              <a:solidFill>
                <a:srgbClr val="0E07FA"/>
              </a:solidFill>
            </c:spPr>
          </c:dPt>
          <c:dPt>
            <c:idx val="202"/>
            <c:spPr>
              <a:solidFill>
                <a:srgbClr val="FF1BD4"/>
              </a:solidFill>
            </c:spPr>
          </c:dPt>
          <c:dPt>
            <c:idx val="203"/>
            <c:spPr>
              <a:solidFill>
                <a:srgbClr val="6F4AFA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World!$A$7:$A$210</c:f>
            </c:strRef>
          </c:cat>
          <c:val>
            <c:numRef>
              <c:f>World!$B$7:$B$210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t>Overall deaths by country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Pt>
            <c:idx val="136"/>
            <c:spPr>
              <a:solidFill>
                <a:srgbClr val="FF378D"/>
              </a:solidFill>
            </c:spPr>
          </c:dPt>
          <c:dPt>
            <c:idx val="137"/>
            <c:spPr>
              <a:solidFill>
                <a:srgbClr val="0B733E"/>
              </a:solidFill>
            </c:spPr>
          </c:dPt>
          <c:dPt>
            <c:idx val="138"/>
            <c:spPr>
              <a:solidFill>
                <a:srgbClr val="5BCF40"/>
              </a:solidFill>
            </c:spPr>
          </c:dPt>
          <c:dPt>
            <c:idx val="139"/>
            <c:spPr>
              <a:solidFill>
                <a:srgbClr val="7F55A7"/>
              </a:solidFill>
            </c:spPr>
          </c:dPt>
          <c:dPt>
            <c:idx val="140"/>
            <c:spPr>
              <a:solidFill>
                <a:srgbClr val="178EC8"/>
              </a:solidFill>
            </c:spPr>
          </c:dPt>
          <c:dPt>
            <c:idx val="141"/>
            <c:spPr>
              <a:solidFill>
                <a:srgbClr val="AF04F6"/>
              </a:solidFill>
            </c:spPr>
          </c:dPt>
          <c:dPt>
            <c:idx val="142"/>
            <c:spPr>
              <a:solidFill>
                <a:srgbClr val="FF5EDA"/>
              </a:solidFill>
            </c:spPr>
          </c:dPt>
          <c:dPt>
            <c:idx val="143"/>
            <c:spPr>
              <a:solidFill>
                <a:srgbClr val="4386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58DE3"/>
              </a:solidFill>
            </c:spPr>
          </c:dPt>
          <c:dPt>
            <c:idx val="146"/>
            <c:spPr>
              <a:solidFill>
                <a:srgbClr val="1A9F13"/>
              </a:solidFill>
            </c:spPr>
          </c:dPt>
          <c:dPt>
            <c:idx val="147"/>
            <c:spPr>
              <a:solidFill>
                <a:srgbClr val="EB1F29"/>
              </a:solidFill>
            </c:spPr>
          </c:dPt>
          <c:dPt>
            <c:idx val="148"/>
            <c:spPr>
              <a:solidFill>
                <a:srgbClr val="FF8F26"/>
              </a:solidFill>
            </c:spPr>
          </c:dPt>
          <c:dPt>
            <c:idx val="149"/>
            <c:spPr>
              <a:solidFill>
                <a:srgbClr val="7A9A60"/>
              </a:solidFill>
            </c:spPr>
          </c:dPt>
          <c:dPt>
            <c:idx val="150"/>
            <c:spPr>
              <a:solidFill>
                <a:srgbClr val="CC1947"/>
              </a:solidFill>
            </c:spPr>
          </c:dPt>
          <c:dPt>
            <c:idx val="151"/>
            <c:spPr>
              <a:solidFill>
                <a:srgbClr val="8DC720"/>
              </a:solidFill>
            </c:spPr>
          </c:dPt>
          <c:dPt>
            <c:idx val="152"/>
            <c:spPr>
              <a:solidFill>
                <a:srgbClr val="1BB75F"/>
              </a:solidFill>
            </c:spPr>
          </c:dPt>
          <c:dPt>
            <c:idx val="153"/>
            <c:spPr>
              <a:solidFill>
                <a:srgbClr val="27355D"/>
              </a:solidFill>
            </c:spPr>
          </c:dPt>
          <c:dPt>
            <c:idx val="154"/>
            <c:spPr>
              <a:solidFill>
                <a:srgbClr val="FFB772"/>
              </a:solidFill>
            </c:spPr>
          </c:dPt>
          <c:dPt>
            <c:idx val="155"/>
            <c:spPr>
              <a:solidFill>
                <a:srgbClr val="B2AE72"/>
              </a:solidFill>
            </c:spPr>
          </c:dPt>
          <c:dPt>
            <c:idx val="156"/>
            <c:spPr>
              <a:solidFill>
                <a:srgbClr val="043D4A"/>
              </a:solidFill>
            </c:spPr>
          </c:dPt>
          <c:dPt>
            <c:idx val="157"/>
            <c:spPr>
              <a:solidFill>
                <a:srgbClr val="8FFF5D"/>
              </a:solidFill>
            </c:spPr>
          </c:dPt>
          <c:dPt>
            <c:idx val="158"/>
            <c:spPr>
              <a:solidFill>
                <a:srgbClr val="1AC7AA"/>
              </a:solidFill>
            </c:spPr>
          </c:dPt>
          <c:dPt>
            <c:idx val="159"/>
            <c:spPr>
              <a:solidFill>
                <a:srgbClr val="634F91"/>
              </a:solidFill>
            </c:spPr>
          </c:dPt>
          <c:dPt>
            <c:idx val="160"/>
            <c:spPr>
              <a:solidFill>
                <a:srgbClr val="FFE7BE"/>
              </a:solidFill>
            </c:spPr>
          </c:dPt>
          <c:dPt>
            <c:idx val="161"/>
            <c:spPr>
              <a:solidFill>
                <a:srgbClr val="EBC283"/>
              </a:solidFill>
            </c:spPr>
          </c:dPt>
          <c:dPt>
            <c:idx val="162"/>
            <c:spPr>
              <a:solidFill>
                <a:srgbClr val="3D614D"/>
              </a:solidFill>
            </c:spPr>
          </c:dPt>
          <c:dPt>
            <c:idx val="163"/>
            <c:spPr>
              <a:solidFill>
                <a:srgbClr val="963699"/>
              </a:solidFill>
            </c:spPr>
          </c:dPt>
          <c:dPt>
            <c:idx val="164"/>
            <c:spPr>
              <a:solidFill>
                <a:srgbClr val="1BDFF5"/>
              </a:solidFill>
            </c:spPr>
          </c:dPt>
          <c:dPt>
            <c:idx val="165"/>
            <c:spPr>
              <a:solidFill>
                <a:srgbClr val="A36DC4"/>
              </a:solidFill>
            </c:spPr>
          </c:dPt>
          <c:dPt>
            <c:idx val="166"/>
            <c:spPr>
              <a:solidFill>
                <a:srgbClr val="FF0C0A"/>
              </a:solidFill>
            </c:spPr>
          </c:dPt>
          <c:dPt>
            <c:idx val="167"/>
            <c:spPr>
              <a:solidFill>
                <a:srgbClr val="23D694"/>
              </a:solidFill>
            </c:spPr>
          </c:dPt>
          <c:dPt>
            <c:idx val="168"/>
            <c:spPr>
              <a:solidFill>
                <a:srgbClr val="768750"/>
              </a:solidFill>
            </c:spPr>
          </c:dPt>
          <c:dPt>
            <c:idx val="169"/>
            <c:spPr>
              <a:solidFill>
                <a:srgbClr val="9E6ED6"/>
              </a:solidFill>
            </c:spPr>
          </c:dPt>
          <c:dPt>
            <c:idx val="170"/>
            <c:spPr>
              <a:solidFill>
                <a:srgbClr val="1FEF40"/>
              </a:solidFill>
            </c:spPr>
          </c:dPt>
          <c:dPt>
            <c:idx val="171"/>
            <c:spPr>
              <a:solidFill>
                <a:srgbClr val="DF87F8"/>
              </a:solidFill>
            </c:spPr>
          </c:dPt>
          <c:dPt>
            <c:idx val="172"/>
            <c:spPr>
              <a:solidFill>
                <a:srgbClr val="FF3F57"/>
              </a:solidFill>
            </c:spPr>
          </c:dPt>
          <c:dPt>
            <c:idx val="173"/>
            <c:spPr>
              <a:solidFill>
                <a:srgbClr val="5AE7A5"/>
              </a:solidFill>
            </c:spPr>
          </c:dPt>
          <c:dPt>
            <c:idx val="174"/>
            <c:spPr>
              <a:solidFill>
                <a:srgbClr val="AEAB54"/>
              </a:solidFill>
            </c:spPr>
          </c:dPt>
          <c:dPt>
            <c:idx val="175"/>
            <c:spPr>
              <a:solidFill>
                <a:srgbClr val="A7A712"/>
              </a:solidFill>
            </c:spPr>
          </c:dPt>
          <c:dPt>
            <c:idx val="176"/>
            <c:spPr>
              <a:solidFill>
                <a:srgbClr val="1F0B8C"/>
              </a:solidFill>
            </c:spPr>
          </c:dPt>
          <c:dPt>
            <c:idx val="177"/>
            <c:spPr>
              <a:solidFill>
                <a:srgbClr val="1B9F2B"/>
              </a:solidFill>
            </c:spPr>
          </c:dPt>
          <c:dPt>
            <c:idx val="178"/>
            <c:spPr>
              <a:solidFill>
                <a:srgbClr val="FF6BA3"/>
              </a:solidFill>
            </c:spPr>
          </c:dPt>
          <c:dPt>
            <c:idx val="179"/>
            <c:spPr>
              <a:solidFill>
                <a:srgbClr val="92FBB6"/>
              </a:solidFill>
            </c:spPr>
          </c:dPt>
          <c:dPt>
            <c:idx val="180"/>
            <c:spPr>
              <a:solidFill>
                <a:srgbClr val="E7CF57"/>
              </a:solidFill>
            </c:spPr>
          </c:dPt>
          <c:dPt>
            <c:idx val="181"/>
            <c:spPr>
              <a:solidFill>
                <a:srgbClr val="A7DF4F"/>
              </a:solidFill>
            </c:spPr>
          </c:dPt>
          <c:dPt>
            <c:idx val="182"/>
            <c:spPr>
              <a:solidFill>
                <a:srgbClr val="1F1FD7"/>
              </a:solidFill>
            </c:spPr>
          </c:dPt>
          <c:dPt>
            <c:idx val="183"/>
            <c:spPr>
              <a:solidFill>
                <a:srgbClr val="57B75F"/>
              </a:solidFill>
            </c:spPr>
          </c:dPt>
          <c:dPt>
            <c:idx val="184"/>
            <c:spPr>
              <a:solidFill>
                <a:srgbClr val="FF8FEF"/>
              </a:solidFill>
            </c:spPr>
          </c:dPt>
          <c:dPt>
            <c:idx val="185"/>
            <c:spPr>
              <a:solidFill>
                <a:srgbClr val="C70FC7"/>
              </a:solidFill>
            </c:spPr>
          </c:dPt>
          <c:dPt>
            <c:idx val="186"/>
            <c:spPr>
              <a:solidFill>
                <a:srgbClr val="24F55A"/>
              </a:solidFill>
            </c:spPr>
          </c:dPt>
          <c:dPt>
            <c:idx val="187"/>
            <c:spPr>
              <a:solidFill>
                <a:srgbClr val="AF178C"/>
              </a:solidFill>
            </c:spPr>
          </c:dPt>
          <c:dPt>
            <c:idx val="188"/>
            <c:spPr>
              <a:solidFill>
                <a:srgbClr val="232B22"/>
              </a:solidFill>
            </c:spPr>
          </c:dPt>
          <c:dPt>
            <c:idx val="189"/>
            <c:spPr>
              <a:solidFill>
                <a:srgbClr val="97D793"/>
              </a:solidFill>
            </c:spPr>
          </c:dPt>
          <c:dPt>
            <c:idx val="190"/>
            <c:spPr>
              <a:solidFill>
                <a:srgbClr val="FFBB3B"/>
              </a:solidFill>
            </c:spPr>
          </c:dPt>
          <c:dPt>
            <c:idx val="191"/>
            <c:spPr>
              <a:solidFill>
                <a:srgbClr val="FF23D8"/>
              </a:solidFill>
            </c:spPr>
          </c:dPt>
          <c:dPt>
            <c:idx val="192"/>
            <c:spPr>
              <a:solidFill>
                <a:srgbClr val="5D195E"/>
              </a:solidFill>
            </c:spPr>
          </c:dPt>
          <c:dPt>
            <c:idx val="193"/>
            <c:spPr>
              <a:solidFill>
                <a:srgbClr val="B757C8"/>
              </a:solidFill>
            </c:spPr>
          </c:dPt>
          <c:dPt>
            <c:idx val="194"/>
            <c:spPr>
              <a:solidFill>
                <a:srgbClr val="233F6E"/>
              </a:solidFill>
            </c:spPr>
          </c:dPt>
          <c:dPt>
            <c:idx val="195"/>
            <c:spPr>
              <a:solidFill>
                <a:srgbClr val="D3EFC6"/>
              </a:solidFill>
            </c:spPr>
          </c:dPt>
          <c:dPt>
            <c:idx val="196"/>
            <c:spPr>
              <a:solidFill>
                <a:srgbClr val="FFEF87"/>
              </a:solidFill>
            </c:spPr>
          </c:dPt>
          <c:dPt>
            <c:idx val="197"/>
            <c:spPr>
              <a:solidFill>
                <a:srgbClr val="3737E9"/>
              </a:solidFill>
            </c:spPr>
          </c:dPt>
          <c:dPt>
            <c:idx val="198"/>
            <c:spPr>
              <a:solidFill>
                <a:srgbClr val="953D61"/>
              </a:solidFill>
            </c:spPr>
          </c:dPt>
          <c:dPt>
            <c:idx val="199"/>
            <c:spPr>
              <a:solidFill>
                <a:srgbClr val="BF8805"/>
              </a:solidFill>
            </c:spPr>
          </c:dPt>
          <c:dPt>
            <c:idx val="200"/>
            <c:spPr>
              <a:solidFill>
                <a:srgbClr val="235BB9"/>
              </a:solidFill>
            </c:spPr>
          </c:dPt>
          <c:dPt>
            <c:idx val="201"/>
            <c:spPr>
              <a:solidFill>
                <a:srgbClr val="0E07FA"/>
              </a:solidFill>
            </c:spPr>
          </c:dPt>
          <c:dPt>
            <c:idx val="202"/>
            <c:spPr>
              <a:solidFill>
                <a:srgbClr val="FF1BD4"/>
              </a:solidFill>
            </c:spPr>
          </c:dPt>
          <c:dPt>
            <c:idx val="203"/>
            <c:spPr>
              <a:solidFill>
                <a:srgbClr val="6F4AFA"/>
              </a:solidFill>
            </c:spPr>
          </c:dPt>
          <c:dPt>
            <c:idx val="204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World!$A$7:$A$210</c:f>
            </c:strRef>
          </c:cat>
          <c:val>
            <c:numRef>
              <c:f>World!$D$7:$D$211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ables/table1.xml><?xml version="1.0" encoding="utf-8"?>
<table xmlns="http://schemas.openxmlformats.org/spreadsheetml/2006/main" ref="A6:I213" displayName="Table_13" id="13">
  <tableColumns count="9">
    <tableColumn name="LOCATION" id="1"/>
    <tableColumn name="Cases" id="2"/>
    <tableColumn name="New cases" id="3"/>
    <tableColumn name="Deaths" id="4"/>
    <tableColumn name="New deaths" id="5"/>
    <tableColumn name="Death rate" id="6"/>
    <tableColumn name="Serious &amp; Critical" id="7"/>
    <tableColumn name="Recovered" id="8"/>
    <tableColumn name="Links" id="9"/>
  </tableColumns>
  <tableStyleInfo name="World-style" showColumnStripes="0" showFirstColumn="1" showLastColumn="1" showRowStripes="1"/>
</table>
</file>

<file path=xl/tables/table10.xml><?xml version="1.0" encoding="utf-8"?>
<table xmlns="http://schemas.openxmlformats.org/spreadsheetml/2006/main" ref="A5:H18" displayName="Table_4" id="4">
  <tableColumns count="8">
    <tableColumn name="CRUISE SHIPS" id="1"/>
    <tableColumn name="Cases" id="2"/>
    <tableColumn name="Deaths" id="3"/>
    <tableColumn name="On board" id="4"/>
    <tableColumn name="Infection rate" id="5"/>
    <tableColumn name="Death rate" id="6"/>
    <tableColumn name="Recovered" id="7"/>
    <tableColumn name="Links" id="8"/>
  </tableColumns>
  <tableStyleInfo name="Cruise ships-style 2" showColumnStripes="0" showFirstColumn="1" showLastColumn="1" showRowStripes="1"/>
</table>
</file>

<file path=xl/tables/table11.xml><?xml version="1.0" encoding="utf-8"?>
<table xmlns="http://schemas.openxmlformats.org/spreadsheetml/2006/main" ref="L5:M20" displayName="Table_8" id="8">
  <tableColumns count="2">
    <tableColumn name="Cases" id="1"/>
    <tableColumn name="Deaths" id="2"/>
  </tableColumns>
  <tableStyleInfo name="Canada-style" showColumnStripes="0" showFirstColumn="1" showLastColumn="1" showRowStripes="1"/>
</table>
</file>

<file path=xl/tables/table12.xml><?xml version="1.0" encoding="utf-8"?>
<table xmlns="http://schemas.openxmlformats.org/spreadsheetml/2006/main" ref="A5:I20" displayName="Table_9" id="9">
  <tableColumns count="9">
    <tableColumn name="CANADA" id="1"/>
    <tableColumn name="Cases" id="2"/>
    <tableColumn name="New cases" id="3"/>
    <tableColumn name="Deaths" id="4"/>
    <tableColumn name="New deaths" id="5"/>
    <tableColumn name="Death rate" id="6"/>
    <tableColumn name="Serious &amp; Critical" id="7"/>
    <tableColumn name="Recovered" id="8"/>
    <tableColumn name="Links" id="9"/>
  </tableColumns>
  <tableStyleInfo name="Canada-style 2" showColumnStripes="0" showFirstColumn="1" showLastColumn="1" showRowStripes="1"/>
</table>
</file>

<file path=xl/tables/table13.xml><?xml version="1.0" encoding="utf-8"?>
<table xmlns="http://schemas.openxmlformats.org/spreadsheetml/2006/main" headerRowCount="0" ref="A5:G16" displayName="Table_10" id="10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Chin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4.xml><?xml version="1.0" encoding="utf-8"?>
<table xmlns="http://schemas.openxmlformats.org/spreadsheetml/2006/main" headerRowCount="0" ref="F2:K3" displayName="Table_11" id="11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Not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5.xml><?xml version="1.0" encoding="utf-8"?>
<table xmlns="http://schemas.openxmlformats.org/spreadsheetml/2006/main" ref="A5:E24" displayName="Table_12" id="12">
  <tableColumns count="5">
    <tableColumn name="Mundo Hispano" id="1"/>
    <tableColumn name="Casos" id="2"/>
    <tableColumn name="Muertes" id="3"/>
    <tableColumn name="Serios" id="4"/>
    <tableColumn name="Recuperados" id="5"/>
  </tableColumns>
  <tableStyleInfo name="América Latina-style" showColumnStripes="0" showFirstColumn="1" showLastColumn="1" showRowStripes="1"/>
</table>
</file>

<file path=xl/tables/table2.xml><?xml version="1.0" encoding="utf-8"?>
<table xmlns="http://schemas.openxmlformats.org/spreadsheetml/2006/main" ref="M6:M213" displayName="Table_14" id="14">
  <tableColumns count="1">
    <tableColumn name="Deaths" id="1"/>
  </tableColumns>
  <tableStyleInfo name="World-style 2" showColumnStripes="0" showFirstColumn="1" showLastColumn="1" showRowStripes="1"/>
</table>
</file>

<file path=xl/tables/table3.xml><?xml version="1.0" encoding="utf-8"?>
<table xmlns="http://schemas.openxmlformats.org/spreadsheetml/2006/main" ref="L6:L213" displayName="Table_15" id="15">
  <tableColumns count="1">
    <tableColumn name="Cases" id="1"/>
  </tableColumns>
  <tableStyleInfo name="World-style 3" showColumnStripes="0" showFirstColumn="1" showLastColumn="1" showRowStripes="1"/>
</table>
</file>

<file path=xl/tables/table4.xml><?xml version="1.0" encoding="utf-8"?>
<table xmlns="http://schemas.openxmlformats.org/spreadsheetml/2006/main" ref="A5:I70" displayName="Table_5" id="5">
  <tableColumns count="9">
    <tableColumn name="UNITED STATES" id="1"/>
    <tableColumn name="Cases" id="2"/>
    <tableColumn name="New cases" id="3"/>
    <tableColumn name="Deaths" id="4"/>
    <tableColumn name="New deaths" id="5"/>
    <tableColumn name="Death rate" id="6"/>
    <tableColumn name="Serious &amp; Critical" id="7"/>
    <tableColumn name="Recovered" id="8"/>
    <tableColumn name="Links" id="9"/>
  </tableColumns>
  <tableStyleInfo name="USA-style" showColumnStripes="0" showFirstColumn="1" showLastColumn="1" showRowStripes="1"/>
</table>
</file>

<file path=xl/tables/table5.xml><?xml version="1.0" encoding="utf-8"?>
<table xmlns="http://schemas.openxmlformats.org/spreadsheetml/2006/main" headerRowCount="0" ref="M5:N6" displayName="Table_6" id="6">
  <tableColumns count="2">
    <tableColumn name="Column1" id="1"/>
    <tableColumn name="Column2" id="2"/>
  </tableColumns>
  <tableStyleInfo name="USA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ref="L5:L6" displayName="Table_7" id="7">
  <tableColumns count="1">
    <tableColumn name="Cases" id="1"/>
  </tableColumns>
  <tableStyleInfo name="USA-style 3" showColumnStripes="0" showFirstColumn="1" showLastColumn="1" showRowStripes="1"/>
</table>
</file>

<file path=xl/tables/table7.xml><?xml version="1.0" encoding="utf-8"?>
<table xmlns="http://schemas.openxmlformats.org/spreadsheetml/2006/main" ref="A5:I18" displayName="Table_1" id="1">
  <tableColumns count="9">
    <tableColumn name="AUSTRALIA" id="1"/>
    <tableColumn name="Cases" id="2"/>
    <tableColumn name="New cases" id="3"/>
    <tableColumn name="Deaths" id="4"/>
    <tableColumn name="New deaths" id="5"/>
    <tableColumn name="Death rate" id="6"/>
    <tableColumn name="Serious &amp; Critical" id="7"/>
    <tableColumn name="Recovered" id="8"/>
    <tableColumn name="Links" id="9"/>
  </tableColumns>
  <tableStyleInfo name="Australia-style" showColumnStripes="0" showFirstColumn="1" showLastColumn="1" showRowStripes="1"/>
</table>
</file>

<file path=xl/tables/table8.xml><?xml version="1.0" encoding="utf-8"?>
<table xmlns="http://schemas.openxmlformats.org/spreadsheetml/2006/main" ref="L5:M18" displayName="Table_2" id="2">
  <tableColumns count="2">
    <tableColumn name="Cases" id="1"/>
    <tableColumn name="Deaths" id="2"/>
  </tableColumns>
  <tableStyleInfo name="Australia-style 2" showColumnStripes="0" showFirstColumn="1" showLastColumn="1" showRowStripes="1"/>
</table>
</file>

<file path=xl/tables/table9.xml><?xml version="1.0" encoding="utf-8"?>
<table xmlns="http://schemas.openxmlformats.org/spreadsheetml/2006/main" ref="K5:L18" displayName="Table_3" id="3">
  <tableColumns count="2">
    <tableColumn name="Cases" id="1"/>
    <tableColumn name="Deaths" id="2"/>
  </tableColumns>
  <tableStyleInfo name="Cruise ship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9" Type="http://schemas.openxmlformats.org/officeDocument/2006/relationships/table" Target="../tables/table3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9.xml"/><Relationship Id="rId5" Type="http://schemas.openxmlformats.org/officeDocument/2006/relationships/table" Target="../tables/table10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4" Type="http://schemas.openxmlformats.org/officeDocument/2006/relationships/table" Target="../tables/table11.xml"/><Relationship Id="rId5" Type="http://schemas.openxmlformats.org/officeDocument/2006/relationships/table" Target="../tables/table12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13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14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3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5.71"/>
    <col customWidth="1" min="2" max="2" width="13.0"/>
    <col customWidth="1" min="3" max="3" width="8.43"/>
    <col customWidth="1" min="4" max="4" width="9.0"/>
    <col customWidth="1" min="5" max="5" width="9.43"/>
    <col customWidth="1" min="6" max="6" width="8.71"/>
    <col customWidth="1" min="7" max="7" width="9.71"/>
    <col customWidth="1" min="8" max="8" width="11.57"/>
    <col customWidth="1" min="9" max="9" width="10.0"/>
    <col customWidth="1" min="10" max="10" width="0.71"/>
    <col customWidth="1" min="12" max="12" width="13.0"/>
    <col customWidth="1" min="13" max="13" width="9.0"/>
  </cols>
  <sheetData>
    <row r="1">
      <c r="A1" s="2" t="s">
        <v>0</v>
      </c>
      <c r="B1" s="4"/>
      <c r="C1" s="4"/>
      <c r="D1" s="4"/>
      <c r="E1" s="5"/>
      <c r="F1" s="5"/>
      <c r="G1" s="5"/>
      <c r="H1" s="6"/>
      <c r="I1" s="7"/>
      <c r="J1" s="9"/>
      <c r="K1" s="10"/>
      <c r="L1" s="4"/>
      <c r="M1" s="4"/>
      <c r="N1" s="3"/>
      <c r="O1" s="3"/>
      <c r="P1" s="3"/>
    </row>
    <row r="2">
      <c r="A2" s="4"/>
      <c r="B2" s="4"/>
      <c r="C2" s="4"/>
      <c r="D2" s="4"/>
      <c r="E2" s="5"/>
      <c r="F2" s="5"/>
      <c r="G2" s="5"/>
      <c r="H2" s="6"/>
      <c r="I2" s="7"/>
      <c r="J2" s="9"/>
      <c r="K2" s="11"/>
      <c r="L2" s="4"/>
      <c r="M2" s="4"/>
      <c r="N2" s="3"/>
      <c r="O2" s="3"/>
      <c r="P2" s="3"/>
    </row>
    <row r="3">
      <c r="A3" s="4" t="s">
        <v>1</v>
      </c>
      <c r="B3" s="12" t="s">
        <v>2</v>
      </c>
      <c r="C3" s="5" t="s">
        <v>3</v>
      </c>
      <c r="E3" s="8" t="s">
        <v>4</v>
      </c>
      <c r="H3" s="6"/>
      <c r="I3" s="7"/>
      <c r="J3" s="9"/>
      <c r="K3" s="11"/>
      <c r="L3" s="12" t="s">
        <v>2</v>
      </c>
      <c r="N3" s="3"/>
      <c r="O3" s="3"/>
      <c r="P3" s="3"/>
    </row>
    <row r="4">
      <c r="A4" s="13">
        <f>SUM(B212, B213)</f>
        <v>2085420</v>
      </c>
      <c r="B4" s="15">
        <f>SUM(D212, D213)</f>
        <v>138435</v>
      </c>
      <c r="C4" s="14">
        <f>SUM(H212, H213)</f>
        <v>508268</v>
      </c>
      <c r="E4" s="17">
        <f>MINUS(A4,B4 + C4)</f>
        <v>1438717</v>
      </c>
      <c r="G4" s="5"/>
      <c r="H4" s="6"/>
      <c r="I4" s="7"/>
      <c r="J4" s="9"/>
      <c r="K4" s="11"/>
      <c r="L4" s="19">
        <f>SUM(N212, N213)</f>
        <v>0</v>
      </c>
      <c r="N4" s="20"/>
      <c r="O4" s="3"/>
      <c r="P4" s="3"/>
    </row>
    <row r="5">
      <c r="A5" s="18"/>
      <c r="B5" s="7"/>
      <c r="C5" s="7"/>
      <c r="D5" s="7"/>
      <c r="E5" s="6"/>
      <c r="F5" s="6"/>
      <c r="G5" s="6"/>
      <c r="H5" s="6"/>
      <c r="I5" s="7"/>
      <c r="J5" s="9"/>
      <c r="K5" s="11"/>
      <c r="L5" s="7"/>
      <c r="M5" s="7"/>
      <c r="N5" s="3"/>
      <c r="O5" s="3"/>
      <c r="P5" s="3"/>
    </row>
    <row r="6" ht="30.0" customHeight="1">
      <c r="A6" s="22" t="s">
        <v>6</v>
      </c>
      <c r="B6" s="24" t="s">
        <v>7</v>
      </c>
      <c r="C6" s="25" t="s">
        <v>9</v>
      </c>
      <c r="D6" s="24" t="s">
        <v>10</v>
      </c>
      <c r="E6" s="26" t="s">
        <v>11</v>
      </c>
      <c r="F6" s="26" t="s">
        <v>12</v>
      </c>
      <c r="G6" s="26" t="s">
        <v>13</v>
      </c>
      <c r="H6" s="28" t="s">
        <v>14</v>
      </c>
      <c r="I6" s="24" t="s">
        <v>15</v>
      </c>
      <c r="J6" s="29"/>
      <c r="K6" s="30"/>
      <c r="L6" s="24" t="s">
        <v>7</v>
      </c>
      <c r="M6" s="24" t="s">
        <v>10</v>
      </c>
      <c r="N6" s="31"/>
      <c r="O6" s="32"/>
      <c r="P6" s="31"/>
    </row>
    <row r="7" ht="30.0" customHeight="1">
      <c r="A7" s="37" t="s">
        <v>17</v>
      </c>
      <c r="B7" s="39">
        <f>USA!A3</f>
        <v>644560</v>
      </c>
      <c r="C7" s="41">
        <f t="shared" ref="C7:C200" si="1">MINUS(B7,L7)</f>
        <v>0</v>
      </c>
      <c r="D7" s="39">
        <f>USA!B3</f>
        <v>32429</v>
      </c>
      <c r="E7" s="45">
        <f t="shared" ref="E7:E211" si="2">MINUS(D7, M7)</f>
        <v>32429</v>
      </c>
      <c r="F7" s="42">
        <f t="shared" ref="F7:F210" si="3">DIVIDE(D7, B7)</f>
        <v>0.05031184064</v>
      </c>
      <c r="G7" s="50">
        <f>USA!G68</f>
        <v>7758</v>
      </c>
      <c r="H7" s="50">
        <f>USA!C3</f>
        <v>36444</v>
      </c>
      <c r="I7" s="53" t="str">
        <f>HYPERLINK("https://bnonews.com/index.php/2019/12/tracking-coronavirus-u-s-data/","Source")</f>
        <v>Source</v>
      </c>
      <c r="J7" s="55"/>
      <c r="K7" s="56"/>
      <c r="L7" s="39">
        <v>644560.0</v>
      </c>
      <c r="M7" s="58" t="str">
        <f>USA!K3</f>
        <v/>
      </c>
      <c r="N7" s="31"/>
      <c r="O7" s="31"/>
      <c r="P7" s="31"/>
    </row>
    <row r="8" ht="30.0" customHeight="1">
      <c r="A8" s="37" t="s">
        <v>22</v>
      </c>
      <c r="B8" s="39">
        <v>180659.0</v>
      </c>
      <c r="C8" s="41">
        <f t="shared" si="1"/>
        <v>0</v>
      </c>
      <c r="D8" s="62">
        <v>18812.0</v>
      </c>
      <c r="E8" s="45">
        <f t="shared" si="2"/>
        <v>0</v>
      </c>
      <c r="F8" s="59">
        <f t="shared" si="3"/>
        <v>0.1041298801</v>
      </c>
      <c r="G8" s="50">
        <v>7871.0</v>
      </c>
      <c r="H8" s="50">
        <v>70853.0</v>
      </c>
      <c r="I8" s="53" t="str">
        <f>HYPERLINK("https://www.rtve.es/noticias/20200413/mapa-del-coronavirus-espana/2004681.shtml","Source")</f>
        <v>Source</v>
      </c>
      <c r="J8" s="67"/>
      <c r="K8" s="56"/>
      <c r="L8" s="39">
        <v>180659.0</v>
      </c>
      <c r="M8" s="62">
        <v>18812.0</v>
      </c>
      <c r="N8" s="31"/>
      <c r="O8" s="31"/>
      <c r="P8" s="31"/>
    </row>
    <row r="9" ht="30.0" customHeight="1">
      <c r="A9" s="37" t="s">
        <v>24</v>
      </c>
      <c r="B9" s="39">
        <v>165155.0</v>
      </c>
      <c r="C9" s="41">
        <f t="shared" si="1"/>
        <v>0</v>
      </c>
      <c r="D9" s="39">
        <v>21645.0</v>
      </c>
      <c r="E9" s="45">
        <f t="shared" si="2"/>
        <v>0</v>
      </c>
      <c r="F9" s="59">
        <f t="shared" si="3"/>
        <v>0.1310587024</v>
      </c>
      <c r="G9" s="50">
        <v>3079.0</v>
      </c>
      <c r="H9" s="50">
        <v>38092.0</v>
      </c>
      <c r="I9" s="53" t="str">
        <f>HYPERLINK("https://bnonews.com/wp-content/uploads/2020/04/4152020Italy.png","Source")</f>
        <v>Source</v>
      </c>
      <c r="J9" s="66"/>
      <c r="K9" s="56"/>
      <c r="L9" s="39">
        <v>165155.0</v>
      </c>
      <c r="M9" s="39">
        <v>21645.0</v>
      </c>
      <c r="N9" s="31"/>
      <c r="O9" s="31"/>
      <c r="P9" s="31"/>
    </row>
    <row r="10" ht="30.0" customHeight="1">
      <c r="A10" s="37" t="s">
        <v>27</v>
      </c>
      <c r="B10" s="39">
        <v>147863.0</v>
      </c>
      <c r="C10" s="41">
        <f t="shared" si="1"/>
        <v>0</v>
      </c>
      <c r="D10" s="39">
        <v>17167.0</v>
      </c>
      <c r="E10" s="45">
        <f t="shared" si="2"/>
        <v>0</v>
      </c>
      <c r="F10" s="59">
        <f t="shared" si="3"/>
        <v>0.1161007149</v>
      </c>
      <c r="G10" s="50">
        <v>6457.0</v>
      </c>
      <c r="H10" s="50">
        <v>30955.0</v>
      </c>
      <c r="I10" s="53" t="str">
        <f>HYPERLINK("https://www.santepubliquefrance.fr/maladies-et-traumatismes/maladies-et-infections-respiratoires/infection-a-coronavirus/articles/infection-au-nouveau-coronavirus-sars-cov-2-covid-19-france-et-monde","Source")</f>
        <v>Source</v>
      </c>
      <c r="J10" s="66"/>
      <c r="K10" s="72" t="s">
        <v>19</v>
      </c>
      <c r="L10" s="39">
        <v>147863.0</v>
      </c>
      <c r="M10" s="39">
        <v>17167.0</v>
      </c>
      <c r="N10" s="31"/>
      <c r="O10" s="31"/>
      <c r="P10" s="31"/>
    </row>
    <row r="11" ht="30.0" customHeight="1">
      <c r="A11" s="37" t="s">
        <v>31</v>
      </c>
      <c r="B11" s="62">
        <v>135089.0</v>
      </c>
      <c r="C11" s="41">
        <f t="shared" si="1"/>
        <v>0</v>
      </c>
      <c r="D11" s="39">
        <v>3797.0</v>
      </c>
      <c r="E11" s="45">
        <f t="shared" si="2"/>
        <v>0</v>
      </c>
      <c r="F11" s="42">
        <f t="shared" si="3"/>
        <v>0.02810739586</v>
      </c>
      <c r="G11" s="50">
        <v>2634.0</v>
      </c>
      <c r="H11" s="50">
        <v>85475.0</v>
      </c>
      <c r="I11" s="53" t="str">
        <f>HYPERLINK("https://dts-nachrichtenagentur.de/corona-fallzahlen","Source")</f>
        <v>Source</v>
      </c>
      <c r="J11" s="67"/>
      <c r="K11" s="56"/>
      <c r="L11" s="62">
        <v>135089.0</v>
      </c>
      <c r="M11" s="39">
        <v>3797.0</v>
      </c>
      <c r="N11" s="31"/>
      <c r="O11" s="31"/>
      <c r="P11" s="31"/>
    </row>
    <row r="12" ht="30.0" customHeight="1">
      <c r="A12" s="37" t="s">
        <v>33</v>
      </c>
      <c r="B12" s="39">
        <v>98476.0</v>
      </c>
      <c r="C12" s="41">
        <f t="shared" si="1"/>
        <v>0</v>
      </c>
      <c r="D12" s="39">
        <v>12868.0</v>
      </c>
      <c r="E12" s="45">
        <f t="shared" si="2"/>
        <v>0</v>
      </c>
      <c r="F12" s="59">
        <f t="shared" si="3"/>
        <v>0.1306714326</v>
      </c>
      <c r="G12" s="73" t="s">
        <v>26</v>
      </c>
      <c r="H12" s="50">
        <v>1918.0</v>
      </c>
      <c r="I12" s="53" t="str">
        <f>HYPERLINK("https://twitter.com/DHSCgovuk/status/1250416371453669377","Source")</f>
        <v>Source</v>
      </c>
      <c r="J12" s="66"/>
      <c r="K12" s="72" t="s">
        <v>19</v>
      </c>
      <c r="L12" s="39">
        <v>98476.0</v>
      </c>
      <c r="M12" s="39">
        <v>12868.0</v>
      </c>
      <c r="N12" s="31"/>
      <c r="O12" s="31"/>
      <c r="P12" s="31"/>
    </row>
    <row r="13" ht="30.0" customHeight="1">
      <c r="A13" s="37" t="s">
        <v>37</v>
      </c>
      <c r="B13" s="39">
        <f>China!A3</f>
        <v>84489</v>
      </c>
      <c r="C13" s="41">
        <f t="shared" si="1"/>
        <v>84489</v>
      </c>
      <c r="D13" s="39">
        <f>China!B3</f>
        <v>3342</v>
      </c>
      <c r="E13" s="45">
        <f t="shared" si="2"/>
        <v>3342</v>
      </c>
      <c r="F13" s="42">
        <f t="shared" si="3"/>
        <v>0.03955544509</v>
      </c>
      <c r="G13" s="50">
        <f>China!D15</f>
        <v>113</v>
      </c>
      <c r="H13" s="50">
        <f>China!D3</f>
        <v>78987</v>
      </c>
      <c r="I13" s="53" t="str">
        <f>HYPERLINK("https://bnonews.com/index.php/2020/03/tracking-coronavirus-china-data/","Source")</f>
        <v>Source</v>
      </c>
      <c r="J13" s="29"/>
      <c r="K13" s="72" t="s">
        <v>19</v>
      </c>
      <c r="L13" s="39" t="str">
        <f>China!K3</f>
        <v/>
      </c>
      <c r="M13" s="39" t="str">
        <f>China!K3</f>
        <v/>
      </c>
      <c r="N13" s="31"/>
      <c r="O13" s="31"/>
      <c r="P13" s="31"/>
    </row>
    <row r="14" ht="30.0" customHeight="1">
      <c r="A14" s="37" t="s">
        <v>42</v>
      </c>
      <c r="B14" s="39">
        <v>76389.0</v>
      </c>
      <c r="C14" s="41">
        <f t="shared" si="1"/>
        <v>0</v>
      </c>
      <c r="D14" s="39">
        <v>4777.0</v>
      </c>
      <c r="E14" s="45">
        <f t="shared" si="2"/>
        <v>0</v>
      </c>
      <c r="F14" s="42">
        <f t="shared" si="3"/>
        <v>0.06253518177</v>
      </c>
      <c r="G14" s="50">
        <v>3643.0</v>
      </c>
      <c r="H14" s="50">
        <v>49933.0</v>
      </c>
      <c r="I14" s="53" t="str">
        <f>HYPERLINK("https://twitter.com/AbasAslani/status/1250359659485171713","Source")</f>
        <v>Source</v>
      </c>
      <c r="J14" s="66"/>
      <c r="K14" s="72" t="s">
        <v>19</v>
      </c>
      <c r="L14" s="39">
        <v>76389.0</v>
      </c>
      <c r="M14" s="39">
        <v>4777.0</v>
      </c>
      <c r="N14" s="31"/>
      <c r="O14" s="31"/>
      <c r="P14" s="31"/>
    </row>
    <row r="15" ht="27.75" customHeight="1">
      <c r="A15" s="37" t="s">
        <v>45</v>
      </c>
      <c r="B15" s="39">
        <v>69392.0</v>
      </c>
      <c r="C15" s="41">
        <f t="shared" si="1"/>
        <v>0</v>
      </c>
      <c r="D15" s="39">
        <v>1518.0</v>
      </c>
      <c r="E15" s="45">
        <f t="shared" si="2"/>
        <v>0</v>
      </c>
      <c r="F15" s="59">
        <f t="shared" si="3"/>
        <v>0.02187572054</v>
      </c>
      <c r="G15" s="50">
        <v>1820.0</v>
      </c>
      <c r="H15" s="50">
        <v>5674.0</v>
      </c>
      <c r="I15" s="53" t="str">
        <f>HYPERLINK("https://covid19.saglik.gov.tr/","Source")</f>
        <v>Source</v>
      </c>
      <c r="J15" s="66"/>
      <c r="K15" s="72" t="s">
        <v>19</v>
      </c>
      <c r="L15" s="39">
        <v>69392.0</v>
      </c>
      <c r="M15" s="39">
        <v>1518.0</v>
      </c>
      <c r="N15" s="31"/>
      <c r="O15" s="31"/>
      <c r="P15" s="31"/>
    </row>
    <row r="16" ht="30.0" customHeight="1">
      <c r="A16" s="37" t="s">
        <v>49</v>
      </c>
      <c r="B16" s="39">
        <v>33573.0</v>
      </c>
      <c r="C16" s="41">
        <f t="shared" si="1"/>
        <v>0</v>
      </c>
      <c r="D16" s="39">
        <v>4440.0</v>
      </c>
      <c r="E16" s="45">
        <f t="shared" si="2"/>
        <v>0</v>
      </c>
      <c r="F16" s="42">
        <f t="shared" si="3"/>
        <v>0.1322491288</v>
      </c>
      <c r="G16" s="50">
        <v>1204.0</v>
      </c>
      <c r="H16" s="50">
        <v>7107.0</v>
      </c>
      <c r="I16" s="53" t="str">
        <f>HYPERLINK("https://www.info-coronavirus.be/nl/news/lichte-daling-aantal-opnames-op-intensieve-zorgen/","Source")</f>
        <v>Source</v>
      </c>
      <c r="J16" s="66"/>
      <c r="K16" s="72" t="s">
        <v>19</v>
      </c>
      <c r="L16" s="39">
        <v>33573.0</v>
      </c>
      <c r="M16" s="39">
        <v>4440.0</v>
      </c>
      <c r="N16" s="31"/>
      <c r="O16" s="31"/>
      <c r="P16" s="31"/>
    </row>
    <row r="17" ht="30.0" customHeight="1">
      <c r="A17" s="37" t="s">
        <v>52</v>
      </c>
      <c r="B17" s="39">
        <v>28320.0</v>
      </c>
      <c r="C17" s="41">
        <f t="shared" si="1"/>
        <v>0</v>
      </c>
      <c r="D17" s="39">
        <v>1736.0</v>
      </c>
      <c r="E17" s="45">
        <f t="shared" si="2"/>
        <v>0</v>
      </c>
      <c r="F17" s="42">
        <f t="shared" si="3"/>
        <v>0.06129943503</v>
      </c>
      <c r="G17" s="73" t="s">
        <v>26</v>
      </c>
      <c r="H17" s="50">
        <v>14026.0</v>
      </c>
      <c r="I17" s="53" t="str">
        <f>HYPERLINK("https://g1.globo.com/bemestar/coronavirus/noticia/2020/04/15/casos-de-coronavirus-no-brasil-em-15-de-abril.ghtml","Source")</f>
        <v>Source</v>
      </c>
      <c r="J17" s="67"/>
      <c r="K17" s="56"/>
      <c r="L17" s="39">
        <v>28320.0</v>
      </c>
      <c r="M17" s="39">
        <v>1736.0</v>
      </c>
      <c r="N17" s="31"/>
      <c r="O17" s="31"/>
      <c r="P17" s="31"/>
    </row>
    <row r="18" ht="30.0" customHeight="1">
      <c r="A18" s="37" t="s">
        <v>55</v>
      </c>
      <c r="B18" s="39">
        <v>28153.0</v>
      </c>
      <c r="C18" s="41">
        <f t="shared" si="1"/>
        <v>0</v>
      </c>
      <c r="D18" s="62">
        <v>3134.0</v>
      </c>
      <c r="E18" s="45">
        <f t="shared" si="2"/>
        <v>0</v>
      </c>
      <c r="F18" s="42">
        <f t="shared" si="3"/>
        <v>0.1113202856</v>
      </c>
      <c r="G18" s="50">
        <v>1202.0</v>
      </c>
      <c r="H18" s="50">
        <v>3459.0</v>
      </c>
      <c r="I18" s="53" t="str">
        <f>HYPERLINK("https://www.rivm.nl/nieuws/actuele-informatie-over-coronavirus","Source")</f>
        <v>Source</v>
      </c>
      <c r="J18" s="66"/>
      <c r="K18" s="72" t="s">
        <v>19</v>
      </c>
      <c r="L18" s="39">
        <v>28153.0</v>
      </c>
      <c r="M18" s="62">
        <v>3134.0</v>
      </c>
      <c r="N18" s="31"/>
      <c r="O18" s="31"/>
      <c r="P18" s="31"/>
    </row>
    <row r="19" ht="30.0" customHeight="1">
      <c r="A19" s="37" t="s">
        <v>57</v>
      </c>
      <c r="B19" s="39">
        <f>Canada!A3</f>
        <v>28099</v>
      </c>
      <c r="C19" s="41">
        <f t="shared" si="1"/>
        <v>28099</v>
      </c>
      <c r="D19" s="39">
        <f>Canada!B3</f>
        <v>1004</v>
      </c>
      <c r="E19" s="45">
        <f t="shared" si="2"/>
        <v>1004</v>
      </c>
      <c r="F19" s="42">
        <f t="shared" si="3"/>
        <v>0.03573080893</v>
      </c>
      <c r="G19" s="50">
        <f>Canada!G20</f>
        <v>270</v>
      </c>
      <c r="H19" s="50">
        <f>Canada!C3</f>
        <v>8343</v>
      </c>
      <c r="I19" s="53" t="str">
        <f>HYPERLINK("https://bnonews.com/index.php/2019/12/tracking-coronavirus-canada-data/","Source")</f>
        <v>Source</v>
      </c>
      <c r="J19" s="29"/>
      <c r="K19" s="56"/>
      <c r="L19" s="58" t="str">
        <f>Canada!K3</f>
        <v/>
      </c>
      <c r="M19" s="58" t="str">
        <f>Canada!K3</f>
        <v/>
      </c>
      <c r="N19" s="31"/>
      <c r="O19" s="31"/>
      <c r="P19" s="31"/>
    </row>
    <row r="20" ht="30.0" customHeight="1">
      <c r="A20" s="37" t="s">
        <v>60</v>
      </c>
      <c r="B20" s="39">
        <v>26267.0</v>
      </c>
      <c r="C20" s="41">
        <f t="shared" si="1"/>
        <v>0</v>
      </c>
      <c r="D20" s="39">
        <v>1239.0</v>
      </c>
      <c r="E20" s="45">
        <f t="shared" si="2"/>
        <v>0</v>
      </c>
      <c r="F20" s="42">
        <f t="shared" si="3"/>
        <v>0.04716945216</v>
      </c>
      <c r="G20" s="73" t="s">
        <v>26</v>
      </c>
      <c r="H20" s="50">
        <v>15400.0</v>
      </c>
      <c r="I20" s="53" t="str">
        <f>HYPERLINK("https://rsalzer.github.io/COVID_19_CH/","Source")</f>
        <v>Source</v>
      </c>
      <c r="J20" s="67"/>
      <c r="K20" s="56"/>
      <c r="L20" s="39">
        <v>26267.0</v>
      </c>
      <c r="M20" s="39">
        <v>1239.0</v>
      </c>
      <c r="N20" s="31"/>
      <c r="O20" s="31"/>
      <c r="P20" s="31"/>
    </row>
    <row r="21" ht="30.0" customHeight="1">
      <c r="A21" s="37" t="s">
        <v>63</v>
      </c>
      <c r="B21" s="39">
        <v>24490.0</v>
      </c>
      <c r="C21" s="41">
        <f t="shared" si="1"/>
        <v>0</v>
      </c>
      <c r="D21" s="58">
        <v>198.0</v>
      </c>
      <c r="E21" s="45">
        <f t="shared" si="2"/>
        <v>0</v>
      </c>
      <c r="F21" s="42">
        <f t="shared" si="3"/>
        <v>0.008084932626</v>
      </c>
      <c r="G21" s="73" t="s">
        <v>26</v>
      </c>
      <c r="H21" s="50">
        <v>1986.0</v>
      </c>
      <c r="I21" s="53" t="str">
        <f>HYPERLINK("https://xn--80aesfpebagmfblc0a.xn--p1ai/","Source")</f>
        <v>Source</v>
      </c>
      <c r="J21" s="66"/>
      <c r="K21" s="72" t="s">
        <v>19</v>
      </c>
      <c r="L21" s="39">
        <v>24490.0</v>
      </c>
      <c r="M21" s="58">
        <v>198.0</v>
      </c>
      <c r="N21" s="31"/>
      <c r="O21" s="31"/>
      <c r="P21" s="31"/>
    </row>
    <row r="22" ht="30.0" customHeight="1">
      <c r="A22" s="37" t="s">
        <v>65</v>
      </c>
      <c r="B22" s="39">
        <v>18091.0</v>
      </c>
      <c r="C22" s="41">
        <f t="shared" si="1"/>
        <v>0</v>
      </c>
      <c r="D22" s="58">
        <v>599.0</v>
      </c>
      <c r="E22" s="45">
        <f t="shared" si="2"/>
        <v>0</v>
      </c>
      <c r="F22" s="59">
        <f t="shared" si="3"/>
        <v>0.03311038638</v>
      </c>
      <c r="G22" s="73">
        <v>208.0</v>
      </c>
      <c r="H22" s="73">
        <v>383.0</v>
      </c>
      <c r="I22" s="53" t="str">
        <f>HYPERLINK("https://covid19.min-saude.pt/ponto-de-situacao-atual-em-portugal/","Source")</f>
        <v>Source</v>
      </c>
      <c r="J22" s="66"/>
      <c r="K22" s="72" t="s">
        <v>19</v>
      </c>
      <c r="L22" s="39">
        <v>18091.0</v>
      </c>
      <c r="M22" s="58">
        <v>599.0</v>
      </c>
      <c r="N22" s="31"/>
      <c r="O22" s="31"/>
      <c r="P22" s="31"/>
    </row>
    <row r="23" ht="30.0" customHeight="1">
      <c r="A23" s="37" t="s">
        <v>67</v>
      </c>
      <c r="B23" s="39">
        <v>14331.0</v>
      </c>
      <c r="C23" s="41">
        <f t="shared" si="1"/>
        <v>0</v>
      </c>
      <c r="D23" s="58">
        <v>393.0</v>
      </c>
      <c r="E23" s="45">
        <f t="shared" si="2"/>
        <v>0</v>
      </c>
      <c r="F23" s="59">
        <f t="shared" si="3"/>
        <v>0.02742306887</v>
      </c>
      <c r="G23" s="73">
        <v>232.0</v>
      </c>
      <c r="H23" s="50">
        <v>8098.0</v>
      </c>
      <c r="I23" s="53" t="str">
        <f>HYPERLINK("https://info.gesundheitsministerium.at/","Source")</f>
        <v>Source</v>
      </c>
      <c r="J23" s="67"/>
      <c r="K23" s="72" t="s">
        <v>68</v>
      </c>
      <c r="L23" s="39">
        <v>14331.0</v>
      </c>
      <c r="M23" s="58">
        <v>393.0</v>
      </c>
      <c r="N23" s="31"/>
      <c r="O23" s="31"/>
      <c r="P23" s="31"/>
    </row>
    <row r="24" ht="30.0" customHeight="1">
      <c r="A24" s="37" t="s">
        <v>70</v>
      </c>
      <c r="B24" s="39">
        <v>12547.0</v>
      </c>
      <c r="C24" s="41">
        <f t="shared" si="1"/>
        <v>0</v>
      </c>
      <c r="D24" s="58">
        <v>444.0</v>
      </c>
      <c r="E24" s="45">
        <f t="shared" si="2"/>
        <v>0</v>
      </c>
      <c r="F24" s="42">
        <f t="shared" si="3"/>
        <v>0.03538694509</v>
      </c>
      <c r="G24" s="73">
        <v>280.0</v>
      </c>
      <c r="H24" s="73" t="s">
        <v>26</v>
      </c>
      <c r="I24" s="53" t="str">
        <f>HYPERLINK("https://www.gov.ie/en/press-release/e2be7b-statement-from-the-national-public-health-emergency-team-wednesday-1/","Source")</f>
        <v>Source</v>
      </c>
      <c r="J24" s="90"/>
      <c r="K24" s="72" t="s">
        <v>19</v>
      </c>
      <c r="L24" s="39">
        <v>12547.0</v>
      </c>
      <c r="M24" s="58">
        <v>444.0</v>
      </c>
      <c r="N24" s="31"/>
      <c r="O24" s="31"/>
      <c r="P24" s="31"/>
    </row>
    <row r="25" ht="30.0" customHeight="1">
      <c r="A25" s="37" t="s">
        <v>72</v>
      </c>
      <c r="B25" s="39">
        <v>12501.0</v>
      </c>
      <c r="C25" s="41">
        <f t="shared" si="1"/>
        <v>0</v>
      </c>
      <c r="D25" s="58">
        <v>130.0</v>
      </c>
      <c r="E25" s="45">
        <f t="shared" si="2"/>
        <v>0</v>
      </c>
      <c r="F25" s="42">
        <f t="shared" si="3"/>
        <v>0.01039916807</v>
      </c>
      <c r="G25" s="73">
        <v>180.0</v>
      </c>
      <c r="H25" s="50">
        <v>2563.0</v>
      </c>
      <c r="I25" s="53" t="str">
        <f>HYPERLINK("https://govextra.gov.il/ministry-of-health/corona/corona-virus/","Source")</f>
        <v>Source</v>
      </c>
      <c r="J25" s="66"/>
      <c r="K25" s="72" t="s">
        <v>74</v>
      </c>
      <c r="L25" s="39">
        <v>12501.0</v>
      </c>
      <c r="M25" s="58">
        <v>130.0</v>
      </c>
      <c r="N25" s="31"/>
      <c r="O25" s="31"/>
      <c r="P25" s="31"/>
    </row>
    <row r="26" ht="30.0" customHeight="1">
      <c r="A26" s="37" t="s">
        <v>75</v>
      </c>
      <c r="B26" s="39">
        <v>12370.0</v>
      </c>
      <c r="C26" s="41">
        <f t="shared" si="1"/>
        <v>0</v>
      </c>
      <c r="D26" s="58">
        <v>422.0</v>
      </c>
      <c r="E26" s="45">
        <f t="shared" si="2"/>
        <v>0</v>
      </c>
      <c r="F26" s="59">
        <f t="shared" si="3"/>
        <v>0.03411479386</v>
      </c>
      <c r="G26" s="73" t="s">
        <v>26</v>
      </c>
      <c r="H26" s="50">
        <v>1509.0</v>
      </c>
      <c r="I26" s="53" t="str">
        <f>HYPERLINK("https://www.covid19india.org/","Source")</f>
        <v>Source</v>
      </c>
      <c r="J26" s="67"/>
      <c r="K26" s="30"/>
      <c r="L26" s="39">
        <v>12370.0</v>
      </c>
      <c r="M26" s="58">
        <v>422.0</v>
      </c>
      <c r="N26" s="31"/>
      <c r="O26" s="31"/>
      <c r="P26" s="31"/>
    </row>
    <row r="27" ht="30.0" customHeight="1">
      <c r="A27" s="37" t="s">
        <v>77</v>
      </c>
      <c r="B27" s="39">
        <v>11927.0</v>
      </c>
      <c r="C27" s="41">
        <f t="shared" si="1"/>
        <v>0</v>
      </c>
      <c r="D27" s="39">
        <v>1203.0</v>
      </c>
      <c r="E27" s="45">
        <f t="shared" si="2"/>
        <v>0</v>
      </c>
      <c r="F27" s="59">
        <f t="shared" si="3"/>
        <v>0.1008635868</v>
      </c>
      <c r="G27" s="73">
        <v>954.0</v>
      </c>
      <c r="H27" s="73" t="s">
        <v>26</v>
      </c>
      <c r="I27" s="53" t="str">
        <f>HYPERLINK("https://experience.arcgis.com/experience/09f821667ce64bf7be6f9f87457ed9aa","Source")</f>
        <v>Source</v>
      </c>
      <c r="J27" s="66"/>
      <c r="K27" s="72" t="s">
        <v>19</v>
      </c>
      <c r="L27" s="39">
        <v>11927.0</v>
      </c>
      <c r="M27" s="39">
        <v>1203.0</v>
      </c>
      <c r="N27" s="31"/>
      <c r="O27" s="31"/>
      <c r="P27" s="31"/>
    </row>
    <row r="28" ht="30.0" customHeight="1">
      <c r="A28" s="37" t="s">
        <v>81</v>
      </c>
      <c r="B28" s="39">
        <v>11475.0</v>
      </c>
      <c r="C28" s="41">
        <f t="shared" si="1"/>
        <v>0</v>
      </c>
      <c r="D28" s="58">
        <v>254.0</v>
      </c>
      <c r="E28" s="45">
        <f t="shared" si="2"/>
        <v>0</v>
      </c>
      <c r="F28" s="59">
        <f t="shared" si="3"/>
        <v>0.02213507625</v>
      </c>
      <c r="G28" s="73">
        <v>146.0</v>
      </c>
      <c r="H28" s="50">
        <v>3108.0</v>
      </c>
      <c r="I28" s="94" t="str">
        <f>HYPERLINK("https://www.gob.pe/institucion/minsa/noticias/125568-minsa-casos-confirmados-por-coronavirus-covid-19-ascienden-a-11-475-en-el-peru-comunicado-n-66","Source")</f>
        <v>Source</v>
      </c>
      <c r="J28" s="66"/>
      <c r="K28" s="49" t="s">
        <v>19</v>
      </c>
      <c r="L28" s="39">
        <v>11475.0</v>
      </c>
      <c r="M28" s="58">
        <v>254.0</v>
      </c>
      <c r="N28" s="31"/>
      <c r="O28" s="31"/>
      <c r="P28" s="31"/>
    </row>
    <row r="29" ht="30.0" customHeight="1">
      <c r="A29" s="37" t="s">
        <v>83</v>
      </c>
      <c r="B29" s="39">
        <v>10591.0</v>
      </c>
      <c r="C29" s="41">
        <f t="shared" si="1"/>
        <v>0</v>
      </c>
      <c r="D29" s="58">
        <v>225.0</v>
      </c>
      <c r="E29" s="45">
        <f t="shared" si="2"/>
        <v>0</v>
      </c>
      <c r="F29" s="59">
        <f t="shared" si="3"/>
        <v>0.02124445284</v>
      </c>
      <c r="G29" s="73" t="s">
        <v>26</v>
      </c>
      <c r="H29" s="50">
        <v>7447.0</v>
      </c>
      <c r="I29" s="53" t="str">
        <f>HYPERLINK("http://ncov.mohw.go.kr/tcmBoardView.do?brdId=&amp;brdGubun=&amp;dataGubun=&amp;ncvContSeq=354072&amp;contSeq=354072&amp;board_id=&amp;gubun=ALL","Source")</f>
        <v>Source</v>
      </c>
      <c r="J29" s="66"/>
      <c r="K29" s="49" t="s">
        <v>19</v>
      </c>
      <c r="L29" s="39">
        <v>10591.0</v>
      </c>
      <c r="M29" s="58">
        <v>225.0</v>
      </c>
      <c r="N29" s="31"/>
      <c r="O29" s="31"/>
      <c r="P29" s="31"/>
    </row>
    <row r="30" ht="30.0" customHeight="1">
      <c r="A30" s="37" t="s">
        <v>85</v>
      </c>
      <c r="B30" s="39">
        <v>8722.0</v>
      </c>
      <c r="C30" s="41">
        <f t="shared" si="1"/>
        <v>0</v>
      </c>
      <c r="D30" s="58">
        <v>178.0</v>
      </c>
      <c r="E30" s="45">
        <f t="shared" si="2"/>
        <v>0</v>
      </c>
      <c r="F30" s="59">
        <f t="shared" si="3"/>
        <v>0.02040816327</v>
      </c>
      <c r="G30" s="73">
        <v>117.0</v>
      </c>
      <c r="H30" s="73">
        <v>799.0</v>
      </c>
      <c r="I30" s="53" t="str">
        <f>HYPERLINK("https://www3.nhk.or.jp/news/html/20200415/k10012387851000.html?utm_int=word_contents_list-items_005&amp;word_result=%E6%96%B0%E5%9E%8B%E3%82%B3%E3%83%AD%E3%83%8A%E3%82%A6%E3%82%A4%E3%83%AB%E3%82%B9","Source")</f>
        <v>Source</v>
      </c>
      <c r="J30" s="95"/>
      <c r="K30" s="30"/>
      <c r="L30" s="39">
        <v>8722.0</v>
      </c>
      <c r="M30" s="58">
        <v>178.0</v>
      </c>
      <c r="N30" s="31"/>
      <c r="O30" s="31"/>
      <c r="P30" s="31"/>
    </row>
    <row r="31" ht="30.0" customHeight="1">
      <c r="A31" s="37" t="s">
        <v>88</v>
      </c>
      <c r="B31" s="39">
        <v>8273.0</v>
      </c>
      <c r="C31" s="41">
        <f t="shared" si="1"/>
        <v>0</v>
      </c>
      <c r="D31" s="58">
        <v>94.0</v>
      </c>
      <c r="E31" s="45">
        <f t="shared" si="2"/>
        <v>0</v>
      </c>
      <c r="F31" s="59">
        <f t="shared" si="3"/>
        <v>0.01136226278</v>
      </c>
      <c r="G31" s="73">
        <v>389.0</v>
      </c>
      <c r="H31" s="50">
        <v>2937.0</v>
      </c>
      <c r="I31" s="53" t="str">
        <f>HYPERLINK("https://cdn.digital.gob.cl/public_files/Campa%C3%B1as/Corona-Virus/Reportes/15.04.2020_Reporte_Covid19.pdf","Source")</f>
        <v>Source</v>
      </c>
      <c r="J31" s="96"/>
      <c r="K31" s="49" t="s">
        <v>19</v>
      </c>
      <c r="L31" s="39">
        <v>8273.0</v>
      </c>
      <c r="M31" s="58">
        <v>94.0</v>
      </c>
      <c r="N31" s="31"/>
      <c r="O31" s="31"/>
      <c r="P31" s="31"/>
    </row>
    <row r="32" ht="30.0" customHeight="1">
      <c r="A32" s="37" t="s">
        <v>91</v>
      </c>
      <c r="B32" s="39">
        <v>7858.0</v>
      </c>
      <c r="C32" s="41">
        <f t="shared" si="1"/>
        <v>0</v>
      </c>
      <c r="D32" s="58">
        <v>388.0</v>
      </c>
      <c r="E32" s="45">
        <f t="shared" si="2"/>
        <v>0</v>
      </c>
      <c r="F32" s="42">
        <f t="shared" si="3"/>
        <v>0.04937643166</v>
      </c>
      <c r="G32" s="73" t="s">
        <v>26</v>
      </c>
      <c r="H32" s="73">
        <v>780.0</v>
      </c>
      <c r="I32" s="53" t="str">
        <f>HYPERLINK("https://twitter.com/Salud_Ec/status/1250456269871292418","Source")</f>
        <v>Source</v>
      </c>
      <c r="J32" s="66"/>
      <c r="K32" s="49" t="s">
        <v>19</v>
      </c>
      <c r="L32" s="39">
        <v>7858.0</v>
      </c>
      <c r="M32" s="58">
        <v>388.0</v>
      </c>
      <c r="N32" s="31"/>
      <c r="O32" s="31"/>
      <c r="P32" s="31"/>
    </row>
    <row r="33" ht="27.75" customHeight="1">
      <c r="A33" s="37" t="s">
        <v>96</v>
      </c>
      <c r="B33" s="39">
        <v>7582.0</v>
      </c>
      <c r="C33" s="41">
        <f t="shared" si="1"/>
        <v>0</v>
      </c>
      <c r="D33" s="58">
        <v>286.0</v>
      </c>
      <c r="E33" s="45">
        <f t="shared" si="2"/>
        <v>0</v>
      </c>
      <c r="F33" s="59">
        <f t="shared" si="3"/>
        <v>0.03772091796</v>
      </c>
      <c r="G33" s="73" t="s">
        <v>26</v>
      </c>
      <c r="H33" s="73">
        <v>487.0</v>
      </c>
      <c r="I33" s="53" t="str">
        <f>HYPERLINK("https://twitter.com/MZ_GOV_PL/status/1250448812486909953","Source")</f>
        <v>Source</v>
      </c>
      <c r="J33" s="66"/>
      <c r="K33" s="49" t="s">
        <v>74</v>
      </c>
      <c r="L33" s="39">
        <v>7582.0</v>
      </c>
      <c r="M33" s="58">
        <v>286.0</v>
      </c>
      <c r="N33" s="31"/>
      <c r="O33" s="31"/>
      <c r="P33" s="31"/>
    </row>
    <row r="34" ht="30.0" customHeight="1">
      <c r="A34" s="37" t="s">
        <v>99</v>
      </c>
      <c r="B34" s="39">
        <v>7216.0</v>
      </c>
      <c r="C34" s="41">
        <f t="shared" si="1"/>
        <v>0</v>
      </c>
      <c r="D34" s="58">
        <v>362.0</v>
      </c>
      <c r="E34" s="45">
        <f t="shared" si="2"/>
        <v>0</v>
      </c>
      <c r="F34" s="42">
        <f t="shared" si="3"/>
        <v>0.05016629712</v>
      </c>
      <c r="G34" s="73" t="s">
        <v>26</v>
      </c>
      <c r="H34" s="50">
        <v>1217.0</v>
      </c>
      <c r="I34" s="53" t="str">
        <f>HYPERLINK("http://www.ms.ro/2020/04/15/buletin-informativ-15-04-2020/","Source")</f>
        <v>Source</v>
      </c>
      <c r="J34" s="67"/>
      <c r="K34" s="49" t="s">
        <v>101</v>
      </c>
      <c r="L34" s="39">
        <v>7216.0</v>
      </c>
      <c r="M34" s="58">
        <v>362.0</v>
      </c>
      <c r="N34" s="31"/>
      <c r="O34" s="31"/>
      <c r="P34" s="31"/>
    </row>
    <row r="35" ht="30.0" customHeight="1">
      <c r="A35" s="37" t="s">
        <v>102</v>
      </c>
      <c r="B35" s="39">
        <v>6865.0</v>
      </c>
      <c r="C35" s="41">
        <f t="shared" si="1"/>
        <v>0</v>
      </c>
      <c r="D35" s="58">
        <v>309.0</v>
      </c>
      <c r="E35" s="45">
        <f t="shared" si="2"/>
        <v>0</v>
      </c>
      <c r="F35" s="42">
        <f t="shared" si="3"/>
        <v>0.04501092498</v>
      </c>
      <c r="G35" s="73">
        <v>89.0</v>
      </c>
      <c r="H35" s="73">
        <v>3.0</v>
      </c>
      <c r="I35" s="53" t="str">
        <f>HYPERLINK("https://www.sst.dk/da/corona/tal-og-overvaagning","Source")</f>
        <v>Source</v>
      </c>
      <c r="J35" s="66"/>
      <c r="K35" s="49" t="s">
        <v>19</v>
      </c>
      <c r="L35" s="39">
        <v>6865.0</v>
      </c>
      <c r="M35" s="58">
        <v>309.0</v>
      </c>
      <c r="N35" s="31"/>
      <c r="O35" s="31"/>
      <c r="P35" s="31"/>
    </row>
    <row r="36" ht="30.0" customHeight="1">
      <c r="A36" s="37" t="s">
        <v>106</v>
      </c>
      <c r="B36" s="39">
        <v>6797.0</v>
      </c>
      <c r="C36" s="41">
        <f t="shared" si="1"/>
        <v>0</v>
      </c>
      <c r="D36" s="58">
        <v>150.0</v>
      </c>
      <c r="E36" s="45">
        <f t="shared" si="2"/>
        <v>0</v>
      </c>
      <c r="F36" s="42">
        <f t="shared" si="3"/>
        <v>0.02206855966</v>
      </c>
      <c r="G36" s="73">
        <v>64.0</v>
      </c>
      <c r="H36" s="73" t="s">
        <v>26</v>
      </c>
      <c r="I36" s="53" t="str">
        <f>HYPERLINK("https://www.vg.no/spesial/2020/corona/","Source")</f>
        <v>Source</v>
      </c>
      <c r="J36" s="67"/>
      <c r="K36" s="30"/>
      <c r="L36" s="39">
        <v>6797.0</v>
      </c>
      <c r="M36" s="58">
        <v>150.0</v>
      </c>
      <c r="N36" s="31"/>
      <c r="O36" s="31"/>
      <c r="P36" s="31"/>
    </row>
    <row r="37" ht="30.0" customHeight="1">
      <c r="A37" s="37" t="s">
        <v>109</v>
      </c>
      <c r="B37" s="39">
        <f>Australia!A3</f>
        <v>6440</v>
      </c>
      <c r="C37" s="41">
        <f t="shared" si="1"/>
        <v>6440</v>
      </c>
      <c r="D37" s="39">
        <f>Australia!B3</f>
        <v>63</v>
      </c>
      <c r="E37" s="45">
        <f t="shared" si="2"/>
        <v>63</v>
      </c>
      <c r="F37" s="59">
        <f t="shared" si="3"/>
        <v>0.009782608696</v>
      </c>
      <c r="G37" s="50">
        <f>Australia!G17</f>
        <v>79</v>
      </c>
      <c r="H37" s="50">
        <f>Australia!C3</f>
        <v>2186</v>
      </c>
      <c r="I37" s="53" t="str">
        <f>HYPERLINK("https://bnonews.com/index.php/2019/12/tracking-coronavirus-australia-data/","Source")</f>
        <v>Source</v>
      </c>
      <c r="J37" s="29"/>
      <c r="K37" s="30"/>
      <c r="L37" s="58" t="str">
        <f>Australia!K3</f>
        <v/>
      </c>
      <c r="M37" s="58" t="str">
        <f>Australia!K3</f>
        <v/>
      </c>
      <c r="N37" s="31"/>
      <c r="O37" s="31"/>
      <c r="P37" s="31"/>
    </row>
    <row r="38" ht="30.0" customHeight="1">
      <c r="A38" s="37" t="s">
        <v>112</v>
      </c>
      <c r="B38" s="39">
        <v>6383.0</v>
      </c>
      <c r="C38" s="41">
        <f t="shared" si="1"/>
        <v>0</v>
      </c>
      <c r="D38" s="58">
        <v>117.0</v>
      </c>
      <c r="E38" s="45">
        <f t="shared" si="2"/>
        <v>0</v>
      </c>
      <c r="F38" s="42">
        <f t="shared" si="3"/>
        <v>0.0183299389</v>
      </c>
      <c r="G38" s="73" t="s">
        <v>26</v>
      </c>
      <c r="H38" s="50">
        <v>1446.0</v>
      </c>
      <c r="I38" s="53" t="str">
        <f>HYPERLINK("https://www.dawn.com/live-blog/","Source")</f>
        <v>Source</v>
      </c>
      <c r="J38" s="67"/>
      <c r="K38" s="49" t="s">
        <v>114</v>
      </c>
      <c r="L38" s="39">
        <v>6383.0</v>
      </c>
      <c r="M38" s="58">
        <v>117.0</v>
      </c>
      <c r="N38" s="31"/>
      <c r="O38" s="31"/>
      <c r="P38" s="31"/>
    </row>
    <row r="39" ht="30.0" customHeight="1">
      <c r="A39" s="37" t="s">
        <v>115</v>
      </c>
      <c r="B39" s="39">
        <v>6301.0</v>
      </c>
      <c r="C39" s="41">
        <f t="shared" si="1"/>
        <v>0</v>
      </c>
      <c r="D39" s="58">
        <v>166.0</v>
      </c>
      <c r="E39" s="45">
        <f t="shared" si="2"/>
        <v>0</v>
      </c>
      <c r="F39" s="59">
        <f t="shared" si="3"/>
        <v>0.0263450246</v>
      </c>
      <c r="G39" s="73">
        <v>84.0</v>
      </c>
      <c r="H39" s="73">
        <v>819.0</v>
      </c>
      <c r="I39" s="53" t="str">
        <f>HYPERLINK("https://onemocneni-aktualne.mzcr.cz/covid-19","Source")</f>
        <v>Source</v>
      </c>
      <c r="J39" s="67"/>
      <c r="K39" s="49" t="s">
        <v>117</v>
      </c>
      <c r="L39" s="39">
        <v>6301.0</v>
      </c>
      <c r="M39" s="58">
        <v>166.0</v>
      </c>
      <c r="N39" s="31"/>
      <c r="O39" s="31"/>
      <c r="P39" s="31"/>
    </row>
    <row r="40" ht="30.0" customHeight="1">
      <c r="A40" s="37" t="s">
        <v>118</v>
      </c>
      <c r="B40" s="39">
        <v>5862.0</v>
      </c>
      <c r="C40" s="41">
        <f t="shared" si="1"/>
        <v>0</v>
      </c>
      <c r="D40" s="58">
        <v>79.0</v>
      </c>
      <c r="E40" s="45">
        <f t="shared" si="2"/>
        <v>0</v>
      </c>
      <c r="F40" s="42">
        <f t="shared" si="3"/>
        <v>0.01347662914</v>
      </c>
      <c r="G40" s="73" t="s">
        <v>26</v>
      </c>
      <c r="H40" s="73">
        <v>931.0</v>
      </c>
      <c r="I40" s="53" t="str">
        <f>HYPERLINK("https://twitter.com/SaudiMOH/status/1250403088403443712","Source")</f>
        <v>Source</v>
      </c>
      <c r="J40" s="66"/>
      <c r="K40" s="49" t="s">
        <v>19</v>
      </c>
      <c r="L40" s="39">
        <v>5862.0</v>
      </c>
      <c r="M40" s="58">
        <v>79.0</v>
      </c>
      <c r="N40" s="31"/>
      <c r="O40" s="31"/>
      <c r="P40" s="31"/>
    </row>
    <row r="41" ht="30.0" customHeight="1">
      <c r="A41" s="37" t="s">
        <v>121</v>
      </c>
      <c r="B41" s="39">
        <v>5847.0</v>
      </c>
      <c r="C41" s="41">
        <f t="shared" si="1"/>
        <v>0</v>
      </c>
      <c r="D41" s="58">
        <v>449.0</v>
      </c>
      <c r="E41" s="45">
        <f t="shared" si="2"/>
        <v>0</v>
      </c>
      <c r="F41" s="42">
        <f t="shared" si="3"/>
        <v>0.07679151702</v>
      </c>
      <c r="G41" s="50">
        <v>1295.0</v>
      </c>
      <c r="H41" s="50">
        <v>2125.0</v>
      </c>
      <c r="I41" s="94" t="str">
        <f>HYPERLINK("https://twitter.com/HLGatell/status/1250583051312250881","Source")</f>
        <v>Source</v>
      </c>
      <c r="J41" s="66"/>
      <c r="K41" s="49" t="s">
        <v>19</v>
      </c>
      <c r="L41" s="39">
        <v>5847.0</v>
      </c>
      <c r="M41" s="58">
        <v>449.0</v>
      </c>
      <c r="N41" s="31"/>
      <c r="O41" s="31"/>
      <c r="P41" s="31"/>
    </row>
    <row r="42" ht="30.0" customHeight="1">
      <c r="A42" s="37" t="s">
        <v>123</v>
      </c>
      <c r="B42" s="39">
        <v>5453.0</v>
      </c>
      <c r="C42" s="41">
        <f t="shared" si="1"/>
        <v>0</v>
      </c>
      <c r="D42" s="58">
        <v>349.0</v>
      </c>
      <c r="E42" s="45">
        <f t="shared" si="2"/>
        <v>0</v>
      </c>
      <c r="F42" s="42">
        <f t="shared" si="3"/>
        <v>0.06400146708</v>
      </c>
      <c r="G42" s="73" t="s">
        <v>26</v>
      </c>
      <c r="H42" s="73">
        <v>353.0</v>
      </c>
      <c r="I42" s="94" t="str">
        <f>HYPERLINK("https://twitter.com/cnnphilippines/status/1250340743635333120","Source")</f>
        <v>Source</v>
      </c>
      <c r="J42" s="66"/>
      <c r="K42" s="49" t="s">
        <v>19</v>
      </c>
      <c r="L42" s="39">
        <v>5453.0</v>
      </c>
      <c r="M42" s="58">
        <v>349.0</v>
      </c>
      <c r="N42" s="31"/>
      <c r="O42" s="31"/>
      <c r="P42" s="31"/>
    </row>
    <row r="43" ht="30.0" customHeight="1">
      <c r="A43" s="37" t="s">
        <v>125</v>
      </c>
      <c r="B43" s="39">
        <v>5365.0</v>
      </c>
      <c r="C43" s="41">
        <f t="shared" si="1"/>
        <v>0</v>
      </c>
      <c r="D43" s="58">
        <v>33.0</v>
      </c>
      <c r="E43" s="45">
        <f t="shared" si="2"/>
        <v>0</v>
      </c>
      <c r="F43" s="59">
        <f t="shared" si="3"/>
        <v>0.006150978565</v>
      </c>
      <c r="G43" s="73" t="s">
        <v>26</v>
      </c>
      <c r="H43" s="50">
        <v>1034.0</v>
      </c>
      <c r="I43" s="53" t="str">
        <f>HYPERLINK("https://twitter.com/mohapuae/status/1250495997161209856","Source")</f>
        <v>Source</v>
      </c>
      <c r="J43" s="66"/>
      <c r="K43" s="49" t="s">
        <v>19</v>
      </c>
      <c r="L43" s="39">
        <v>5365.0</v>
      </c>
      <c r="M43" s="58">
        <v>33.0</v>
      </c>
      <c r="N43" s="31"/>
      <c r="O43" s="31"/>
      <c r="P43" s="31"/>
    </row>
    <row r="44" ht="30.0" customHeight="1">
      <c r="A44" s="37" t="s">
        <v>127</v>
      </c>
      <c r="B44" s="39">
        <v>5136.0</v>
      </c>
      <c r="C44" s="41">
        <f t="shared" si="1"/>
        <v>0</v>
      </c>
      <c r="D44" s="58">
        <v>468.0</v>
      </c>
      <c r="E44" s="45">
        <f t="shared" si="2"/>
        <v>0</v>
      </c>
      <c r="F44" s="59">
        <f t="shared" si="3"/>
        <v>0.09112149533</v>
      </c>
      <c r="G44" s="73" t="s">
        <v>26</v>
      </c>
      <c r="H44" s="73">
        <v>446.0</v>
      </c>
      <c r="I44" s="53" t="str">
        <f>HYPERLINK("https://infeksiemerging.kemkes.go.id/","Source")</f>
        <v>Source</v>
      </c>
      <c r="J44" s="66"/>
      <c r="K44" s="49" t="s">
        <v>19</v>
      </c>
      <c r="L44" s="39">
        <v>5136.0</v>
      </c>
      <c r="M44" s="58">
        <v>468.0</v>
      </c>
      <c r="N44" s="31"/>
      <c r="O44" s="31"/>
      <c r="P44" s="31"/>
    </row>
    <row r="45" ht="30.0" customHeight="1">
      <c r="A45" s="37" t="s">
        <v>130</v>
      </c>
      <c r="B45" s="39">
        <v>5072.0</v>
      </c>
      <c r="C45" s="41">
        <f t="shared" si="1"/>
        <v>0</v>
      </c>
      <c r="D45" s="58">
        <v>83.0</v>
      </c>
      <c r="E45" s="45">
        <f t="shared" si="2"/>
        <v>0</v>
      </c>
      <c r="F45" s="59">
        <f t="shared" si="3"/>
        <v>0.01636435331</v>
      </c>
      <c r="G45" s="73">
        <v>56.0</v>
      </c>
      <c r="H45" s="50">
        <v>2647.0</v>
      </c>
      <c r="I45" s="53" t="str">
        <f>HYPERLINK("https://twitter.com/KKMPutrajaya/status/1250372804173631488","Source")</f>
        <v>Source</v>
      </c>
      <c r="J45" s="66"/>
      <c r="K45" s="49" t="s">
        <v>19</v>
      </c>
      <c r="L45" s="39">
        <v>5072.0</v>
      </c>
      <c r="M45" s="58">
        <v>83.0</v>
      </c>
      <c r="N45" s="31"/>
      <c r="O45" s="31"/>
      <c r="P45" s="31"/>
    </row>
    <row r="46" ht="27.75" customHeight="1">
      <c r="A46" s="37" t="s">
        <v>132</v>
      </c>
      <c r="B46" s="39">
        <v>4873.0</v>
      </c>
      <c r="C46" s="41">
        <f t="shared" si="1"/>
        <v>0</v>
      </c>
      <c r="D46" s="58">
        <v>99.0</v>
      </c>
      <c r="E46" s="45">
        <f t="shared" si="2"/>
        <v>0</v>
      </c>
      <c r="F46" s="42">
        <f t="shared" si="3"/>
        <v>0.02031602709</v>
      </c>
      <c r="G46" s="73" t="s">
        <v>26</v>
      </c>
      <c r="H46" s="73" t="s">
        <v>26</v>
      </c>
      <c r="I46" s="53" t="str">
        <f>HYPERLINK("https://covid19.rs/homepage-english/","Source")</f>
        <v>Source</v>
      </c>
      <c r="J46" s="66"/>
      <c r="K46" s="49" t="s">
        <v>19</v>
      </c>
      <c r="L46" s="39">
        <v>4873.0</v>
      </c>
      <c r="M46" s="58">
        <v>99.0</v>
      </c>
      <c r="N46" s="31"/>
      <c r="O46" s="31"/>
      <c r="P46" s="31"/>
    </row>
    <row r="47" ht="30.0" customHeight="1">
      <c r="A47" s="37" t="s">
        <v>134</v>
      </c>
      <c r="B47" s="39">
        <v>3764.0</v>
      </c>
      <c r="C47" s="41">
        <f t="shared" si="1"/>
        <v>0</v>
      </c>
      <c r="D47" s="58">
        <v>108.0</v>
      </c>
      <c r="E47" s="45">
        <f t="shared" si="2"/>
        <v>0</v>
      </c>
      <c r="F47" s="59">
        <f t="shared" si="3"/>
        <v>0.02869287991</v>
      </c>
      <c r="G47" s="73" t="s">
        <v>26</v>
      </c>
      <c r="H47" s="73">
        <v>143.0</v>
      </c>
      <c r="I47" s="53" t="str">
        <f>HYPERLINK("https://t.me/s/COVID19_Ukraine","Source")</f>
        <v>Source</v>
      </c>
      <c r="J47" s="66"/>
      <c r="K47" s="49" t="s">
        <v>19</v>
      </c>
      <c r="L47" s="39">
        <v>3764.0</v>
      </c>
      <c r="M47" s="58">
        <v>108.0</v>
      </c>
      <c r="N47" s="31"/>
      <c r="O47" s="31"/>
      <c r="P47" s="31"/>
    </row>
    <row r="48" ht="27.75" customHeight="1">
      <c r="A48" s="37" t="s">
        <v>135</v>
      </c>
      <c r="B48" s="39">
        <v>3751.0</v>
      </c>
      <c r="C48" s="41">
        <f t="shared" si="1"/>
        <v>0</v>
      </c>
      <c r="D48" s="58">
        <v>103.0</v>
      </c>
      <c r="E48" s="45">
        <f t="shared" si="2"/>
        <v>0</v>
      </c>
      <c r="F48" s="59">
        <f t="shared" si="3"/>
        <v>0.02745934417</v>
      </c>
      <c r="G48" s="73">
        <v>105.0</v>
      </c>
      <c r="H48" s="73">
        <v>75.0</v>
      </c>
      <c r="I48" s="94" t="str">
        <f>HYPERLINK("https://twitter.com/MINSAPma/status/1250570373533483008","Source")</f>
        <v>Source</v>
      </c>
      <c r="J48" s="66"/>
      <c r="K48" s="49" t="s">
        <v>19</v>
      </c>
      <c r="L48" s="39">
        <v>3751.0</v>
      </c>
      <c r="M48" s="58">
        <v>103.0</v>
      </c>
      <c r="N48" s="31"/>
      <c r="O48" s="31"/>
      <c r="P48" s="31"/>
    </row>
    <row r="49" ht="30.0" customHeight="1">
      <c r="A49" s="37" t="s">
        <v>137</v>
      </c>
      <c r="B49" s="39">
        <v>3728.0</v>
      </c>
      <c r="C49" s="41">
        <f t="shared" si="1"/>
        <v>0</v>
      </c>
      <c r="D49" s="58">
        <v>36.0</v>
      </c>
      <c r="E49" s="45">
        <f t="shared" si="2"/>
        <v>0</v>
      </c>
      <c r="F49" s="42">
        <f t="shared" si="3"/>
        <v>0.009656652361</v>
      </c>
      <c r="G49" s="73">
        <v>68.0</v>
      </c>
      <c r="H49" s="73">
        <v>203.0</v>
      </c>
      <c r="I49" s="53" t="str">
        <f>HYPERLINK("https://people.onliner.by/2020/04/15/koronavirus-97","Source")</f>
        <v>Source</v>
      </c>
      <c r="J49" s="66"/>
      <c r="K49" s="49" t="s">
        <v>19</v>
      </c>
      <c r="L49" s="39">
        <v>3728.0</v>
      </c>
      <c r="M49" s="58">
        <v>36.0</v>
      </c>
      <c r="N49" s="31"/>
      <c r="O49" s="31"/>
      <c r="P49" s="31"/>
    </row>
    <row r="50" ht="30.0" customHeight="1">
      <c r="A50" s="37" t="s">
        <v>139</v>
      </c>
      <c r="B50" s="39">
        <v>3711.0</v>
      </c>
      <c r="C50" s="41">
        <f t="shared" si="1"/>
        <v>0</v>
      </c>
      <c r="D50" s="58">
        <v>7.0</v>
      </c>
      <c r="E50" s="45">
        <f t="shared" si="2"/>
        <v>0</v>
      </c>
      <c r="F50" s="42">
        <f t="shared" si="3"/>
        <v>0.00188628402</v>
      </c>
      <c r="G50" s="73" t="s">
        <v>26</v>
      </c>
      <c r="H50" s="73">
        <v>406.0</v>
      </c>
      <c r="I50" s="53" t="str">
        <f>HYPERLINK("https://twitter.com/MOPHQatar/status/1250384260697071625","Source")</f>
        <v>Source</v>
      </c>
      <c r="J50" s="66"/>
      <c r="K50" s="30"/>
      <c r="L50" s="39">
        <v>3711.0</v>
      </c>
      <c r="M50" s="58">
        <v>7.0</v>
      </c>
      <c r="N50" s="31"/>
      <c r="O50" s="31"/>
      <c r="P50" s="31"/>
    </row>
    <row r="51" ht="30.0" customHeight="1">
      <c r="A51" s="37" t="s">
        <v>141</v>
      </c>
      <c r="B51" s="39">
        <v>3699.0</v>
      </c>
      <c r="C51" s="41">
        <f t="shared" si="1"/>
        <v>0</v>
      </c>
      <c r="D51" s="58">
        <v>10.0</v>
      </c>
      <c r="E51" s="45">
        <f t="shared" si="2"/>
        <v>0</v>
      </c>
      <c r="F51" s="42">
        <f t="shared" si="3"/>
        <v>0.00270343336</v>
      </c>
      <c r="G51" s="73">
        <v>26.0</v>
      </c>
      <c r="H51" s="73">
        <v>652.0</v>
      </c>
      <c r="I51" s="53" t="str">
        <f>HYPERLINK("https://www.moh.gov.sg/news-highlights/details/41-more-cases-discharged-447-new-cases-of-covid-19-infection-confirmed","Source")</f>
        <v>Source</v>
      </c>
      <c r="J51" s="66"/>
      <c r="K51" s="30"/>
      <c r="L51" s="39">
        <v>3699.0</v>
      </c>
      <c r="M51" s="58">
        <v>10.0</v>
      </c>
      <c r="N51" s="31"/>
      <c r="O51" s="31"/>
      <c r="P51" s="31"/>
    </row>
    <row r="52" ht="30.0" customHeight="1">
      <c r="A52" s="37" t="s">
        <v>143</v>
      </c>
      <c r="B52" s="39">
        <v>3614.0</v>
      </c>
      <c r="C52" s="41">
        <f t="shared" si="1"/>
        <v>0</v>
      </c>
      <c r="D52" s="58">
        <v>189.0</v>
      </c>
      <c r="E52" s="45">
        <f t="shared" si="2"/>
        <v>0</v>
      </c>
      <c r="F52" s="59">
        <f t="shared" si="3"/>
        <v>0.05229662424</v>
      </c>
      <c r="G52" s="73" t="s">
        <v>26</v>
      </c>
      <c r="H52" s="73">
        <v>208.0</v>
      </c>
      <c r="I52" s="53" t="str">
        <f>HYPERLINK("https://twitter.com/SaludPublicaRD/status/1250434445124878337","Source")</f>
        <v>Source</v>
      </c>
      <c r="J52" s="98"/>
      <c r="K52" s="49" t="s">
        <v>19</v>
      </c>
      <c r="L52" s="39">
        <v>3614.0</v>
      </c>
      <c r="M52" s="58">
        <v>189.0</v>
      </c>
      <c r="N52" s="31"/>
      <c r="O52" s="31"/>
      <c r="P52" s="31"/>
    </row>
    <row r="53" ht="30.0" customHeight="1">
      <c r="A53" s="37" t="s">
        <v>145</v>
      </c>
      <c r="B53" s="39">
        <v>3373.0</v>
      </c>
      <c r="C53" s="41">
        <f t="shared" si="1"/>
        <v>0</v>
      </c>
      <c r="D53" s="58">
        <v>69.0</v>
      </c>
      <c r="E53" s="45">
        <f t="shared" si="2"/>
        <v>0</v>
      </c>
      <c r="F53" s="42">
        <f t="shared" si="3"/>
        <v>0.02045656685</v>
      </c>
      <c r="G53" s="73">
        <v>33.0</v>
      </c>
      <c r="H53" s="73">
        <v>526.0</v>
      </c>
      <c r="I53" s="94" t="str">
        <f>HYPERLINK("https://gouvernement.lu/fr/dossiers.gouv_msan+fr+dossiers+2020+corona-virus.html","Source")</f>
        <v>Source</v>
      </c>
      <c r="J53" s="66"/>
      <c r="K53" s="49" t="s">
        <v>19</v>
      </c>
      <c r="L53" s="39">
        <v>3373.0</v>
      </c>
      <c r="M53" s="58">
        <v>69.0</v>
      </c>
      <c r="N53" s="31"/>
      <c r="O53" s="31"/>
      <c r="P53" s="31"/>
    </row>
    <row r="54" ht="30.0" customHeight="1">
      <c r="A54" s="37" t="s">
        <v>148</v>
      </c>
      <c r="B54" s="39">
        <v>3237.0</v>
      </c>
      <c r="C54" s="41">
        <f t="shared" si="1"/>
        <v>0</v>
      </c>
      <c r="D54" s="58">
        <v>72.0</v>
      </c>
      <c r="E54" s="45">
        <f t="shared" si="2"/>
        <v>0</v>
      </c>
      <c r="F54" s="42">
        <f t="shared" si="3"/>
        <v>0.02224281742</v>
      </c>
      <c r="G54" s="73">
        <v>75.0</v>
      </c>
      <c r="H54" s="73">
        <v>24.0</v>
      </c>
      <c r="I54" s="99" t="str">
        <f>HYPERLINK("https://thl.fi/fi/web/infektiotaudit-ja-rokotukset/ajankohtaista/ajankohtaista-koronaviruksesta-covid-19/tilannekatsaus-koronaviruksesta","Source")</f>
        <v>Source</v>
      </c>
      <c r="J54" s="66"/>
      <c r="K54" s="49" t="s">
        <v>19</v>
      </c>
      <c r="L54" s="39">
        <v>3237.0</v>
      </c>
      <c r="M54" s="58">
        <v>72.0</v>
      </c>
      <c r="N54" s="31"/>
      <c r="O54" s="31"/>
      <c r="P54" s="31"/>
    </row>
    <row r="55" ht="27.75" customHeight="1">
      <c r="A55" s="37" t="s">
        <v>153</v>
      </c>
      <c r="B55" s="39">
        <v>3105.0</v>
      </c>
      <c r="C55" s="41">
        <f t="shared" si="1"/>
        <v>0</v>
      </c>
      <c r="D55" s="58">
        <v>131.0</v>
      </c>
      <c r="E55" s="45">
        <f t="shared" si="2"/>
        <v>0</v>
      </c>
      <c r="F55" s="42">
        <f t="shared" si="3"/>
        <v>0.0421900161</v>
      </c>
      <c r="G55" s="73" t="s">
        <v>26</v>
      </c>
      <c r="H55" s="73">
        <v>452.0</v>
      </c>
      <c r="I55" s="94" t="str">
        <f>HYPERLINK("https://twitter.com/MinSaludCol/status/1250524964488450050","Source")</f>
        <v>Source</v>
      </c>
      <c r="J55" s="66"/>
      <c r="K55" s="30"/>
      <c r="L55" s="39">
        <v>3105.0</v>
      </c>
      <c r="M55" s="58">
        <v>131.0</v>
      </c>
      <c r="N55" s="31"/>
      <c r="O55" s="31"/>
      <c r="P55" s="31"/>
    </row>
    <row r="56" ht="30.0" customHeight="1">
      <c r="A56" s="37" t="s">
        <v>155</v>
      </c>
      <c r="B56" s="39">
        <v>2643.0</v>
      </c>
      <c r="C56" s="41">
        <f t="shared" si="1"/>
        <v>0</v>
      </c>
      <c r="D56" s="58">
        <v>43.0</v>
      </c>
      <c r="E56" s="45">
        <f t="shared" si="2"/>
        <v>0</v>
      </c>
      <c r="F56" s="59">
        <f t="shared" si="3"/>
        <v>0.01626939084</v>
      </c>
      <c r="G56" s="73" t="s">
        <v>26</v>
      </c>
      <c r="H56" s="50">
        <v>1497.0</v>
      </c>
      <c r="I56" s="53" t="str">
        <f>HYPERLINK("https://www.thaienquirer.com/11496/thailand-discovers-30-new-coronavirus-infections-extends-airspace-shut-down-until-the-end-of-april/","Source")</f>
        <v>Source</v>
      </c>
      <c r="J56" s="66"/>
      <c r="K56" s="49" t="s">
        <v>19</v>
      </c>
      <c r="L56" s="39">
        <v>2643.0</v>
      </c>
      <c r="M56" s="58">
        <v>43.0</v>
      </c>
      <c r="N56" s="31"/>
      <c r="O56" s="31"/>
      <c r="P56" s="31"/>
    </row>
    <row r="57" ht="27.75" customHeight="1">
      <c r="A57" s="37" t="s">
        <v>157</v>
      </c>
      <c r="B57" s="39">
        <v>2506.0</v>
      </c>
      <c r="C57" s="41">
        <f t="shared" si="1"/>
        <v>0</v>
      </c>
      <c r="D57" s="58">
        <v>34.0</v>
      </c>
      <c r="E57" s="45">
        <f t="shared" si="2"/>
        <v>0</v>
      </c>
      <c r="F57" s="59">
        <f t="shared" si="3"/>
        <v>0.01356743815</v>
      </c>
      <c r="G57" s="73" t="s">
        <v>26</v>
      </c>
      <c r="H57" s="73">
        <v>410.0</v>
      </c>
      <c r="I57" s="53" t="str">
        <f>HYPERLINK("https://www.health24.com/Medical/Infectious-diseases/Coronavirus/coronavirus-in-sa-all-the-confirmed-cases-20200312","Source")</f>
        <v>Source</v>
      </c>
      <c r="J57" s="66"/>
      <c r="K57" s="49" t="s">
        <v>19</v>
      </c>
      <c r="L57" s="39">
        <v>2506.0</v>
      </c>
      <c r="M57" s="58">
        <v>34.0</v>
      </c>
      <c r="N57" s="31"/>
      <c r="O57" s="31"/>
      <c r="P57" s="31"/>
    </row>
    <row r="58" ht="30.0" customHeight="1">
      <c r="A58" s="37" t="s">
        <v>161</v>
      </c>
      <c r="B58" s="39">
        <v>2505.0</v>
      </c>
      <c r="C58" s="41">
        <f t="shared" si="1"/>
        <v>0</v>
      </c>
      <c r="D58" s="58">
        <v>183.0</v>
      </c>
      <c r="E58" s="45">
        <f t="shared" si="2"/>
        <v>0</v>
      </c>
      <c r="F58" s="59">
        <f t="shared" si="3"/>
        <v>0.07305389222</v>
      </c>
      <c r="G58" s="73" t="s">
        <v>26</v>
      </c>
      <c r="H58" s="73">
        <v>553.0</v>
      </c>
      <c r="I58" s="94" t="str">
        <f>HYPERLINK("https://www.facebook.com/EgyMohpSpokes/videos/2779918145390309/?__xts__%5B0%5D=68.ARD6g-c3c3RvTPSkL3Bo1p1J_b1uCgRDuuS6UgMYvNUIkFLDqnm7StbuLlxQzNopm1ER8U5eQbfvf5VuyO6PIAAfqTiTXSSmcakNk_Cmb5mUnZud1BdPh6n6rUuPlnknonItk1Jx7Zq7dkJ-UlXU9-nkxPgBbcRV7Zbp9ju4Ktmig"&amp;"OZLyqnVbfRF238dzJPmgP1WNpbPRtP_pNW2DDnc51wpsXv5zY1wTtA7Q3ZZ16uUqmoZi8jjpFHu8EXLwC-4F5C93n5PK_bIhUo2YwT96icUfs1gQJXFaGfOQldZjiD-828Y6CDevGo83AjttZdYxYCXrGXgOhAyFF-fK9izQxm-rpK1fCpMevM43A&amp;__tn__=-R","Source")</f>
        <v>Source</v>
      </c>
      <c r="J58" s="66"/>
      <c r="K58" s="49" t="s">
        <v>19</v>
      </c>
      <c r="L58" s="39">
        <v>2505.0</v>
      </c>
      <c r="M58" s="58">
        <v>183.0</v>
      </c>
      <c r="N58" s="31"/>
      <c r="O58" s="31"/>
      <c r="P58" s="31"/>
    </row>
    <row r="59" ht="27.75" customHeight="1">
      <c r="A59" s="37" t="s">
        <v>164</v>
      </c>
      <c r="B59" s="39">
        <v>2443.0</v>
      </c>
      <c r="C59" s="41">
        <f t="shared" si="1"/>
        <v>0</v>
      </c>
      <c r="D59" s="58">
        <v>111.0</v>
      </c>
      <c r="E59" s="45">
        <f t="shared" si="2"/>
        <v>0</v>
      </c>
      <c r="F59" s="42">
        <f t="shared" si="3"/>
        <v>0.04543593942</v>
      </c>
      <c r="G59" s="73">
        <v>113.0</v>
      </c>
      <c r="H59" s="73">
        <v>559.0</v>
      </c>
      <c r="I59" s="94" t="str">
        <f>HYPERLINK("https://www.clarin.com/sociedad/coronavirus-argentina-gobierno-confirmo-3-nuevas-muertes-108-fallecidos-pais_0_FhTVSse-d.html","Source")</f>
        <v>Source</v>
      </c>
      <c r="J59" s="66"/>
      <c r="K59" s="49" t="s">
        <v>74</v>
      </c>
      <c r="L59" s="39">
        <v>2443.0</v>
      </c>
      <c r="M59" s="58">
        <v>111.0</v>
      </c>
      <c r="N59" s="31"/>
      <c r="O59" s="31"/>
      <c r="P59" s="31"/>
    </row>
    <row r="60" ht="30.0" customHeight="1">
      <c r="A60" s="37" t="s">
        <v>167</v>
      </c>
      <c r="B60" s="39">
        <v>2192.0</v>
      </c>
      <c r="C60" s="41">
        <f t="shared" si="1"/>
        <v>0</v>
      </c>
      <c r="D60" s="58">
        <v>102.0</v>
      </c>
      <c r="E60" s="45">
        <f t="shared" si="2"/>
        <v>0</v>
      </c>
      <c r="F60" s="59">
        <f t="shared" si="3"/>
        <v>0.04653284672</v>
      </c>
      <c r="G60" s="73">
        <v>72.0</v>
      </c>
      <c r="H60" s="73">
        <v>269.0</v>
      </c>
      <c r="I60" s="53" t="str">
        <f>HYPERLINK("https://covid19.gov.gr/covid19-live-analytics/","Source")</f>
        <v>Source</v>
      </c>
      <c r="J60" s="66"/>
      <c r="K60" s="49" t="s">
        <v>19</v>
      </c>
      <c r="L60" s="39">
        <v>2192.0</v>
      </c>
      <c r="M60" s="58">
        <v>102.0</v>
      </c>
      <c r="N60" s="31"/>
      <c r="O60" s="31"/>
      <c r="P60" s="31"/>
    </row>
    <row r="61" ht="30.0" customHeight="1">
      <c r="A61" s="37" t="s">
        <v>170</v>
      </c>
      <c r="B61" s="39">
        <v>2160.0</v>
      </c>
      <c r="C61" s="41">
        <f t="shared" si="1"/>
        <v>0</v>
      </c>
      <c r="D61" s="58">
        <v>336.0</v>
      </c>
      <c r="E61" s="45">
        <f t="shared" si="2"/>
        <v>0</v>
      </c>
      <c r="F61" s="42">
        <f t="shared" si="3"/>
        <v>0.1555555556</v>
      </c>
      <c r="G61" s="73">
        <v>199.0</v>
      </c>
      <c r="H61" s="73">
        <v>113.0</v>
      </c>
      <c r="I61" s="53" t="str">
        <f>HYPERLINK("http://www.aps.dz/algerie/104071-coronavirus-90-nouveaux-cas-confirmes-et-10-nouveaux-deces-en-algerie","Source")</f>
        <v>Source</v>
      </c>
      <c r="J61" s="66"/>
      <c r="K61" s="49" t="s">
        <v>19</v>
      </c>
      <c r="L61" s="39">
        <v>2160.0</v>
      </c>
      <c r="M61" s="58">
        <v>336.0</v>
      </c>
      <c r="N61" s="31"/>
      <c r="O61" s="31"/>
      <c r="P61" s="31"/>
    </row>
    <row r="62" ht="27.75" customHeight="1">
      <c r="A62" s="37" t="s">
        <v>172</v>
      </c>
      <c r="B62" s="39">
        <v>2049.0</v>
      </c>
      <c r="C62" s="41">
        <f t="shared" si="1"/>
        <v>0</v>
      </c>
      <c r="D62" s="58">
        <v>46.0</v>
      </c>
      <c r="E62" s="45">
        <f t="shared" si="2"/>
        <v>0</v>
      </c>
      <c r="F62" s="59">
        <f t="shared" si="3"/>
        <v>0.0224499756</v>
      </c>
      <c r="G62" s="73" t="s">
        <v>26</v>
      </c>
      <c r="H62" s="73">
        <v>171.0</v>
      </c>
      <c r="I62" s="53" t="str">
        <f>HYPERLINK("https://msmps.gov.md/ro/content/115-cazuri-noi-de-covid-19-inregistrate-ultimele-24-de-ore","Source")</f>
        <v>Source</v>
      </c>
      <c r="J62" s="66"/>
      <c r="K62" s="49" t="s">
        <v>19</v>
      </c>
      <c r="L62" s="39">
        <v>2049.0</v>
      </c>
      <c r="M62" s="58">
        <v>46.0</v>
      </c>
      <c r="N62" s="31"/>
      <c r="O62" s="31"/>
      <c r="P62" s="31"/>
    </row>
    <row r="63" ht="30.0" customHeight="1">
      <c r="A63" s="37" t="s">
        <v>175</v>
      </c>
      <c r="B63" s="39">
        <v>2024.0</v>
      </c>
      <c r="C63" s="41">
        <f t="shared" si="1"/>
        <v>0</v>
      </c>
      <c r="D63" s="58">
        <v>127.0</v>
      </c>
      <c r="E63" s="45">
        <f t="shared" si="2"/>
        <v>0</v>
      </c>
      <c r="F63" s="59">
        <f t="shared" si="3"/>
        <v>0.06274703557</v>
      </c>
      <c r="G63" s="73" t="s">
        <v>26</v>
      </c>
      <c r="H63" s="73">
        <v>229.0</v>
      </c>
      <c r="I63" s="53" t="str">
        <f>HYPERLINK("http://www.covidmaroc.ma/Pages/AccueilAR.aspx","Source")</f>
        <v>Source</v>
      </c>
      <c r="J63" s="67"/>
      <c r="K63" s="49" t="s">
        <v>117</v>
      </c>
      <c r="L63" s="39">
        <v>2024.0</v>
      </c>
      <c r="M63" s="58">
        <v>127.0</v>
      </c>
      <c r="N63" s="31"/>
      <c r="O63" s="31"/>
      <c r="P63" s="31"/>
    </row>
    <row r="64" ht="30.0" customHeight="1">
      <c r="A64" s="37" t="s">
        <v>177</v>
      </c>
      <c r="B64" s="39">
        <v>1741.0</v>
      </c>
      <c r="C64" s="41">
        <f t="shared" si="1"/>
        <v>0</v>
      </c>
      <c r="D64" s="58">
        <v>33.0</v>
      </c>
      <c r="E64" s="45">
        <f t="shared" si="2"/>
        <v>0</v>
      </c>
      <c r="F64" s="42">
        <f t="shared" si="3"/>
        <v>0.01895462378</v>
      </c>
      <c r="G64" s="73">
        <v>31.0</v>
      </c>
      <c r="H64" s="73">
        <v>473.0</v>
      </c>
      <c r="I64" s="53" t="str">
        <f>HYPERLINK("https://www.koronavirus.hr/najnovije/ukupno-dosad-1741-osoba-zarazena-koronavirusom/35","Source")</f>
        <v>Source</v>
      </c>
      <c r="J64" s="90"/>
      <c r="K64" s="49" t="s">
        <v>19</v>
      </c>
      <c r="L64" s="39">
        <v>1741.0</v>
      </c>
      <c r="M64" s="58">
        <v>33.0</v>
      </c>
      <c r="N64" s="31"/>
      <c r="O64" s="31"/>
      <c r="P64" s="31"/>
    </row>
    <row r="65" ht="30.0" customHeight="1">
      <c r="A65" s="37" t="s">
        <v>180</v>
      </c>
      <c r="B65" s="39">
        <v>1727.0</v>
      </c>
      <c r="C65" s="41">
        <f t="shared" si="1"/>
        <v>0</v>
      </c>
      <c r="D65" s="58">
        <v>8.0</v>
      </c>
      <c r="E65" s="45">
        <f t="shared" si="2"/>
        <v>0</v>
      </c>
      <c r="F65" s="42">
        <f t="shared" si="3"/>
        <v>0.004632310365</v>
      </c>
      <c r="G65" s="73">
        <v>8.0</v>
      </c>
      <c r="H65" s="50">
        <v>1077.0</v>
      </c>
      <c r="I65" s="53" t="str">
        <f>HYPERLINK("https://www.covid.is/tolulegar-upplysingar","Source")</f>
        <v>Source</v>
      </c>
      <c r="J65" s="104"/>
      <c r="K65" s="49" t="s">
        <v>19</v>
      </c>
      <c r="L65" s="39">
        <v>1727.0</v>
      </c>
      <c r="M65" s="58">
        <v>8.0</v>
      </c>
      <c r="N65" s="31"/>
      <c r="O65" s="31"/>
      <c r="P65" s="31"/>
    </row>
    <row r="66" ht="30.0" customHeight="1">
      <c r="A66" s="37" t="s">
        <v>183</v>
      </c>
      <c r="B66" s="39">
        <v>1673.0</v>
      </c>
      <c r="C66" s="41">
        <f t="shared" si="1"/>
        <v>0</v>
      </c>
      <c r="D66" s="58">
        <v>7.0</v>
      </c>
      <c r="E66" s="45">
        <f t="shared" si="2"/>
        <v>0</v>
      </c>
      <c r="F66" s="42">
        <f t="shared" si="3"/>
        <v>0.004184100418</v>
      </c>
      <c r="G66" s="73">
        <v>3.0</v>
      </c>
      <c r="H66" s="73">
        <v>663.0</v>
      </c>
      <c r="I66" s="53" t="str">
        <f>HYPERLINK("https://www.moh.gov.bh/COVID19","Source")</f>
        <v>Source</v>
      </c>
      <c r="J66" s="90"/>
      <c r="K66" s="49" t="s">
        <v>19</v>
      </c>
      <c r="L66" s="39">
        <v>1673.0</v>
      </c>
      <c r="M66" s="58">
        <v>7.0</v>
      </c>
      <c r="N66" s="31"/>
      <c r="O66" s="31"/>
      <c r="P66" s="31"/>
    </row>
    <row r="67" ht="30.0" customHeight="1">
      <c r="A67" s="37" t="s">
        <v>186</v>
      </c>
      <c r="B67" s="39">
        <v>1579.0</v>
      </c>
      <c r="C67" s="41">
        <f t="shared" si="1"/>
        <v>0</v>
      </c>
      <c r="D67" s="58">
        <v>134.0</v>
      </c>
      <c r="E67" s="45">
        <f t="shared" si="2"/>
        <v>0</v>
      </c>
      <c r="F67" s="42">
        <f t="shared" si="3"/>
        <v>0.08486383787</v>
      </c>
      <c r="G67" s="73" t="s">
        <v>26</v>
      </c>
      <c r="H67" s="73">
        <v>192.0</v>
      </c>
      <c r="I67" s="53" t="str">
        <f>HYPERLINK("https://koronavirus.gov.hu/cikkek/1579-fore-nott-beazonositott-fertozottek-szama-es-elhunyt-12-beteg","Source")</f>
        <v>Source</v>
      </c>
      <c r="J67" s="66"/>
      <c r="K67" s="49" t="s">
        <v>19</v>
      </c>
      <c r="L67" s="39">
        <v>1579.0</v>
      </c>
      <c r="M67" s="58">
        <v>134.0</v>
      </c>
      <c r="N67" s="31"/>
      <c r="O67" s="31"/>
      <c r="P67" s="31"/>
    </row>
    <row r="68" ht="30.0" customHeight="1">
      <c r="A68" s="37" t="s">
        <v>188</v>
      </c>
      <c r="B68" s="39">
        <v>1415.0</v>
      </c>
      <c r="C68" s="41">
        <f t="shared" si="1"/>
        <v>0</v>
      </c>
      <c r="D68" s="58">
        <v>79.0</v>
      </c>
      <c r="E68" s="45">
        <f t="shared" si="2"/>
        <v>0</v>
      </c>
      <c r="F68" s="59">
        <f t="shared" si="3"/>
        <v>0.05583038869</v>
      </c>
      <c r="G68" s="73" t="s">
        <v>26</v>
      </c>
      <c r="H68" s="73">
        <v>812.0</v>
      </c>
      <c r="I68" s="53" t="str">
        <f>HYPERLINK("https://www.facebook.com/MOH.GOV.IQ/photos/a.860171854037214/2874271559293890/?type=3&amp;__xts__%5B0%5D=68.ARB11PmEjlQnPagFj0T8eTb06kCmxZFTkSVnINXXztXCKC2uykvsCIELkt897hBADVcIrFyRGbMJwLGftIfcMgbxVlyxNB2YTJxMhbuCAckCFVGhHzeqdEBMLH0FCuzSgoSGmbn_jUA6rrAuUliOMaz"&amp;"VRdAzKdetXXcdzzgK_4jQb170Ch4Z40Gu7NFyW3ItzKRkX3W6L58FgIQnb8_Buf6ice1eKUOqk4MZaoiAud1uzfh3-YvIeImsf1YFg6ylu_9TUQjfdUxU4CsUbgSOBnKAOUxpk5frql2S9ec59esy04LQWXCAMUxK-qqjB_IsjvHZ5nQ6fgqkgodPVPu8m4uduQ&amp;__tn__=-R","Source")</f>
        <v>Source</v>
      </c>
      <c r="J68" s="66"/>
      <c r="K68" s="49" t="s">
        <v>19</v>
      </c>
      <c r="L68" s="39">
        <v>1415.0</v>
      </c>
      <c r="M68" s="58">
        <v>79.0</v>
      </c>
      <c r="N68" s="31"/>
      <c r="O68" s="31"/>
      <c r="P68" s="31"/>
    </row>
    <row r="69" ht="30.0" customHeight="1">
      <c r="A69" s="37" t="s">
        <v>190</v>
      </c>
      <c r="B69" s="39">
        <v>1405.0</v>
      </c>
      <c r="C69" s="41">
        <f t="shared" si="1"/>
        <v>0</v>
      </c>
      <c r="D69" s="58">
        <v>3.0</v>
      </c>
      <c r="E69" s="45">
        <f t="shared" si="2"/>
        <v>0</v>
      </c>
      <c r="F69" s="42">
        <f t="shared" si="3"/>
        <v>0.002135231317</v>
      </c>
      <c r="G69" s="73">
        <v>31.0</v>
      </c>
      <c r="H69" s="73">
        <v>206.0</v>
      </c>
      <c r="I69" s="53" t="str">
        <f>HYPERLINK("https://twitter.com/KUWAIT_MOH/status/1250356026597093377","Source")</f>
        <v>Source</v>
      </c>
      <c r="J69" s="66"/>
      <c r="K69" s="49" t="s">
        <v>19</v>
      </c>
      <c r="L69" s="39">
        <v>1405.0</v>
      </c>
      <c r="M69" s="58">
        <v>3.0</v>
      </c>
      <c r="N69" s="31"/>
      <c r="O69" s="31"/>
      <c r="P69" s="31"/>
    </row>
    <row r="70" ht="30.0" customHeight="1">
      <c r="A70" s="37" t="s">
        <v>193</v>
      </c>
      <c r="B70" s="39">
        <v>1400.0</v>
      </c>
      <c r="C70" s="41">
        <f t="shared" si="1"/>
        <v>0</v>
      </c>
      <c r="D70" s="58">
        <v>35.0</v>
      </c>
      <c r="E70" s="45">
        <f t="shared" si="2"/>
        <v>0</v>
      </c>
      <c r="F70" s="42">
        <f t="shared" si="3"/>
        <v>0.025</v>
      </c>
      <c r="G70" s="73" t="s">
        <v>26</v>
      </c>
      <c r="H70" s="73">
        <v>117.0</v>
      </c>
      <c r="I70" s="94" t="str">
        <f>HYPERLINK("https://www.terviseamet.ee/et/uudised/oopaevaga-lisandus-42-positiivset-testi","Source")</f>
        <v>Source</v>
      </c>
      <c r="J70" s="66"/>
      <c r="K70" s="49" t="s">
        <v>19</v>
      </c>
      <c r="L70" s="39">
        <v>1400.0</v>
      </c>
      <c r="M70" s="58">
        <v>35.0</v>
      </c>
      <c r="N70" s="31"/>
      <c r="O70" s="31"/>
      <c r="P70" s="31"/>
    </row>
    <row r="71" ht="30.0" customHeight="1">
      <c r="A71" s="37" t="s">
        <v>194</v>
      </c>
      <c r="B71" s="39">
        <v>1386.0</v>
      </c>
      <c r="C71" s="41">
        <f t="shared" si="1"/>
        <v>0</v>
      </c>
      <c r="D71" s="58">
        <v>9.0</v>
      </c>
      <c r="E71" s="45">
        <f t="shared" si="2"/>
        <v>0</v>
      </c>
      <c r="F71" s="42">
        <f t="shared" si="3"/>
        <v>0.006493506494</v>
      </c>
      <c r="G71" s="73">
        <v>3.0</v>
      </c>
      <c r="H71" s="73">
        <v>728.0</v>
      </c>
      <c r="I71" s="53" t="str">
        <f>HYPERLINK("https://www.health.govt.nz/our-work/diseases-and-conditions/covid-19-novel-coronavirus/covid-19-current-situation/covid-19-current-cases","Source")</f>
        <v>Source</v>
      </c>
      <c r="J71" s="29"/>
      <c r="K71" s="30"/>
      <c r="L71" s="39">
        <v>1386.0</v>
      </c>
      <c r="M71" s="58">
        <v>9.0</v>
      </c>
      <c r="N71" s="31"/>
      <c r="O71" s="31"/>
      <c r="P71" s="31"/>
    </row>
    <row r="72" ht="30.0" customHeight="1">
      <c r="A72" s="37" t="s">
        <v>195</v>
      </c>
      <c r="B72" s="39">
        <v>1302.0</v>
      </c>
      <c r="C72" s="41">
        <f t="shared" si="1"/>
        <v>0</v>
      </c>
      <c r="D72" s="58">
        <v>3.0</v>
      </c>
      <c r="E72" s="45">
        <f t="shared" si="2"/>
        <v>0</v>
      </c>
      <c r="F72" s="42">
        <f t="shared" si="3"/>
        <v>0.002304147465</v>
      </c>
      <c r="G72" s="73">
        <v>9.0</v>
      </c>
      <c r="H72" s="73">
        <v>85.0</v>
      </c>
      <c r="I72" s="53" t="str">
        <f>HYPERLINK("https://t.me/s/ssvuz","Source")</f>
        <v>Source</v>
      </c>
      <c r="J72" s="29"/>
      <c r="K72" s="49" t="s">
        <v>196</v>
      </c>
      <c r="L72" s="39">
        <v>1302.0</v>
      </c>
      <c r="M72" s="58">
        <v>3.0</v>
      </c>
      <c r="N72" s="31"/>
      <c r="O72" s="31"/>
      <c r="P72" s="31"/>
    </row>
    <row r="73" ht="30.0" customHeight="1">
      <c r="A73" s="37" t="s">
        <v>197</v>
      </c>
      <c r="B73" s="39">
        <v>1267.0</v>
      </c>
      <c r="C73" s="41">
        <f t="shared" si="1"/>
        <v>0</v>
      </c>
      <c r="D73" s="58">
        <v>15.0</v>
      </c>
      <c r="E73" s="45">
        <f t="shared" si="2"/>
        <v>0</v>
      </c>
      <c r="F73" s="59">
        <f t="shared" si="3"/>
        <v>0.01183898974</v>
      </c>
      <c r="G73" s="73" t="s">
        <v>26</v>
      </c>
      <c r="H73" s="73">
        <v>203.0</v>
      </c>
      <c r="I73" s="53" t="str">
        <f>HYPERLINK("https://www.coronavirus2020.kz/","Source")</f>
        <v>Source</v>
      </c>
      <c r="J73" s="67"/>
      <c r="K73" s="49" t="s">
        <v>198</v>
      </c>
      <c r="L73" s="39">
        <v>1267.0</v>
      </c>
      <c r="M73" s="58">
        <v>15.0</v>
      </c>
      <c r="N73" s="31"/>
      <c r="O73" s="31"/>
      <c r="P73" s="31"/>
    </row>
    <row r="74" ht="30.0" customHeight="1">
      <c r="A74" s="37" t="s">
        <v>199</v>
      </c>
      <c r="B74" s="39">
        <v>1253.0</v>
      </c>
      <c r="C74" s="41">
        <f t="shared" si="1"/>
        <v>0</v>
      </c>
      <c r="D74" s="58">
        <v>13.0</v>
      </c>
      <c r="E74" s="45">
        <f t="shared" si="2"/>
        <v>0</v>
      </c>
      <c r="F74" s="42">
        <f t="shared" si="3"/>
        <v>0.01037509976</v>
      </c>
      <c r="G74" s="73">
        <v>24.0</v>
      </c>
      <c r="H74" s="73">
        <v>404.0</v>
      </c>
      <c r="I74" s="53" t="str">
        <f>HYPERLINK("https://koronavirusinfo.az/az/post/249","Source")</f>
        <v>Source</v>
      </c>
      <c r="J74" s="90"/>
      <c r="K74" s="30"/>
      <c r="L74" s="39">
        <v>1253.0</v>
      </c>
      <c r="M74" s="58">
        <v>13.0</v>
      </c>
      <c r="N74" s="31"/>
      <c r="O74" s="31"/>
      <c r="P74" s="31"/>
    </row>
    <row r="75" ht="27.75" customHeight="1">
      <c r="A75" s="37" t="s">
        <v>201</v>
      </c>
      <c r="B75" s="39">
        <v>1248.0</v>
      </c>
      <c r="C75" s="41">
        <f t="shared" si="1"/>
        <v>0</v>
      </c>
      <c r="D75" s="58">
        <v>61.0</v>
      </c>
      <c r="E75" s="45">
        <f t="shared" si="2"/>
        <v>0</v>
      </c>
      <c r="F75" s="59">
        <f t="shared" si="3"/>
        <v>0.04887820513</v>
      </c>
      <c r="G75" s="73">
        <v>34.0</v>
      </c>
      <c r="H75" s="73">
        <v>92.0</v>
      </c>
      <c r="I75" s="53" t="str">
        <f>HYPERLINK("https://www.gov.si/en/topics/coronavirus-disease-covid-19/","Source")</f>
        <v>Source</v>
      </c>
      <c r="J75" s="66"/>
      <c r="K75" s="49" t="s">
        <v>19</v>
      </c>
      <c r="L75" s="39">
        <v>1248.0</v>
      </c>
      <c r="M75" s="58">
        <v>61.0</v>
      </c>
      <c r="N75" s="31"/>
      <c r="O75" s="31"/>
      <c r="P75" s="31"/>
    </row>
    <row r="76" ht="27.75" customHeight="1">
      <c r="A76" s="37" t="s">
        <v>203</v>
      </c>
      <c r="B76" s="39">
        <v>1231.0</v>
      </c>
      <c r="C76" s="41">
        <f t="shared" si="1"/>
        <v>0</v>
      </c>
      <c r="D76" s="58">
        <v>50.0</v>
      </c>
      <c r="E76" s="45">
        <f t="shared" si="2"/>
        <v>0</v>
      </c>
      <c r="F76" s="59">
        <f t="shared" si="3"/>
        <v>0.04061738424</v>
      </c>
      <c r="G76" s="73" t="s">
        <v>26</v>
      </c>
      <c r="H76" s="73">
        <v>49.0</v>
      </c>
      <c r="I76" s="53" t="str">
        <f>HYPERLINK("https://www.thedailystar.net/coronavirus-deadly-new-threat/news/four-more-coronavirus-patients-die-219-test-positive-24hrs-health-minister-1893070","Source")</f>
        <v>Source</v>
      </c>
      <c r="J76" s="66"/>
      <c r="K76" s="30"/>
      <c r="L76" s="39">
        <v>1231.0</v>
      </c>
      <c r="M76" s="58">
        <v>50.0</v>
      </c>
      <c r="N76" s="31"/>
      <c r="O76" s="31"/>
      <c r="P76" s="31"/>
    </row>
    <row r="77" ht="30.0" customHeight="1">
      <c r="A77" s="37" t="s">
        <v>207</v>
      </c>
      <c r="B77" s="39">
        <v>1111.0</v>
      </c>
      <c r="C77" s="41">
        <f t="shared" si="1"/>
        <v>0</v>
      </c>
      <c r="D77" s="58">
        <v>17.0</v>
      </c>
      <c r="E77" s="45">
        <f t="shared" si="2"/>
        <v>0</v>
      </c>
      <c r="F77" s="59">
        <f t="shared" si="3"/>
        <v>0.01530153015</v>
      </c>
      <c r="G77" s="73" t="s">
        <v>26</v>
      </c>
      <c r="H77" s="73">
        <v>297.0</v>
      </c>
      <c r="I77" s="53" t="str">
        <f>HYPERLINK("https://ncdc.am/coronavirus/confirmed-cases-by-days/?fbclid=IwAR3fg11-wJyhUCE8_-zmvL2eEI6Vlp-62L74qrfRwIyE4mOa67A0-v2eulQ","Source")</f>
        <v>Source</v>
      </c>
      <c r="J77" s="66"/>
      <c r="K77" s="30"/>
      <c r="L77" s="39">
        <v>1111.0</v>
      </c>
      <c r="M77" s="58">
        <v>17.0</v>
      </c>
      <c r="N77" s="31"/>
      <c r="O77" s="31"/>
      <c r="P77" s="31"/>
    </row>
    <row r="78" ht="27.75" customHeight="1">
      <c r="A78" s="37" t="s">
        <v>208</v>
      </c>
      <c r="B78" s="39">
        <v>1110.0</v>
      </c>
      <c r="C78" s="41">
        <f t="shared" si="1"/>
        <v>0</v>
      </c>
      <c r="D78" s="58">
        <v>41.0</v>
      </c>
      <c r="E78" s="45">
        <f t="shared" si="2"/>
        <v>0</v>
      </c>
      <c r="F78" s="42">
        <f t="shared" si="3"/>
        <v>0.03693693694</v>
      </c>
      <c r="G78" s="73" t="s">
        <v>26</v>
      </c>
      <c r="H78" s="73">
        <v>253.0</v>
      </c>
      <c r="I78" s="53" t="str">
        <f>HYPERLINK("http://mcp.gov.ba/?lang=en","Source")</f>
        <v>Source</v>
      </c>
      <c r="J78" s="66"/>
      <c r="K78" s="49" t="s">
        <v>19</v>
      </c>
      <c r="L78" s="39">
        <v>1110.0</v>
      </c>
      <c r="M78" s="58">
        <v>41.0</v>
      </c>
      <c r="N78" s="31"/>
      <c r="O78" s="31"/>
      <c r="P78" s="31"/>
    </row>
    <row r="79" ht="30.0" customHeight="1">
      <c r="A79" s="37" t="s">
        <v>210</v>
      </c>
      <c r="B79" s="39">
        <v>1091.0</v>
      </c>
      <c r="C79" s="41">
        <f t="shared" si="1"/>
        <v>0</v>
      </c>
      <c r="D79" s="58">
        <v>29.0</v>
      </c>
      <c r="E79" s="45">
        <f t="shared" si="2"/>
        <v>0</v>
      </c>
      <c r="F79" s="42">
        <f t="shared" si="3"/>
        <v>0.02658111824</v>
      </c>
      <c r="G79" s="73" t="s">
        <v>26</v>
      </c>
      <c r="H79" s="73">
        <v>8.0</v>
      </c>
      <c r="I79" s="53" t="str">
        <f>HYPERLINK("http://sam.lrv.lt/koronavirusas","Source")</f>
        <v>Source</v>
      </c>
      <c r="J79" s="90"/>
      <c r="K79" s="49" t="s">
        <v>19</v>
      </c>
      <c r="L79" s="39">
        <v>1091.0</v>
      </c>
      <c r="M79" s="58">
        <v>29.0</v>
      </c>
      <c r="N79" s="31"/>
      <c r="O79" s="31"/>
      <c r="P79" s="31"/>
    </row>
    <row r="80" ht="30.0" customHeight="1">
      <c r="A80" s="37" t="s">
        <v>212</v>
      </c>
      <c r="B80" s="39">
        <v>1017.0</v>
      </c>
      <c r="C80" s="41">
        <f t="shared" si="1"/>
        <v>0</v>
      </c>
      <c r="D80" s="58">
        <v>4.0</v>
      </c>
      <c r="E80" s="45">
        <f t="shared" si="2"/>
        <v>0</v>
      </c>
      <c r="F80" s="59">
        <f t="shared" si="3"/>
        <v>0.003933136676</v>
      </c>
      <c r="G80" s="73">
        <v>10.0</v>
      </c>
      <c r="H80" s="73">
        <v>459.0</v>
      </c>
      <c r="I80" s="94" t="str">
        <f>HYPERLINK("https://chp-dashboard.geodata.gov.hk/covid-19/en.html","Source")</f>
        <v>Source</v>
      </c>
      <c r="J80" s="66"/>
      <c r="K80" s="49" t="s">
        <v>19</v>
      </c>
      <c r="L80" s="39">
        <v>1017.0</v>
      </c>
      <c r="M80" s="58">
        <v>4.0</v>
      </c>
      <c r="N80" s="31"/>
      <c r="O80" s="31"/>
      <c r="P80" s="31"/>
    </row>
    <row r="81" ht="30.0" customHeight="1">
      <c r="A81" s="37" t="s">
        <v>215</v>
      </c>
      <c r="B81" s="58">
        <v>974.0</v>
      </c>
      <c r="C81" s="41">
        <f t="shared" si="1"/>
        <v>0</v>
      </c>
      <c r="D81" s="58">
        <v>45.0</v>
      </c>
      <c r="E81" s="45">
        <f t="shared" si="2"/>
        <v>0</v>
      </c>
      <c r="F81" s="59">
        <f t="shared" si="3"/>
        <v>0.04620123203</v>
      </c>
      <c r="G81" s="73" t="s">
        <v>26</v>
      </c>
      <c r="H81" s="73">
        <v>98.0</v>
      </c>
      <c r="I81" s="53" t="str">
        <f>HYPERLINK("https://twitter.com/ZdravstvoMK/status/1250409072479866881","Source")</f>
        <v>Source</v>
      </c>
      <c r="J81" s="66"/>
      <c r="K81" s="49" t="s">
        <v>19</v>
      </c>
      <c r="L81" s="58">
        <v>974.0</v>
      </c>
      <c r="M81" s="58">
        <v>45.0</v>
      </c>
      <c r="N81" s="31"/>
      <c r="O81" s="31"/>
      <c r="P81" s="31"/>
    </row>
    <row r="82" ht="30.0" customHeight="1">
      <c r="A82" s="37" t="s">
        <v>220</v>
      </c>
      <c r="B82" s="58">
        <v>910.0</v>
      </c>
      <c r="C82" s="41">
        <f t="shared" si="1"/>
        <v>0</v>
      </c>
      <c r="D82" s="58">
        <v>4.0</v>
      </c>
      <c r="E82" s="45">
        <f t="shared" si="2"/>
        <v>0</v>
      </c>
      <c r="F82" s="42">
        <f t="shared" si="3"/>
        <v>0.004395604396</v>
      </c>
      <c r="G82" s="73">
        <v>0.0</v>
      </c>
      <c r="H82" s="73">
        <v>131.0</v>
      </c>
      <c r="I82" s="53" t="str">
        <f>HYPERLINK("https://twitter.com/OmaniMOH/status/1250298856920641536","Source")</f>
        <v>Source</v>
      </c>
      <c r="J82" s="90"/>
      <c r="K82" s="49" t="s">
        <v>19</v>
      </c>
      <c r="L82" s="58">
        <v>910.0</v>
      </c>
      <c r="M82" s="58">
        <v>4.0</v>
      </c>
      <c r="N82" s="31"/>
      <c r="O82" s="31"/>
      <c r="P82" s="31"/>
    </row>
    <row r="83" ht="30.0" customHeight="1">
      <c r="A83" s="37" t="s">
        <v>225</v>
      </c>
      <c r="B83" s="58">
        <v>863.0</v>
      </c>
      <c r="C83" s="41">
        <f t="shared" si="1"/>
        <v>0</v>
      </c>
      <c r="D83" s="58">
        <v>6.0</v>
      </c>
      <c r="E83" s="45">
        <f t="shared" si="2"/>
        <v>0</v>
      </c>
      <c r="F83" s="42">
        <f t="shared" si="3"/>
        <v>0.006952491309</v>
      </c>
      <c r="G83" s="73" t="s">
        <v>26</v>
      </c>
      <c r="H83" s="73">
        <v>151.0</v>
      </c>
      <c r="I83" s="53" t="str">
        <f>HYPERLINK("https://ezdravie.nczisk.sk/sk?category=COVID","Source")</f>
        <v>Source</v>
      </c>
      <c r="J83" s="66"/>
      <c r="K83" s="49" t="s">
        <v>19</v>
      </c>
      <c r="L83" s="58">
        <v>863.0</v>
      </c>
      <c r="M83" s="58">
        <v>6.0</v>
      </c>
      <c r="N83" s="31"/>
      <c r="O83" s="31"/>
      <c r="P83" s="31"/>
    </row>
    <row r="84" ht="27.75" customHeight="1">
      <c r="A84" s="37" t="s">
        <v>230</v>
      </c>
      <c r="B84" s="58">
        <v>848.0</v>
      </c>
      <c r="C84" s="41">
        <f t="shared" si="1"/>
        <v>0</v>
      </c>
      <c r="D84" s="58">
        <v>17.0</v>
      </c>
      <c r="E84" s="45">
        <f t="shared" si="2"/>
        <v>0</v>
      </c>
      <c r="F84" s="42">
        <f t="shared" si="3"/>
        <v>0.02004716981</v>
      </c>
      <c r="G84" s="73">
        <v>30.0</v>
      </c>
      <c r="H84" s="73">
        <v>165.0</v>
      </c>
      <c r="I84" s="53" t="str">
        <f>HYPERLINK("https://www.journalducameroun.com/","Source")</f>
        <v>Source</v>
      </c>
      <c r="J84" s="66"/>
      <c r="K84" s="49" t="s">
        <v>19</v>
      </c>
      <c r="L84" s="58">
        <v>848.0</v>
      </c>
      <c r="M84" s="58">
        <v>17.0</v>
      </c>
      <c r="N84" s="31"/>
      <c r="O84" s="31"/>
      <c r="P84" s="31"/>
    </row>
    <row r="85" ht="27.75" customHeight="1">
      <c r="A85" s="37" t="s">
        <v>231</v>
      </c>
      <c r="B85" s="58">
        <v>814.0</v>
      </c>
      <c r="C85" s="41">
        <f t="shared" si="1"/>
        <v>0</v>
      </c>
      <c r="D85" s="58">
        <v>24.0</v>
      </c>
      <c r="E85" s="45">
        <f t="shared" si="2"/>
        <v>0</v>
      </c>
      <c r="F85" s="42">
        <f t="shared" si="3"/>
        <v>0.02948402948</v>
      </c>
      <c r="G85" s="73">
        <v>15.0</v>
      </c>
      <c r="H85" s="73">
        <v>151.0</v>
      </c>
      <c r="I85" s="53" t="str">
        <f>HYPERLINK("https://twitter.com/MINSAPCuba/status/1250439173787373568","Source")</f>
        <v>Source</v>
      </c>
      <c r="J85" s="66"/>
      <c r="K85" s="49" t="s">
        <v>19</v>
      </c>
      <c r="L85" s="58">
        <v>814.0</v>
      </c>
      <c r="M85" s="58">
        <v>24.0</v>
      </c>
      <c r="N85" s="31"/>
      <c r="O85" s="31"/>
      <c r="P85" s="31"/>
    </row>
    <row r="86" ht="30.0" customHeight="1">
      <c r="A86" s="37" t="s">
        <v>234</v>
      </c>
      <c r="B86" s="58">
        <v>784.0</v>
      </c>
      <c r="C86" s="41">
        <f t="shared" si="1"/>
        <v>0</v>
      </c>
      <c r="D86" s="58">
        <v>29.0</v>
      </c>
      <c r="E86" s="45">
        <f t="shared" si="2"/>
        <v>0</v>
      </c>
      <c r="F86" s="59">
        <f t="shared" si="3"/>
        <v>0.03698979592</v>
      </c>
      <c r="G86" s="73" t="s">
        <v>26</v>
      </c>
      <c r="H86" s="73">
        <v>44.0</v>
      </c>
      <c r="I86" s="53" t="str">
        <f>HYPERLINK("https://uneplive.maps.arcgis.com/apps/opsdashboard/index.html#/4c8ca6b1d9bc44d6bde5e2fd54afc180","Source")</f>
        <v>Source</v>
      </c>
      <c r="J86" s="66"/>
      <c r="K86" s="30"/>
      <c r="L86" s="58">
        <v>784.0</v>
      </c>
      <c r="M86" s="58">
        <v>29.0</v>
      </c>
      <c r="N86" s="31"/>
      <c r="O86" s="31"/>
      <c r="P86" s="31"/>
    </row>
    <row r="87" ht="30.0" customHeight="1">
      <c r="A87" s="37" t="s">
        <v>238</v>
      </c>
      <c r="B87" s="58">
        <v>747.0</v>
      </c>
      <c r="C87" s="41">
        <f t="shared" si="1"/>
        <v>0</v>
      </c>
      <c r="D87" s="58">
        <v>34.0</v>
      </c>
      <c r="E87" s="45">
        <f t="shared" si="2"/>
        <v>0</v>
      </c>
      <c r="F87" s="42">
        <f t="shared" si="3"/>
        <v>0.04551539491</v>
      </c>
      <c r="G87" s="73" t="s">
        <v>26</v>
      </c>
      <c r="H87" s="73">
        <v>5.0</v>
      </c>
      <c r="I87" s="53" t="str">
        <f>HYPERLINK("https://www.facebook.com/santetunisie.rns.tn/photos/a.724855064220267/3017932538245830/?type=3&amp;theater","Source")</f>
        <v>Source</v>
      </c>
      <c r="J87" s="29"/>
      <c r="K87" s="30"/>
      <c r="L87" s="58">
        <v>747.0</v>
      </c>
      <c r="M87" s="58">
        <v>34.0</v>
      </c>
      <c r="N87" s="31"/>
      <c r="O87" s="31"/>
      <c r="P87" s="31"/>
    </row>
    <row r="88" ht="30.0" customHeight="1">
      <c r="A88" s="37" t="s">
        <v>242</v>
      </c>
      <c r="B88" s="58">
        <v>735.0</v>
      </c>
      <c r="C88" s="41">
        <f t="shared" si="1"/>
        <v>0</v>
      </c>
      <c r="D88" s="58">
        <v>36.0</v>
      </c>
      <c r="E88" s="45">
        <f t="shared" si="2"/>
        <v>0</v>
      </c>
      <c r="F88" s="42">
        <f t="shared" si="3"/>
        <v>0.04897959184</v>
      </c>
      <c r="G88" s="73">
        <v>29.0</v>
      </c>
      <c r="H88" s="73">
        <v>105.0</v>
      </c>
      <c r="I88" s="53" t="str">
        <f>HYPERLINK("http://www.mh.government.bg/bg/novini/aktualno/105-sa-veche-pacientite-izlekuvani-ot-covid-19-v-b/","Source")</f>
        <v>Source</v>
      </c>
      <c r="J88" s="66"/>
      <c r="K88" s="49" t="s">
        <v>19</v>
      </c>
      <c r="L88" s="58">
        <v>735.0</v>
      </c>
      <c r="M88" s="58">
        <v>36.0</v>
      </c>
      <c r="N88" s="31"/>
      <c r="O88" s="31"/>
      <c r="P88" s="31"/>
    </row>
    <row r="89" ht="30.0" customHeight="1">
      <c r="A89" s="37" t="s">
        <v>246</v>
      </c>
      <c r="B89" s="58">
        <v>712.0</v>
      </c>
      <c r="C89" s="41">
        <f t="shared" si="1"/>
        <v>0</v>
      </c>
      <c r="D89" s="58">
        <v>12.0</v>
      </c>
      <c r="E89" s="45">
        <f t="shared" si="2"/>
        <v>0</v>
      </c>
      <c r="F89" s="59">
        <f t="shared" si="3"/>
        <v>0.01685393258</v>
      </c>
      <c r="G89" s="73">
        <v>6.0</v>
      </c>
      <c r="H89" s="73">
        <v>644.0</v>
      </c>
      <c r="I89" s="53" t="str">
        <f>HYPERLINK("https://www3.nhk.or.jp/news/html/20200414/k10012385861000.html?utm_int=word_contents_list-items_041&amp;word_result=%E6%96%B0%E5%9E%8B%E3%82%B3%E3%83%AD%E3%83%8A%E3%82%A6%E3%82%A4%E3%83%AB%E3%82%B9","Source")</f>
        <v>Source</v>
      </c>
      <c r="J89" s="29"/>
      <c r="K89" s="30"/>
      <c r="L89" s="58">
        <v>712.0</v>
      </c>
      <c r="M89" s="58">
        <v>12.0</v>
      </c>
      <c r="N89" s="31"/>
      <c r="O89" s="31"/>
      <c r="P89" s="31"/>
    </row>
    <row r="90" ht="30.0" customHeight="1">
      <c r="A90" s="37" t="s">
        <v>250</v>
      </c>
      <c r="B90" s="58">
        <v>695.0</v>
      </c>
      <c r="C90" s="41">
        <f t="shared" si="1"/>
        <v>0</v>
      </c>
      <c r="D90" s="58">
        <v>16.0</v>
      </c>
      <c r="E90" s="45">
        <f t="shared" si="2"/>
        <v>0</v>
      </c>
      <c r="F90" s="59">
        <f t="shared" si="3"/>
        <v>0.02302158273</v>
      </c>
      <c r="G90" s="73">
        <v>11.0</v>
      </c>
      <c r="H90" s="73">
        <v>84.0</v>
      </c>
      <c r="I90" s="53" t="str">
        <f>HYPERLINK("https://cyprus-mail.com/2020/04/12/305769/","Source")</f>
        <v>Source</v>
      </c>
      <c r="J90" s="29"/>
      <c r="K90" s="30"/>
      <c r="L90" s="58">
        <v>695.0</v>
      </c>
      <c r="M90" s="58">
        <v>16.0</v>
      </c>
      <c r="N90" s="31"/>
      <c r="O90" s="31"/>
      <c r="P90" s="31"/>
    </row>
    <row r="91" ht="30.0" customHeight="1">
      <c r="A91" s="37" t="s">
        <v>258</v>
      </c>
      <c r="B91" s="58">
        <v>673.0</v>
      </c>
      <c r="C91" s="41">
        <f t="shared" si="1"/>
        <v>0</v>
      </c>
      <c r="D91" s="58">
        <v>33.0</v>
      </c>
      <c r="E91" s="45">
        <f t="shared" si="2"/>
        <v>0</v>
      </c>
      <c r="F91" s="42">
        <f t="shared" si="3"/>
        <v>0.04903417533</v>
      </c>
      <c r="G91" s="73">
        <v>17.0</v>
      </c>
      <c r="H91" s="73">
        <v>169.0</v>
      </c>
      <c r="I91" s="53" t="str">
        <f>HYPERLINK("https://www.govern.ad/coronavirus","Source")</f>
        <v>Source</v>
      </c>
      <c r="J91" s="66"/>
      <c r="K91" s="49" t="s">
        <v>19</v>
      </c>
      <c r="L91" s="58">
        <v>673.0</v>
      </c>
      <c r="M91" s="58">
        <v>33.0</v>
      </c>
      <c r="N91" s="31"/>
      <c r="O91" s="31"/>
      <c r="P91" s="31"/>
    </row>
    <row r="92" ht="30.0" customHeight="1">
      <c r="A92" s="37" t="s">
        <v>262</v>
      </c>
      <c r="B92" s="58">
        <v>666.0</v>
      </c>
      <c r="C92" s="41">
        <f t="shared" si="1"/>
        <v>0</v>
      </c>
      <c r="D92" s="58">
        <v>5.0</v>
      </c>
      <c r="E92" s="45">
        <f t="shared" si="2"/>
        <v>0</v>
      </c>
      <c r="F92" s="42">
        <f t="shared" si="3"/>
        <v>0.007507507508</v>
      </c>
      <c r="G92" s="73">
        <v>3.0</v>
      </c>
      <c r="H92" s="73">
        <v>44.0</v>
      </c>
      <c r="I92" s="53" t="str">
        <f>HYPERLINK("https://twitter.com/SPKCentrs/status/1250316210043940864","Source")</f>
        <v>Source</v>
      </c>
      <c r="J92" s="66"/>
      <c r="K92" s="30"/>
      <c r="L92" s="58">
        <v>666.0</v>
      </c>
      <c r="M92" s="58">
        <v>5.0</v>
      </c>
      <c r="N92" s="31"/>
      <c r="O92" s="31"/>
      <c r="P92" s="31"/>
    </row>
    <row r="93" ht="30.0" customHeight="1">
      <c r="A93" s="37" t="s">
        <v>267</v>
      </c>
      <c r="B93" s="58">
        <v>658.0</v>
      </c>
      <c r="C93" s="41">
        <f t="shared" si="1"/>
        <v>0</v>
      </c>
      <c r="D93" s="58">
        <v>21.0</v>
      </c>
      <c r="E93" s="45">
        <f t="shared" si="2"/>
        <v>0</v>
      </c>
      <c r="F93" s="59">
        <f t="shared" si="3"/>
        <v>0.03191489362</v>
      </c>
      <c r="G93" s="73">
        <v>30.0</v>
      </c>
      <c r="H93" s="73">
        <v>81.0</v>
      </c>
      <c r="I93" s="53" t="str">
        <f>HYPERLINK("https://corona.ministryinfo.gov.lb/","Source")</f>
        <v>Source</v>
      </c>
      <c r="J93" s="66"/>
      <c r="K93" s="30"/>
      <c r="L93" s="58">
        <v>658.0</v>
      </c>
      <c r="M93" s="58">
        <v>21.0</v>
      </c>
      <c r="N93" s="31"/>
      <c r="O93" s="31"/>
      <c r="P93" s="31"/>
    </row>
    <row r="94" ht="27.75" customHeight="1">
      <c r="A94" s="37" t="s">
        <v>272</v>
      </c>
      <c r="B94" s="58">
        <v>654.0</v>
      </c>
      <c r="C94" s="41">
        <f t="shared" si="1"/>
        <v>0</v>
      </c>
      <c r="D94" s="58">
        <v>6.0</v>
      </c>
      <c r="E94" s="45">
        <f t="shared" si="2"/>
        <v>0</v>
      </c>
      <c r="F94" s="42">
        <f t="shared" si="3"/>
        <v>0.009174311927</v>
      </c>
      <c r="G94" s="73" t="s">
        <v>26</v>
      </c>
      <c r="H94" s="73">
        <v>146.0</v>
      </c>
      <c r="I94" s="53" t="str">
        <f>HYPERLINK("https://twitter.com/OmsCotedivoire/status/1250544503615782913","Source")</f>
        <v>Source</v>
      </c>
      <c r="J94" s="66"/>
      <c r="K94" s="30"/>
      <c r="L94" s="58">
        <v>654.0</v>
      </c>
      <c r="M94" s="58">
        <v>6.0</v>
      </c>
      <c r="N94" s="31"/>
      <c r="O94" s="31"/>
      <c r="P94" s="31"/>
    </row>
    <row r="95" ht="30.0" customHeight="1">
      <c r="A95" s="37" t="s">
        <v>277</v>
      </c>
      <c r="B95" s="58">
        <v>641.0</v>
      </c>
      <c r="C95" s="41">
        <f t="shared" si="1"/>
        <v>0</v>
      </c>
      <c r="D95" s="58">
        <v>8.0</v>
      </c>
      <c r="E95" s="45">
        <f t="shared" si="2"/>
        <v>0</v>
      </c>
      <c r="F95" s="59">
        <f t="shared" si="3"/>
        <v>0.01248049922</v>
      </c>
      <c r="G95" s="73">
        <v>2.0</v>
      </c>
      <c r="H95" s="73">
        <v>83.0</v>
      </c>
      <c r="I95" s="53" t="str">
        <f>HYPERLINK("https://www.ghanahealthservice.org/covid19/","Source")</f>
        <v>Source</v>
      </c>
      <c r="J95" s="66"/>
      <c r="K95" s="30"/>
      <c r="L95" s="58">
        <v>641.0</v>
      </c>
      <c r="M95" s="58">
        <v>8.0</v>
      </c>
      <c r="N95" s="31"/>
      <c r="O95" s="31"/>
      <c r="P95" s="31"/>
    </row>
    <row r="96" ht="30.0" customHeight="1">
      <c r="A96" s="37" t="s">
        <v>280</v>
      </c>
      <c r="B96" s="58">
        <v>626.0</v>
      </c>
      <c r="C96" s="41">
        <f t="shared" si="1"/>
        <v>0</v>
      </c>
      <c r="D96" s="58">
        <v>4.0</v>
      </c>
      <c r="E96" s="45">
        <f t="shared" si="2"/>
        <v>0</v>
      </c>
      <c r="F96" s="42">
        <f t="shared" si="3"/>
        <v>0.006389776358</v>
      </c>
      <c r="G96" s="73">
        <v>11.0</v>
      </c>
      <c r="H96" s="73">
        <v>67.0</v>
      </c>
      <c r="I96" s="53" t="str">
        <f>HYPERLINK("https://twitter.com/msaludcr/status/1250518077059616772","Source")</f>
        <v>Source</v>
      </c>
      <c r="J96" s="66"/>
      <c r="K96" s="49" t="s">
        <v>19</v>
      </c>
      <c r="L96" s="58">
        <v>626.0</v>
      </c>
      <c r="M96" s="58">
        <v>4.0</v>
      </c>
      <c r="N96" s="31"/>
      <c r="O96" s="31"/>
      <c r="P96" s="31"/>
    </row>
    <row r="97" ht="30.0" customHeight="1">
      <c r="A97" s="37" t="s">
        <v>283</v>
      </c>
      <c r="B97" s="58">
        <v>570.0</v>
      </c>
      <c r="C97" s="41">
        <f t="shared" si="1"/>
        <v>0</v>
      </c>
      <c r="D97" s="58">
        <v>14.0</v>
      </c>
      <c r="E97" s="45">
        <f t="shared" si="2"/>
        <v>0</v>
      </c>
      <c r="F97" s="59">
        <f t="shared" si="3"/>
        <v>0.02456140351</v>
      </c>
      <c r="G97" s="73" t="s">
        <v>26</v>
      </c>
      <c r="H97" s="73">
        <v>90.0</v>
      </c>
      <c r="I97" s="53" t="str">
        <f>HYPERLINK("https://coronavirus.ne/","Source")</f>
        <v>Source</v>
      </c>
      <c r="J97" s="29"/>
      <c r="K97" s="30"/>
      <c r="L97" s="58">
        <v>570.0</v>
      </c>
      <c r="M97" s="58">
        <v>14.0</v>
      </c>
      <c r="N97" s="31"/>
      <c r="O97" s="31"/>
      <c r="P97" s="179"/>
    </row>
    <row r="98" ht="30.0" customHeight="1">
      <c r="A98" s="37" t="s">
        <v>289</v>
      </c>
      <c r="B98" s="58">
        <v>533.0</v>
      </c>
      <c r="C98" s="41">
        <f t="shared" si="1"/>
        <v>0</v>
      </c>
      <c r="D98" s="58">
        <v>8.0</v>
      </c>
      <c r="E98" s="45">
        <f t="shared" si="2"/>
        <v>0</v>
      </c>
      <c r="F98" s="59">
        <f t="shared" si="3"/>
        <v>0.01500938086</v>
      </c>
      <c r="G98" s="73">
        <v>14.0</v>
      </c>
      <c r="H98" s="73">
        <v>248.0</v>
      </c>
      <c r="I98" s="53" t="str">
        <f>HYPERLINK("https://www.gub.uy/ministerio-salud-publica/comunicacion/noticias/informacion-interes-actualizada-sobre-coronavirus-covid-19-5","Source")</f>
        <v>Source</v>
      </c>
      <c r="J98" s="29"/>
      <c r="K98" s="49" t="s">
        <v>19</v>
      </c>
      <c r="L98" s="58">
        <v>533.0</v>
      </c>
      <c r="M98" s="58">
        <v>8.0</v>
      </c>
      <c r="N98" s="31"/>
      <c r="O98" s="31"/>
      <c r="P98" s="31"/>
    </row>
    <row r="99" ht="27.75" customHeight="1">
      <c r="A99" s="37" t="s">
        <v>294</v>
      </c>
      <c r="B99" s="58">
        <v>528.0</v>
      </c>
      <c r="C99" s="41">
        <f t="shared" si="1"/>
        <v>0</v>
      </c>
      <c r="D99" s="58">
        <v>30.0</v>
      </c>
      <c r="E99" s="45">
        <f t="shared" si="2"/>
        <v>0</v>
      </c>
      <c r="F99" s="42">
        <f t="shared" si="3"/>
        <v>0.05681818182</v>
      </c>
      <c r="G99" s="73" t="s">
        <v>26</v>
      </c>
      <c r="H99" s="73">
        <v>177.0</v>
      </c>
      <c r="I99" s="53" t="str">
        <f>HYPERLINK("https://lefaso.net/spip.php?article96186","Source")</f>
        <v>Source</v>
      </c>
      <c r="J99" s="29"/>
      <c r="K99" s="30"/>
      <c r="L99" s="58">
        <v>528.0</v>
      </c>
      <c r="M99" s="58">
        <v>30.0</v>
      </c>
      <c r="N99" s="31"/>
      <c r="O99" s="31"/>
      <c r="P99" s="31"/>
    </row>
    <row r="100" ht="30.0" customHeight="1">
      <c r="A100" s="37" t="s">
        <v>298</v>
      </c>
      <c r="B100" s="58">
        <v>494.0</v>
      </c>
      <c r="C100" s="41">
        <f t="shared" si="1"/>
        <v>0</v>
      </c>
      <c r="D100" s="58">
        <v>25.0</v>
      </c>
      <c r="E100" s="45">
        <f t="shared" si="2"/>
        <v>0</v>
      </c>
      <c r="F100" s="42">
        <f t="shared" si="3"/>
        <v>0.05060728745</v>
      </c>
      <c r="G100" s="73">
        <v>5.0</v>
      </c>
      <c r="H100" s="73">
        <v>251.0</v>
      </c>
      <c r="I100" s="53" t="str">
        <f>HYPERLINK("https://new.shendetesia.gov.al/covid-19-ministria-e-shendetesise-19-raste-te-reja-shkon-ne-494-numri-i-te-prekurve/","Source")</f>
        <v>Source</v>
      </c>
      <c r="J100" s="66"/>
      <c r="K100" s="49" t="s">
        <v>19</v>
      </c>
      <c r="L100" s="58">
        <v>494.0</v>
      </c>
      <c r="M100" s="58">
        <v>25.0</v>
      </c>
      <c r="N100" s="31"/>
      <c r="O100" s="31"/>
      <c r="P100" s="31"/>
    </row>
    <row r="101" ht="30.0" customHeight="1">
      <c r="A101" s="37" t="s">
        <v>303</v>
      </c>
      <c r="B101" s="58">
        <v>430.0</v>
      </c>
      <c r="C101" s="41">
        <f t="shared" si="1"/>
        <v>0</v>
      </c>
      <c r="D101" s="58">
        <v>5.0</v>
      </c>
      <c r="E101" s="45">
        <f t="shared" si="2"/>
        <v>0</v>
      </c>
      <c r="F101" s="42">
        <f t="shared" si="3"/>
        <v>0.01162790698</v>
      </c>
      <c r="G101" s="73" t="s">
        <v>26</v>
      </c>
      <c r="H101" s="73">
        <v>71.0</v>
      </c>
      <c r="I101" s="53" t="str">
        <f>HYPERLINK("https://www.facebook.com/minzdravKR/posts/2830074133778558?__xts__%5B0%5D=68.ARCtEF2khlCckExEc8w-90NQpLLt4k2m8eG5zV3p3cQaoBTxcRorJgUrj0fG1K7DpoTW_HBqP0Z7rfhr09Wtfh9i9n3PVQJz8-nJOsxqxGIWQ_s15dUSeUXo_LyIWlVOUpfRbxbi6a-3gCFYgkPkCVV3y1gn9FkYpb57oUO9eWdWWWCJqR"&amp;"Kvun6G1eIqTr5wtsIkuupeWGtN1iatGnXCJIFsMt8HSxg6vTPcB-A5dBXmiA9AyYf2mlX2-g5hUA7KowrcOth4hLgmvn95ZIHT0ia6haiaosLbnfB94M5baNr_a3pzTqsBcHX_a8iARUraRW39MySMI1jgBbAzOtvmxbsunQ&amp;__tn__=-R","Source")</f>
        <v>Source</v>
      </c>
      <c r="J101" s="29"/>
      <c r="K101" s="30"/>
      <c r="L101" s="58">
        <v>430.0</v>
      </c>
      <c r="M101" s="58">
        <v>5.0</v>
      </c>
      <c r="N101" s="31"/>
      <c r="O101" s="31"/>
      <c r="P101" s="31"/>
    </row>
    <row r="102" ht="27.75" customHeight="1">
      <c r="A102" s="37" t="s">
        <v>310</v>
      </c>
      <c r="B102" s="58">
        <v>407.0</v>
      </c>
      <c r="C102" s="41">
        <f t="shared" si="1"/>
        <v>0</v>
      </c>
      <c r="D102" s="58">
        <v>26.0</v>
      </c>
      <c r="E102" s="45">
        <f t="shared" si="2"/>
        <v>0</v>
      </c>
      <c r="F102" s="59">
        <f t="shared" si="3"/>
        <v>0.06388206388</v>
      </c>
      <c r="G102" s="73" t="s">
        <v>26</v>
      </c>
      <c r="H102" s="73">
        <v>7.0</v>
      </c>
      <c r="I102" s="53" t="str">
        <f>HYPERLINK("https://covid19honduras.org/","Source")</f>
        <v>Source</v>
      </c>
      <c r="J102" s="29"/>
      <c r="K102" s="49" t="s">
        <v>19</v>
      </c>
      <c r="L102" s="58">
        <v>407.0</v>
      </c>
      <c r="M102" s="58">
        <v>26.0</v>
      </c>
      <c r="N102" s="31"/>
      <c r="O102" s="31"/>
      <c r="P102" s="31"/>
    </row>
    <row r="103" ht="30.0" customHeight="1">
      <c r="A103" s="37" t="s">
        <v>313</v>
      </c>
      <c r="B103" s="58">
        <v>407.0</v>
      </c>
      <c r="C103" s="41">
        <f t="shared" si="1"/>
        <v>0</v>
      </c>
      <c r="D103" s="58">
        <v>12.0</v>
      </c>
      <c r="E103" s="45">
        <f t="shared" si="2"/>
        <v>0</v>
      </c>
      <c r="F103" s="59">
        <f t="shared" si="3"/>
        <v>0.02948402948</v>
      </c>
      <c r="G103" s="73" t="s">
        <v>26</v>
      </c>
      <c r="H103" s="73">
        <v>128.0</v>
      </c>
      <c r="I103" s="53" t="str">
        <f>HYPERLINK("https://twitter.com/NCDCgov/status/1250550394847203328","Source")</f>
        <v>Source</v>
      </c>
      <c r="J103" s="66"/>
      <c r="K103" s="30"/>
      <c r="L103" s="58">
        <v>407.0</v>
      </c>
      <c r="M103" s="58">
        <v>12.0</v>
      </c>
      <c r="N103" s="31"/>
      <c r="O103" s="31"/>
      <c r="P103" s="31"/>
    </row>
    <row r="104" ht="27.75" customHeight="1">
      <c r="A104" s="37" t="s">
        <v>314</v>
      </c>
      <c r="B104" s="58">
        <v>399.0</v>
      </c>
      <c r="C104" s="41">
        <f t="shared" si="1"/>
        <v>0</v>
      </c>
      <c r="D104" s="58">
        <v>3.0</v>
      </c>
      <c r="E104" s="45">
        <f t="shared" si="2"/>
        <v>0</v>
      </c>
      <c r="F104" s="42">
        <f t="shared" si="3"/>
        <v>0.007518796992</v>
      </c>
      <c r="G104" s="73" t="s">
        <v>26</v>
      </c>
      <c r="H104" s="73">
        <v>44.0</v>
      </c>
      <c r="I104" s="53" t="str">
        <f>HYPERLINK("https://timesofmalta.com/articles/view/watch-covid-19-daily-briefing.785735","Source")</f>
        <v>Source</v>
      </c>
      <c r="J104" s="66"/>
      <c r="K104" s="49" t="s">
        <v>19</v>
      </c>
      <c r="L104" s="58">
        <v>399.0</v>
      </c>
      <c r="M104" s="58">
        <v>3.0</v>
      </c>
      <c r="N104" s="31"/>
      <c r="O104" s="31"/>
      <c r="P104" s="31"/>
    </row>
    <row r="105" ht="30.0" customHeight="1">
      <c r="A105" s="37" t="s">
        <v>316</v>
      </c>
      <c r="B105" s="58">
        <v>397.0</v>
      </c>
      <c r="C105" s="41">
        <f t="shared" si="1"/>
        <v>0</v>
      </c>
      <c r="D105" s="58">
        <v>28.0</v>
      </c>
      <c r="E105" s="45">
        <f t="shared" si="2"/>
        <v>0</v>
      </c>
      <c r="F105" s="59">
        <f t="shared" si="3"/>
        <v>0.07052896725</v>
      </c>
      <c r="G105" s="73" t="s">
        <v>26</v>
      </c>
      <c r="H105" s="73">
        <v>7.0</v>
      </c>
      <c r="I105" s="53" t="str">
        <f>HYPERLINK("https://twitter.com/MinSaludBolivia/status/1250223159636344833","Source")</f>
        <v>Source</v>
      </c>
      <c r="J105" s="29"/>
      <c r="K105" s="49" t="s">
        <v>19</v>
      </c>
      <c r="L105" s="58">
        <v>397.0</v>
      </c>
      <c r="M105" s="58">
        <v>28.0</v>
      </c>
      <c r="N105" s="31"/>
      <c r="O105" s="31"/>
      <c r="P105" s="31"/>
    </row>
    <row r="106" ht="30.0" customHeight="1">
      <c r="A106" s="37" t="s">
        <v>320</v>
      </c>
      <c r="B106" s="58">
        <v>397.0</v>
      </c>
      <c r="C106" s="41">
        <f t="shared" si="1"/>
        <v>0</v>
      </c>
      <c r="D106" s="58">
        <v>7.0</v>
      </c>
      <c r="E106" s="45">
        <f t="shared" si="2"/>
        <v>0</v>
      </c>
      <c r="F106" s="59">
        <f t="shared" si="3"/>
        <v>0.01763224181</v>
      </c>
      <c r="G106" s="73" t="s">
        <v>26</v>
      </c>
      <c r="H106" s="73">
        <v>235.0</v>
      </c>
      <c r="I106" s="53" t="str">
        <f>HYPERLINK("https://corona.moh.gov.jo/ar","Source")</f>
        <v>Source</v>
      </c>
      <c r="J106" s="29"/>
      <c r="K106" s="49" t="s">
        <v>19</v>
      </c>
      <c r="L106" s="58">
        <v>397.0</v>
      </c>
      <c r="M106" s="58">
        <v>7.0</v>
      </c>
      <c r="N106" s="31"/>
      <c r="O106" s="31"/>
      <c r="P106" s="31"/>
    </row>
    <row r="107" ht="30.0" customHeight="1">
      <c r="A107" s="37" t="s">
        <v>321</v>
      </c>
      <c r="B107" s="58">
        <v>395.0</v>
      </c>
      <c r="C107" s="41">
        <f t="shared" si="1"/>
        <v>0</v>
      </c>
      <c r="D107" s="58">
        <v>6.0</v>
      </c>
      <c r="E107" s="45">
        <f t="shared" si="2"/>
        <v>0</v>
      </c>
      <c r="F107" s="59">
        <f t="shared" si="3"/>
        <v>0.01518987342</v>
      </c>
      <c r="G107" s="73">
        <v>0.0</v>
      </c>
      <c r="H107" s="73">
        <v>137.0</v>
      </c>
      <c r="I107" s="53" t="str">
        <f>HYPERLINK("https://www.cdc.gov.tw/Bulletin/Detail/aGkS661YKBXFjfq6FhH04A?typeid=9","Source")</f>
        <v>Source</v>
      </c>
      <c r="J107" s="66"/>
      <c r="K107" s="49" t="s">
        <v>19</v>
      </c>
      <c r="L107" s="58">
        <v>395.0</v>
      </c>
      <c r="M107" s="58">
        <v>6.0</v>
      </c>
      <c r="N107" s="31"/>
      <c r="O107" s="31"/>
      <c r="P107" s="31"/>
    </row>
    <row r="108" ht="30.0" customHeight="1">
      <c r="A108" s="37" t="s">
        <v>322</v>
      </c>
      <c r="B108" s="58">
        <v>393.0</v>
      </c>
      <c r="C108" s="41">
        <f t="shared" si="1"/>
        <v>0</v>
      </c>
      <c r="D108" s="58">
        <v>36.0</v>
      </c>
      <c r="E108" s="45">
        <f t="shared" si="2"/>
        <v>0</v>
      </c>
      <c r="F108" s="59">
        <f t="shared" si="3"/>
        <v>0.09160305344</v>
      </c>
      <c r="G108" s="73">
        <v>15.0</v>
      </c>
      <c r="H108" s="73">
        <v>53.0</v>
      </c>
      <c r="I108" s="53" t="str">
        <f>HYPERLINK("http://www.iss.sm/on-line/home/articolo49014261.html","Source")</f>
        <v>Source</v>
      </c>
      <c r="J108" s="104"/>
      <c r="K108" s="49" t="s">
        <v>19</v>
      </c>
      <c r="L108" s="58">
        <v>393.0</v>
      </c>
      <c r="M108" s="58">
        <v>36.0</v>
      </c>
      <c r="N108" s="31"/>
      <c r="O108" s="31"/>
      <c r="P108" s="31"/>
    </row>
    <row r="109" ht="30.0" customHeight="1">
      <c r="A109" s="37" t="s">
        <v>323</v>
      </c>
      <c r="B109" s="58">
        <v>387.0</v>
      </c>
      <c r="C109" s="41">
        <f t="shared" si="1"/>
        <v>0</v>
      </c>
      <c r="D109" s="58">
        <v>8.0</v>
      </c>
      <c r="E109" s="45">
        <f t="shared" si="2"/>
        <v>0</v>
      </c>
      <c r="F109" s="59">
        <f t="shared" si="3"/>
        <v>0.02067183463</v>
      </c>
      <c r="G109" s="73" t="s">
        <v>26</v>
      </c>
      <c r="H109" s="73">
        <v>66.0</v>
      </c>
      <c r="I109" s="53" t="str">
        <f>HYPERLINK("https://kosova.health/en/","Source")</f>
        <v>Source</v>
      </c>
      <c r="J109" s="29"/>
      <c r="K109" s="30"/>
      <c r="L109" s="58">
        <v>387.0</v>
      </c>
      <c r="M109" s="58">
        <v>8.0</v>
      </c>
      <c r="N109" s="31"/>
      <c r="O109" s="31"/>
      <c r="P109" s="31"/>
    </row>
    <row r="110" ht="30.0" customHeight="1">
      <c r="A110" s="37" t="s">
        <v>324</v>
      </c>
      <c r="B110" s="58">
        <v>363.0</v>
      </c>
      <c r="C110" s="41">
        <f t="shared" si="1"/>
        <v>0</v>
      </c>
      <c r="D110" s="58">
        <v>2.0</v>
      </c>
      <c r="E110" s="45">
        <f t="shared" si="2"/>
        <v>0</v>
      </c>
      <c r="F110" s="59">
        <f t="shared" si="3"/>
        <v>0.005509641873</v>
      </c>
      <c r="G110" s="73">
        <v>0.0</v>
      </c>
      <c r="H110" s="73">
        <v>53.0</v>
      </c>
      <c r="I110" s="99" t="str">
        <f>HYPERLINK("http://www.adi.dj/site/Plus/142552","Source")</f>
        <v>Source</v>
      </c>
      <c r="J110" s="29"/>
      <c r="K110" s="30"/>
      <c r="L110" s="58">
        <v>363.0</v>
      </c>
      <c r="M110" s="58">
        <v>2.0</v>
      </c>
      <c r="N110" s="31"/>
      <c r="O110" s="31"/>
      <c r="P110" s="31"/>
    </row>
    <row r="111" ht="30.0" customHeight="1">
      <c r="A111" s="37" t="s">
        <v>325</v>
      </c>
      <c r="B111" s="58">
        <v>363.0</v>
      </c>
      <c r="C111" s="41">
        <f t="shared" si="1"/>
        <v>0</v>
      </c>
      <c r="D111" s="58">
        <v>0.0</v>
      </c>
      <c r="E111" s="45">
        <f t="shared" si="2"/>
        <v>0</v>
      </c>
      <c r="F111" s="42">
        <f t="shared" si="3"/>
        <v>0</v>
      </c>
      <c r="G111" s="73" t="s">
        <v>26</v>
      </c>
      <c r="H111" s="73">
        <v>31.0</v>
      </c>
      <c r="I111" s="53" t="str">
        <f>HYPERLINK("https://www.facebook.com/Sanitaire.net/photos/a.209738779476555/893892754394484/?type=3&amp;theater","Source")</f>
        <v>Source</v>
      </c>
      <c r="J111" s="29"/>
      <c r="K111" s="30"/>
      <c r="L111" s="58">
        <v>363.0</v>
      </c>
      <c r="M111" s="58">
        <v>0.0</v>
      </c>
      <c r="N111" s="31"/>
      <c r="O111" s="31"/>
      <c r="P111" s="31"/>
    </row>
    <row r="112" ht="30.0" customHeight="1">
      <c r="A112" s="37" t="s">
        <v>326</v>
      </c>
      <c r="B112" s="58">
        <v>324.0</v>
      </c>
      <c r="C112" s="41">
        <f t="shared" si="1"/>
        <v>0</v>
      </c>
      <c r="D112" s="58">
        <v>9.0</v>
      </c>
      <c r="E112" s="45">
        <f t="shared" si="2"/>
        <v>0</v>
      </c>
      <c r="F112" s="59">
        <f t="shared" si="3"/>
        <v>0.02777777778</v>
      </c>
      <c r="G112" s="73">
        <v>2.0</v>
      </c>
      <c r="H112" s="73">
        <v>51.0</v>
      </c>
      <c r="I112" s="53" t="str">
        <f>HYPERLINK("https://www.lemauricien.com/covid19/","Source")</f>
        <v>Source</v>
      </c>
      <c r="J112" s="29"/>
      <c r="K112" s="30"/>
      <c r="L112" s="58">
        <v>324.0</v>
      </c>
      <c r="M112" s="58">
        <v>9.0</v>
      </c>
      <c r="N112" s="31"/>
      <c r="O112" s="31"/>
      <c r="P112" s="31"/>
    </row>
    <row r="113" ht="30.0" customHeight="1">
      <c r="A113" s="37" t="s">
        <v>327</v>
      </c>
      <c r="B113" s="58">
        <v>314.0</v>
      </c>
      <c r="C113" s="41">
        <f t="shared" si="1"/>
        <v>0</v>
      </c>
      <c r="D113" s="58">
        <v>2.0</v>
      </c>
      <c r="E113" s="45">
        <f t="shared" si="2"/>
        <v>0</v>
      </c>
      <c r="F113" s="42">
        <f t="shared" si="3"/>
        <v>0.006369426752</v>
      </c>
      <c r="G113" s="73" t="s">
        <v>26</v>
      </c>
      <c r="H113" s="73">
        <v>190.0</v>
      </c>
      <c r="I113" s="53" t="str">
        <f>HYPERLINK("https://twitter.com/MinisteredelaS1/status/1250367507774521345","Source")</f>
        <v>Source</v>
      </c>
      <c r="J113" s="98"/>
      <c r="K113" s="49" t="s">
        <v>19</v>
      </c>
      <c r="L113" s="58">
        <v>314.0</v>
      </c>
      <c r="M113" s="58">
        <v>2.0</v>
      </c>
      <c r="N113" s="31"/>
      <c r="O113" s="31"/>
      <c r="P113" s="31"/>
    </row>
    <row r="114" ht="30.0" customHeight="1">
      <c r="A114" s="37" t="s">
        <v>48</v>
      </c>
      <c r="B114" s="58">
        <v>306.0</v>
      </c>
      <c r="C114" s="41">
        <f t="shared" si="1"/>
        <v>0</v>
      </c>
      <c r="D114" s="58">
        <v>3.0</v>
      </c>
      <c r="E114" s="45">
        <f t="shared" si="2"/>
        <v>0</v>
      </c>
      <c r="F114" s="42">
        <f t="shared" si="3"/>
        <v>0.009803921569</v>
      </c>
      <c r="G114" s="73" t="s">
        <v>26</v>
      </c>
      <c r="H114" s="73">
        <v>69.0</v>
      </c>
      <c r="I114" s="53" t="str">
        <f>HYPERLINK("https://stopcov.ge/en","Source")</f>
        <v>Source</v>
      </c>
      <c r="J114" s="66"/>
      <c r="K114" s="49" t="s">
        <v>19</v>
      </c>
      <c r="L114" s="58">
        <v>306.0</v>
      </c>
      <c r="M114" s="58">
        <v>3.0</v>
      </c>
      <c r="N114" s="31"/>
      <c r="O114" s="31"/>
      <c r="P114" s="31"/>
    </row>
    <row r="115" ht="30.0" customHeight="1">
      <c r="A115" s="37" t="s">
        <v>328</v>
      </c>
      <c r="B115" s="58">
        <v>288.0</v>
      </c>
      <c r="C115" s="41">
        <f t="shared" si="1"/>
        <v>0</v>
      </c>
      <c r="D115" s="58">
        <v>2.0</v>
      </c>
      <c r="E115" s="45">
        <f t="shared" si="2"/>
        <v>0</v>
      </c>
      <c r="F115" s="59">
        <f t="shared" si="3"/>
        <v>0.006944444444</v>
      </c>
      <c r="G115" s="73">
        <v>0.0</v>
      </c>
      <c r="H115" s="73">
        <v>62.0</v>
      </c>
      <c r="I115" s="53" t="str">
        <f>HYPERLINK("https://corona.ps/","Source")</f>
        <v>Source</v>
      </c>
      <c r="J115" s="29"/>
      <c r="K115" s="49" t="s">
        <v>198</v>
      </c>
      <c r="L115" s="58">
        <v>288.0</v>
      </c>
      <c r="M115" s="58">
        <v>2.0</v>
      </c>
      <c r="N115" s="31"/>
      <c r="O115" s="31"/>
      <c r="P115" s="31"/>
    </row>
    <row r="116" ht="30.0" customHeight="1">
      <c r="A116" s="37" t="s">
        <v>329</v>
      </c>
      <c r="B116" s="58">
        <v>288.0</v>
      </c>
      <c r="C116" s="41">
        <f t="shared" si="1"/>
        <v>0</v>
      </c>
      <c r="D116" s="58">
        <v>2.0</v>
      </c>
      <c r="E116" s="45">
        <f t="shared" si="2"/>
        <v>0</v>
      </c>
      <c r="F116" s="59">
        <f t="shared" si="3"/>
        <v>0.006944444444</v>
      </c>
      <c r="G116" s="73" t="s">
        <v>26</v>
      </c>
      <c r="H116" s="73" t="s">
        <v>26</v>
      </c>
      <c r="I116" s="53" t="str">
        <f>HYPERLINK("https://twitter.com/ijzcg/status/1250437960383606791","Source")</f>
        <v>Source</v>
      </c>
      <c r="J116" s="66"/>
      <c r="K116" s="49" t="s">
        <v>74</v>
      </c>
      <c r="L116" s="58">
        <v>288.0</v>
      </c>
      <c r="M116" s="58">
        <v>2.0</v>
      </c>
      <c r="N116" s="31"/>
      <c r="O116" s="31"/>
      <c r="P116" s="31"/>
    </row>
    <row r="117" ht="30.0" customHeight="1">
      <c r="A117" s="37" t="s">
        <v>330</v>
      </c>
      <c r="B117" s="58">
        <v>267.0</v>
      </c>
      <c r="C117" s="41">
        <f t="shared" si="1"/>
        <v>0</v>
      </c>
      <c r="D117" s="58">
        <v>0.0</v>
      </c>
      <c r="E117" s="45">
        <f t="shared" si="2"/>
        <v>0</v>
      </c>
      <c r="F117" s="59">
        <f t="shared" si="3"/>
        <v>0</v>
      </c>
      <c r="G117" s="73" t="s">
        <v>26</v>
      </c>
      <c r="H117" s="73">
        <v>146.0</v>
      </c>
      <c r="I117" s="53" t="str">
        <f>HYPERLINK("https://ncov.moh.gov.vn/","Source")</f>
        <v>Source</v>
      </c>
      <c r="J117" s="66"/>
      <c r="K117" s="30"/>
      <c r="L117" s="58">
        <v>267.0</v>
      </c>
      <c r="M117" s="58">
        <v>0.0</v>
      </c>
      <c r="N117" s="31"/>
      <c r="O117" s="31"/>
      <c r="P117" s="31"/>
    </row>
    <row r="118" ht="30.0" customHeight="1">
      <c r="A118" s="37" t="s">
        <v>331</v>
      </c>
      <c r="B118" s="58">
        <v>258.0</v>
      </c>
      <c r="C118" s="41">
        <f t="shared" si="1"/>
        <v>0</v>
      </c>
      <c r="D118" s="58">
        <v>4.0</v>
      </c>
      <c r="E118" s="45">
        <f t="shared" si="2"/>
        <v>0</v>
      </c>
      <c r="F118" s="59">
        <f t="shared" si="3"/>
        <v>0.01550387597</v>
      </c>
      <c r="G118" s="73" t="s">
        <v>26</v>
      </c>
      <c r="H118" s="73">
        <v>151.0</v>
      </c>
      <c r="I118" s="53" t="str">
        <f>HYPERLINK("https://covid19.gov.im/general-information/latest-updates/","Source")</f>
        <v>Source</v>
      </c>
      <c r="J118" s="66"/>
      <c r="K118" s="49" t="s">
        <v>40</v>
      </c>
      <c r="L118" s="58">
        <v>258.0</v>
      </c>
      <c r="M118" s="58">
        <v>4.0</v>
      </c>
      <c r="N118" s="31"/>
      <c r="O118" s="31"/>
      <c r="P118" s="31"/>
    </row>
    <row r="119" ht="30.0" customHeight="1">
      <c r="A119" s="37" t="s">
        <v>332</v>
      </c>
      <c r="B119" s="58">
        <v>254.0</v>
      </c>
      <c r="C119" s="41">
        <f t="shared" si="1"/>
        <v>0</v>
      </c>
      <c r="D119" s="58">
        <v>21.0</v>
      </c>
      <c r="E119" s="45">
        <f t="shared" si="2"/>
        <v>0</v>
      </c>
      <c r="F119" s="59">
        <f t="shared" si="3"/>
        <v>0.08267716535</v>
      </c>
      <c r="G119" s="73" t="s">
        <v>26</v>
      </c>
      <c r="H119" s="73">
        <v>21.0</v>
      </c>
      <c r="I119" s="53" t="str">
        <f>HYPERLINK("https://us3.campaign-archive.com/?u=b34a30571d429859fb249533d&amp;id=00ae9c6ad7","Source")</f>
        <v>Source</v>
      </c>
      <c r="J119" s="29"/>
      <c r="K119" s="49" t="s">
        <v>333</v>
      </c>
      <c r="L119" s="58">
        <v>254.0</v>
      </c>
      <c r="M119" s="58">
        <v>21.0</v>
      </c>
      <c r="N119" s="31"/>
      <c r="O119" s="31"/>
      <c r="P119" s="31"/>
    </row>
    <row r="120" ht="30.0" customHeight="1">
      <c r="A120" s="37" t="s">
        <v>334</v>
      </c>
      <c r="B120" s="58">
        <v>237.0</v>
      </c>
      <c r="C120" s="41">
        <f t="shared" si="1"/>
        <v>0</v>
      </c>
      <c r="D120" s="58">
        <v>7.0</v>
      </c>
      <c r="E120" s="45">
        <f t="shared" si="2"/>
        <v>0</v>
      </c>
      <c r="F120" s="59">
        <f t="shared" si="3"/>
        <v>0.02953586498</v>
      </c>
      <c r="G120" s="73" t="s">
        <v>26</v>
      </c>
      <c r="H120" s="73">
        <v>63.0</v>
      </c>
      <c r="I120" s="53" t="str">
        <f>HYPERLINK("http://epid.gov.lk/web/index.php?lang=en","Source")</f>
        <v>Source</v>
      </c>
      <c r="J120" s="66"/>
      <c r="K120" s="30"/>
      <c r="L120" s="58">
        <v>237.0</v>
      </c>
      <c r="M120" s="58">
        <v>7.0</v>
      </c>
      <c r="N120" s="31"/>
      <c r="O120" s="31"/>
      <c r="P120" s="31"/>
    </row>
    <row r="121" ht="30.0" customHeight="1">
      <c r="A121" s="37" t="s">
        <v>335</v>
      </c>
      <c r="B121" s="58">
        <v>223.0</v>
      </c>
      <c r="C121" s="41">
        <f t="shared" si="1"/>
        <v>0</v>
      </c>
      <c r="D121" s="58">
        <v>7.0</v>
      </c>
      <c r="E121" s="45">
        <f t="shared" si="2"/>
        <v>0</v>
      </c>
      <c r="F121" s="59">
        <f t="shared" si="3"/>
        <v>0.03139013453</v>
      </c>
      <c r="G121" s="73">
        <v>0.0</v>
      </c>
      <c r="H121" s="73">
        <v>53.0</v>
      </c>
      <c r="I121" s="53" t="str">
        <f>HYPERLINK("https://www.itv.com/news/channel/2020-03-12/live-updates-number-of-coronavirus-cases-in-the-channel-islands/","Source")</f>
        <v>Source</v>
      </c>
      <c r="J121" s="29"/>
      <c r="K121" s="49" t="s">
        <v>19</v>
      </c>
      <c r="L121" s="58">
        <v>223.0</v>
      </c>
      <c r="M121" s="58">
        <v>7.0</v>
      </c>
      <c r="N121" s="31"/>
      <c r="O121" s="31"/>
      <c r="P121" s="31"/>
    </row>
    <row r="122" ht="30.0" customHeight="1">
      <c r="A122" s="37" t="s">
        <v>336</v>
      </c>
      <c r="B122" s="58">
        <v>217.0</v>
      </c>
      <c r="C122" s="41">
        <f t="shared" si="1"/>
        <v>0</v>
      </c>
      <c r="D122" s="58">
        <v>6.0</v>
      </c>
      <c r="E122" s="45">
        <f t="shared" si="2"/>
        <v>0</v>
      </c>
      <c r="F122" s="59">
        <f t="shared" si="3"/>
        <v>0.02764976959</v>
      </c>
      <c r="G122" s="73" t="s">
        <v>26</v>
      </c>
      <c r="H122" s="73" t="s">
        <v>26</v>
      </c>
      <c r="I122" s="53" t="str">
        <f>HYPERLINK("https://www.gov.je/Health/Coronavirus/Pages/CoronavirusCases.aspx","Source")</f>
        <v>Source</v>
      </c>
      <c r="J122" s="29"/>
      <c r="K122" s="30"/>
      <c r="L122" s="58">
        <v>217.0</v>
      </c>
      <c r="M122" s="58">
        <v>6.0</v>
      </c>
      <c r="N122" s="31"/>
      <c r="O122" s="31"/>
      <c r="P122" s="31"/>
    </row>
    <row r="123" ht="30.0" customHeight="1">
      <c r="A123" s="37" t="s">
        <v>337</v>
      </c>
      <c r="B123" s="58">
        <v>216.0</v>
      </c>
      <c r="C123" s="41">
        <f t="shared" si="1"/>
        <v>0</v>
      </c>
      <c r="D123" s="58">
        <v>9.0</v>
      </c>
      <c r="E123" s="45">
        <f t="shared" si="2"/>
        <v>0</v>
      </c>
      <c r="F123" s="42">
        <f t="shared" si="3"/>
        <v>0.04166666667</v>
      </c>
      <c r="G123" s="73">
        <v>0.0</v>
      </c>
      <c r="H123" s="73">
        <v>41.0</v>
      </c>
      <c r="I123" s="53" t="str">
        <f>HYPERLINK("https://www.nation.co.ke/news/8-more-test-positive-for-coronavirus/1056-5523768-haxkakz/index.html","Source")</f>
        <v>Source</v>
      </c>
      <c r="J123" s="125"/>
      <c r="K123" s="30"/>
      <c r="L123" s="58">
        <v>216.0</v>
      </c>
      <c r="M123" s="58">
        <v>9.0</v>
      </c>
      <c r="N123" s="31"/>
      <c r="O123" s="31"/>
      <c r="P123" s="31"/>
    </row>
    <row r="124" ht="30.0" customHeight="1">
      <c r="A124" s="37" t="s">
        <v>338</v>
      </c>
      <c r="B124" s="58">
        <v>193.0</v>
      </c>
      <c r="C124" s="41">
        <f t="shared" si="1"/>
        <v>0</v>
      </c>
      <c r="D124" s="58">
        <v>9.0</v>
      </c>
      <c r="E124" s="45">
        <f t="shared" si="2"/>
        <v>0</v>
      </c>
      <c r="F124" s="42">
        <f t="shared" si="3"/>
        <v>0.04663212435</v>
      </c>
      <c r="G124" s="73">
        <v>5.0</v>
      </c>
      <c r="H124" s="73">
        <v>111.0</v>
      </c>
      <c r="I124" s="53" t="str">
        <f>HYPERLINK("https://www.ntn24.com/america-latina/venezuela/america-latina/venezuela/empresas-polar-reporto-5-casos-de-covid-19-en-empresa-relacionada-121144","Source")</f>
        <v>Source</v>
      </c>
      <c r="J124" s="29"/>
      <c r="K124" s="49" t="s">
        <v>19</v>
      </c>
      <c r="L124" s="58">
        <v>193.0</v>
      </c>
      <c r="M124" s="58">
        <v>9.0</v>
      </c>
      <c r="N124" s="31"/>
      <c r="O124" s="31"/>
      <c r="P124" s="31"/>
    </row>
    <row r="125" ht="27.75" customHeight="1">
      <c r="A125" s="37" t="s">
        <v>339</v>
      </c>
      <c r="B125" s="58">
        <v>167.0</v>
      </c>
      <c r="C125" s="41">
        <f t="shared" si="1"/>
        <v>0</v>
      </c>
      <c r="D125" s="58">
        <v>5.0</v>
      </c>
      <c r="E125" s="45">
        <f t="shared" si="2"/>
        <v>0</v>
      </c>
      <c r="F125" s="42">
        <f t="shared" si="3"/>
        <v>0.02994011976</v>
      </c>
      <c r="G125" s="73" t="s">
        <v>26</v>
      </c>
      <c r="H125" s="73">
        <v>19.0</v>
      </c>
      <c r="I125" s="53" t="str">
        <f>HYPERLINK("https://www.mspas.gob.gt/index.php/noticias/covid-19/casos","Source")</f>
        <v>Source</v>
      </c>
      <c r="J125" s="29"/>
      <c r="K125" s="30"/>
      <c r="L125" s="58">
        <v>167.0</v>
      </c>
      <c r="M125" s="58">
        <v>5.0</v>
      </c>
      <c r="N125" s="31"/>
      <c r="O125" s="31"/>
      <c r="P125" s="31"/>
    </row>
    <row r="126" ht="27.75" customHeight="1">
      <c r="A126" s="37" t="s">
        <v>340</v>
      </c>
      <c r="B126" s="58">
        <v>161.0</v>
      </c>
      <c r="C126" s="41">
        <f t="shared" si="1"/>
        <v>0</v>
      </c>
      <c r="D126" s="58">
        <v>8.0</v>
      </c>
      <c r="E126" s="45">
        <f t="shared" si="2"/>
        <v>0</v>
      </c>
      <c r="F126" s="42">
        <f t="shared" si="3"/>
        <v>0.04968944099</v>
      </c>
      <c r="G126" s="73">
        <v>1.0</v>
      </c>
      <c r="H126" s="73">
        <v>22.0</v>
      </c>
      <c r="I126" s="53" t="str">
        <f>HYPERLINK("https://twitter.com/msaludpy/status/1250228433621258240","Source")</f>
        <v>Source</v>
      </c>
      <c r="J126" s="29"/>
      <c r="K126" s="30"/>
      <c r="L126" s="58">
        <v>161.0</v>
      </c>
      <c r="M126" s="58">
        <v>8.0</v>
      </c>
      <c r="N126" s="31"/>
      <c r="O126" s="31"/>
      <c r="P126" s="31"/>
    </row>
    <row r="127" ht="30.0" customHeight="1">
      <c r="A127" s="37" t="s">
        <v>345</v>
      </c>
      <c r="B127" s="58">
        <v>159.0</v>
      </c>
      <c r="C127" s="41">
        <f t="shared" si="1"/>
        <v>0</v>
      </c>
      <c r="D127" s="58">
        <v>6.0</v>
      </c>
      <c r="E127" s="45">
        <f t="shared" si="2"/>
        <v>0</v>
      </c>
      <c r="F127" s="42">
        <f t="shared" si="3"/>
        <v>0.03773584906</v>
      </c>
      <c r="G127" s="73" t="s">
        <v>26</v>
      </c>
      <c r="H127" s="73">
        <v>30.0</v>
      </c>
      <c r="I127" s="53" t="str">
        <f>HYPERLINK("https://covid19.gob.sv/","Source")</f>
        <v>Source</v>
      </c>
      <c r="J127" s="66"/>
      <c r="K127" s="49" t="s">
        <v>19</v>
      </c>
      <c r="L127" s="58">
        <v>159.0</v>
      </c>
      <c r="M127" s="58">
        <v>6.0</v>
      </c>
      <c r="N127" s="31"/>
      <c r="O127" s="31"/>
      <c r="P127" s="31"/>
    </row>
    <row r="128" ht="30.0" customHeight="1">
      <c r="A128" s="37" t="s">
        <v>352</v>
      </c>
      <c r="B128" s="58">
        <v>144.0</v>
      </c>
      <c r="C128" s="41">
        <f t="shared" si="1"/>
        <v>0</v>
      </c>
      <c r="D128" s="58">
        <v>13.0</v>
      </c>
      <c r="E128" s="45">
        <f t="shared" si="2"/>
        <v>0</v>
      </c>
      <c r="F128" s="59">
        <f t="shared" si="3"/>
        <v>0.09027777778</v>
      </c>
      <c r="G128" s="73" t="s">
        <v>26</v>
      </c>
      <c r="H128" s="73">
        <v>34.0</v>
      </c>
      <c r="I128" s="53" t="str">
        <f>HYPERLINK("https://www.maliweb.net/sante/covid-19-21-nouveaux-cas-confirmes-au-mali-ce-mardi-2868170.html","Source")</f>
        <v>Source</v>
      </c>
      <c r="J128" s="29"/>
      <c r="K128" s="30"/>
      <c r="L128" s="58">
        <v>144.0</v>
      </c>
      <c r="M128" s="58">
        <v>13.0</v>
      </c>
      <c r="N128" s="31"/>
      <c r="O128" s="31"/>
      <c r="P128" s="31"/>
    </row>
    <row r="129" ht="30.0" customHeight="1">
      <c r="A129" s="37" t="s">
        <v>353</v>
      </c>
      <c r="B129" s="58">
        <v>136.0</v>
      </c>
      <c r="C129" s="41">
        <f t="shared" si="1"/>
        <v>0</v>
      </c>
      <c r="D129" s="58">
        <v>1.0</v>
      </c>
      <c r="E129" s="45">
        <f t="shared" si="2"/>
        <v>0</v>
      </c>
      <c r="F129" s="59">
        <f t="shared" si="3"/>
        <v>0.007352941176</v>
      </c>
      <c r="G129" s="73" t="s">
        <v>26</v>
      </c>
      <c r="H129" s="73">
        <v>108.0</v>
      </c>
      <c r="I129" s="53" t="str">
        <f>HYPERLINK("https://twitter.com/borneo_bulletin/status/1250351139104546822","Source")</f>
        <v>Source</v>
      </c>
      <c r="J129" s="66"/>
      <c r="K129" s="49" t="s">
        <v>19</v>
      </c>
      <c r="L129" s="58">
        <v>136.0</v>
      </c>
      <c r="M129" s="58">
        <v>1.0</v>
      </c>
      <c r="N129" s="31"/>
      <c r="O129" s="31"/>
      <c r="P129" s="31"/>
    </row>
    <row r="130" ht="30.0" customHeight="1">
      <c r="A130" s="37" t="s">
        <v>356</v>
      </c>
      <c r="B130" s="58">
        <v>136.0</v>
      </c>
      <c r="C130" s="41">
        <f t="shared" si="1"/>
        <v>0</v>
      </c>
      <c r="D130" s="58">
        <v>0.0</v>
      </c>
      <c r="E130" s="45">
        <f t="shared" si="2"/>
        <v>0</v>
      </c>
      <c r="F130" s="42">
        <f t="shared" si="3"/>
        <v>0</v>
      </c>
      <c r="G130" s="73">
        <v>0.0</v>
      </c>
      <c r="H130" s="73">
        <v>54.0</v>
      </c>
      <c r="I130" s="53" t="str">
        <f>HYPERLINK("https://twitter.com/RwandaHealth/status/1250478553235443715","Source")</f>
        <v>Source</v>
      </c>
      <c r="J130" s="66"/>
      <c r="K130" s="30"/>
      <c r="L130" s="58">
        <v>136.0</v>
      </c>
      <c r="M130" s="58">
        <v>0.0</v>
      </c>
      <c r="N130" s="31"/>
      <c r="O130" s="31"/>
    </row>
    <row r="131" ht="27.75" customHeight="1">
      <c r="A131" s="37" t="s">
        <v>358</v>
      </c>
      <c r="B131" s="58">
        <v>131.0</v>
      </c>
      <c r="C131" s="41">
        <f t="shared" si="1"/>
        <v>0</v>
      </c>
      <c r="D131" s="58">
        <v>0.0</v>
      </c>
      <c r="E131" s="45">
        <f t="shared" si="2"/>
        <v>0</v>
      </c>
      <c r="F131" s="42">
        <f t="shared" si="3"/>
        <v>0</v>
      </c>
      <c r="G131" s="73">
        <v>1.0</v>
      </c>
      <c r="H131" s="73">
        <v>105.0</v>
      </c>
      <c r="I131" s="53" t="str">
        <f>HYPERLINK("https://www.gibraltar.gov.gi/covid19","Source")</f>
        <v>Source</v>
      </c>
      <c r="J131" s="66"/>
      <c r="K131" s="30"/>
      <c r="L131" s="58">
        <v>131.0</v>
      </c>
      <c r="M131" s="58">
        <v>0.0</v>
      </c>
      <c r="N131" s="31"/>
      <c r="O131" s="31"/>
      <c r="P131" s="31"/>
    </row>
    <row r="132" ht="30.0" customHeight="1">
      <c r="A132" s="37" t="s">
        <v>359</v>
      </c>
      <c r="B132" s="58">
        <v>125.0</v>
      </c>
      <c r="C132" s="41">
        <f t="shared" si="1"/>
        <v>0</v>
      </c>
      <c r="D132" s="58">
        <v>5.0</v>
      </c>
      <c r="E132" s="45">
        <f t="shared" si="2"/>
        <v>0</v>
      </c>
      <c r="F132" s="59">
        <f t="shared" si="3"/>
        <v>0.04</v>
      </c>
      <c r="G132" s="73" t="s">
        <v>26</v>
      </c>
      <c r="H132" s="73">
        <v>21.0</v>
      </c>
      <c r="I132" s="53" t="str">
        <f>HYPERLINK("https://twitter.com/christufton/status/1250518315056988163","Source")</f>
        <v>Source</v>
      </c>
      <c r="J132" s="66"/>
      <c r="K132" s="30"/>
      <c r="L132" s="58">
        <v>125.0</v>
      </c>
      <c r="M132" s="58">
        <v>5.0</v>
      </c>
      <c r="N132" s="31"/>
      <c r="O132" s="31"/>
      <c r="P132" s="31"/>
    </row>
    <row r="133" ht="30.0" customHeight="1">
      <c r="A133" s="37" t="s">
        <v>361</v>
      </c>
      <c r="B133" s="58">
        <v>122.0</v>
      </c>
      <c r="C133" s="41">
        <f t="shared" si="1"/>
        <v>0</v>
      </c>
      <c r="D133" s="58">
        <v>0.0</v>
      </c>
      <c r="E133" s="45">
        <f t="shared" si="2"/>
        <v>0</v>
      </c>
      <c r="F133" s="59">
        <f t="shared" si="3"/>
        <v>0</v>
      </c>
      <c r="G133" s="73" t="s">
        <v>26</v>
      </c>
      <c r="H133" s="73">
        <v>91.0</v>
      </c>
      <c r="I133" s="53" t="str">
        <f>HYPERLINK("https://covid19-map.cdcmoh.gov.kh/","Source")</f>
        <v>Source</v>
      </c>
      <c r="J133" s="29"/>
      <c r="K133" s="30"/>
      <c r="L133" s="58">
        <v>122.0</v>
      </c>
      <c r="M133" s="58">
        <v>0.0</v>
      </c>
      <c r="N133" s="31"/>
      <c r="O133" s="31"/>
      <c r="P133" s="31"/>
    </row>
    <row r="134" ht="30.0" customHeight="1">
      <c r="A134" s="37" t="s">
        <v>362</v>
      </c>
      <c r="B134" s="58">
        <v>114.0</v>
      </c>
      <c r="C134" s="41">
        <f t="shared" si="1"/>
        <v>0</v>
      </c>
      <c r="D134" s="58">
        <v>8.0</v>
      </c>
      <c r="E134" s="45">
        <f t="shared" si="2"/>
        <v>0</v>
      </c>
      <c r="F134" s="42">
        <f t="shared" si="3"/>
        <v>0.0701754386</v>
      </c>
      <c r="G134" s="73" t="s">
        <v>26</v>
      </c>
      <c r="H134" s="73">
        <v>20.0</v>
      </c>
      <c r="I134" s="53" t="str">
        <f>HYPERLINK("https://twitter.com/MOH_TT/status/1250517439579856904","Source")</f>
        <v>Source</v>
      </c>
      <c r="J134" s="66"/>
      <c r="K134" s="49" t="s">
        <v>19</v>
      </c>
      <c r="L134" s="58">
        <v>114.0</v>
      </c>
      <c r="M134" s="58">
        <v>8.0</v>
      </c>
      <c r="N134" s="31"/>
      <c r="O134" s="31"/>
      <c r="P134" s="31"/>
    </row>
    <row r="135" ht="30.0" customHeight="1">
      <c r="A135" s="37" t="s">
        <v>363</v>
      </c>
      <c r="B135" s="58">
        <v>106.0</v>
      </c>
      <c r="C135" s="41">
        <f t="shared" si="1"/>
        <v>0</v>
      </c>
      <c r="D135" s="58">
        <v>0.0</v>
      </c>
      <c r="E135" s="45">
        <f t="shared" si="2"/>
        <v>0</v>
      </c>
      <c r="F135" s="59">
        <f t="shared" si="3"/>
        <v>0</v>
      </c>
      <c r="G135" s="73">
        <v>1.0</v>
      </c>
      <c r="H135" s="73">
        <v>21.0</v>
      </c>
      <c r="I135" s="53" t="str">
        <f>HYPERLINK("https://www.madagascar-tribune.com/Une-vingtaine-de-nouveaux-cas-de-guerison-en-une-semaine.html","Source")</f>
        <v>Source</v>
      </c>
      <c r="J135" s="29"/>
      <c r="K135" s="30"/>
      <c r="L135" s="58">
        <v>106.0</v>
      </c>
      <c r="M135" s="58">
        <v>0.0</v>
      </c>
      <c r="N135" s="31"/>
      <c r="O135" s="31"/>
      <c r="P135" s="31"/>
    </row>
    <row r="136" ht="27.75" customHeight="1">
      <c r="A136" s="37" t="s">
        <v>364</v>
      </c>
      <c r="B136" s="58">
        <v>100.0</v>
      </c>
      <c r="C136" s="41">
        <f t="shared" si="1"/>
        <v>0</v>
      </c>
      <c r="D136" s="58">
        <v>4.0</v>
      </c>
      <c r="E136" s="45">
        <f t="shared" si="2"/>
        <v>0</v>
      </c>
      <c r="F136" s="59">
        <f t="shared" si="3"/>
        <v>0.04</v>
      </c>
      <c r="G136" s="73" t="s">
        <v>26</v>
      </c>
      <c r="H136" s="73">
        <v>8.0</v>
      </c>
      <c r="I136" s="53" t="str">
        <f>HYPERLINK("https://in-cyprus.philenews.com/one-dies-of-covid-19-in-turkish-held-north/","Source")</f>
        <v>Source</v>
      </c>
      <c r="J136" s="29"/>
      <c r="K136" s="30"/>
      <c r="L136" s="58">
        <v>100.0</v>
      </c>
      <c r="M136" s="58">
        <v>4.0</v>
      </c>
      <c r="N136" s="31"/>
      <c r="O136" s="31"/>
      <c r="P136" s="31"/>
    </row>
    <row r="137" ht="30.0" customHeight="1">
      <c r="A137" s="37" t="s">
        <v>365</v>
      </c>
      <c r="B137" s="58">
        <v>93.0</v>
      </c>
      <c r="C137" s="41">
        <f t="shared" si="1"/>
        <v>0</v>
      </c>
      <c r="D137" s="58">
        <v>1.0</v>
      </c>
      <c r="E137" s="45">
        <f t="shared" si="2"/>
        <v>0</v>
      </c>
      <c r="F137" s="42">
        <f t="shared" si="3"/>
        <v>0.01075268817</v>
      </c>
      <c r="G137" s="73">
        <v>3.0</v>
      </c>
      <c r="H137" s="73">
        <v>6.0</v>
      </c>
      <c r="I137" s="53" t="str">
        <f>HYPERLINK("https://en.gouv.mc/Policy-Practice/Coronavirus-Covid-2019/Actualites/CORONAVIRUS-pas-de-nouveau-cas-positif-revele-a-Monaco-ce-mardi","Source")</f>
        <v>Source</v>
      </c>
      <c r="J137" s="29"/>
      <c r="K137" s="30"/>
      <c r="L137" s="58">
        <v>93.0</v>
      </c>
      <c r="M137" s="58">
        <v>1.0</v>
      </c>
      <c r="N137" s="31"/>
      <c r="O137" s="31"/>
      <c r="P137" s="31"/>
    </row>
    <row r="138" ht="30.0" customHeight="1">
      <c r="A138" s="37" t="s">
        <v>366</v>
      </c>
      <c r="B138" s="58">
        <v>93.0</v>
      </c>
      <c r="C138" s="41">
        <f t="shared" si="1"/>
        <v>0</v>
      </c>
      <c r="D138" s="58">
        <v>1.0</v>
      </c>
      <c r="E138" s="45">
        <f t="shared" si="2"/>
        <v>0</v>
      </c>
      <c r="F138" s="42">
        <f t="shared" si="3"/>
        <v>0.01075268817</v>
      </c>
      <c r="G138" s="73" t="s">
        <v>26</v>
      </c>
      <c r="H138" s="73">
        <v>39.0</v>
      </c>
      <c r="I138" s="53" t="str">
        <f>HYPERLINK("https://www.arubacovid19.org/","Source")</f>
        <v>Source</v>
      </c>
      <c r="J138" s="66"/>
      <c r="K138" s="49" t="s">
        <v>19</v>
      </c>
      <c r="L138" s="58">
        <v>93.0</v>
      </c>
      <c r="M138" s="58">
        <v>1.0</v>
      </c>
      <c r="N138" s="31"/>
      <c r="O138" s="31"/>
      <c r="P138" s="31"/>
    </row>
    <row r="139" ht="30.0" customHeight="1">
      <c r="A139" s="37" t="s">
        <v>367</v>
      </c>
      <c r="B139" s="58">
        <v>85.0</v>
      </c>
      <c r="C139" s="41">
        <f t="shared" si="1"/>
        <v>0</v>
      </c>
      <c r="D139" s="58">
        <v>3.0</v>
      </c>
      <c r="E139" s="45">
        <f t="shared" si="2"/>
        <v>0</v>
      </c>
      <c r="F139" s="59">
        <f t="shared" si="3"/>
        <v>0.03529411765</v>
      </c>
      <c r="G139" s="73" t="s">
        <v>26</v>
      </c>
      <c r="H139" s="73">
        <v>15.0</v>
      </c>
      <c r="I139" s="53" t="str">
        <f>HYPERLINK("https://twitter.com/lia_tadesse/status/1250342681504387072","Source")</f>
        <v>Source</v>
      </c>
      <c r="J139" s="29"/>
      <c r="K139" s="49" t="s">
        <v>19</v>
      </c>
      <c r="L139" s="58">
        <v>85.0</v>
      </c>
      <c r="M139" s="58">
        <v>3.0</v>
      </c>
      <c r="N139" s="31"/>
      <c r="O139" s="31"/>
      <c r="P139" s="31"/>
    </row>
    <row r="140" ht="30.0" customHeight="1">
      <c r="A140" s="37" t="s">
        <v>368</v>
      </c>
      <c r="B140" s="58">
        <v>80.0</v>
      </c>
      <c r="C140" s="41">
        <f t="shared" si="1"/>
        <v>0</v>
      </c>
      <c r="D140" s="58">
        <v>1.0</v>
      </c>
      <c r="E140" s="45">
        <f t="shared" si="2"/>
        <v>0</v>
      </c>
      <c r="F140" s="59">
        <f t="shared" si="3"/>
        <v>0.0125</v>
      </c>
      <c r="G140" s="73" t="s">
        <v>26</v>
      </c>
      <c r="H140" s="73">
        <v>5.0</v>
      </c>
      <c r="I140" s="53" t="str">
        <f>HYPERLINK("https://www.facebook.com/Covid19GOUVGA/photos/a.111308650479592/129265388683918/?type=3&amp;theater","Source")</f>
        <v>Source</v>
      </c>
      <c r="J140" s="29"/>
      <c r="K140" s="30"/>
      <c r="L140" s="58">
        <v>80.0</v>
      </c>
      <c r="M140" s="58">
        <v>1.0</v>
      </c>
      <c r="N140" s="31"/>
      <c r="O140" s="31"/>
      <c r="P140" s="31"/>
    </row>
    <row r="141" ht="27.75" customHeight="1">
      <c r="A141" s="37" t="s">
        <v>369</v>
      </c>
      <c r="B141" s="58">
        <v>80.0</v>
      </c>
      <c r="C141" s="41">
        <f t="shared" si="1"/>
        <v>0</v>
      </c>
      <c r="D141" s="58">
        <v>1.0</v>
      </c>
      <c r="E141" s="45">
        <f t="shared" si="2"/>
        <v>0</v>
      </c>
      <c r="F141" s="42">
        <f t="shared" si="3"/>
        <v>0.0125</v>
      </c>
      <c r="G141" s="73" t="s">
        <v>26</v>
      </c>
      <c r="H141" s="73">
        <v>55.0</v>
      </c>
      <c r="I141" s="53" t="str">
        <f>HYPERLINK("https://www.regierung.li/de/mitteilungen/223391/?typ=news","Source")</f>
        <v>Source</v>
      </c>
      <c r="J141" s="29"/>
      <c r="K141" s="30"/>
      <c r="L141" s="58">
        <v>80.0</v>
      </c>
      <c r="M141" s="58">
        <v>1.0</v>
      </c>
      <c r="N141" s="31"/>
      <c r="O141" s="31"/>
      <c r="P141" s="31"/>
    </row>
    <row r="142" ht="27.75" customHeight="1">
      <c r="A142" s="37" t="s">
        <v>370</v>
      </c>
      <c r="B142" s="58">
        <v>77.0</v>
      </c>
      <c r="C142" s="41">
        <f t="shared" si="1"/>
        <v>0</v>
      </c>
      <c r="D142" s="58">
        <v>3.0</v>
      </c>
      <c r="E142" s="45">
        <f t="shared" si="2"/>
        <v>0</v>
      </c>
      <c r="F142" s="59">
        <f t="shared" si="3"/>
        <v>0.03896103896</v>
      </c>
      <c r="G142" s="73" t="s">
        <v>26</v>
      </c>
      <c r="H142" s="73">
        <v>32.0</v>
      </c>
      <c r="I142" s="53" t="str">
        <f>HYPERLINK("https://covid19.gouv.tg/","Source")</f>
        <v>Source</v>
      </c>
      <c r="J142" s="29"/>
      <c r="K142" s="49" t="s">
        <v>371</v>
      </c>
      <c r="L142" s="58">
        <v>77.0</v>
      </c>
      <c r="M142" s="58">
        <v>3.0</v>
      </c>
      <c r="N142" s="31"/>
      <c r="O142" s="31"/>
      <c r="P142" s="31"/>
    </row>
    <row r="143" ht="30.0" customHeight="1">
      <c r="A143" s="37" t="s">
        <v>372</v>
      </c>
      <c r="B143" s="58">
        <v>74.0</v>
      </c>
      <c r="C143" s="41">
        <f t="shared" si="1"/>
        <v>0</v>
      </c>
      <c r="D143" s="58">
        <v>5.0</v>
      </c>
      <c r="E143" s="45">
        <f t="shared" si="2"/>
        <v>0</v>
      </c>
      <c r="F143" s="59">
        <f t="shared" si="3"/>
        <v>0.06756756757</v>
      </c>
      <c r="G143" s="73" t="s">
        <v>26</v>
      </c>
      <c r="H143" s="73" t="s">
        <v>26</v>
      </c>
      <c r="I143" s="53" t="str">
        <f>HYPERLINK("https://pbs.twimg.com/media/EVjaOCsWAAA0eQz.jpg","Source")</f>
        <v>Source</v>
      </c>
      <c r="J143" s="29"/>
      <c r="K143" s="30"/>
      <c r="L143" s="58">
        <v>74.0</v>
      </c>
      <c r="M143" s="58">
        <v>5.0</v>
      </c>
      <c r="N143" s="31"/>
      <c r="O143" s="31"/>
      <c r="P143" s="31"/>
    </row>
    <row r="144" ht="30.0" customHeight="1">
      <c r="A144" s="37" t="s">
        <v>373</v>
      </c>
      <c r="B144" s="58">
        <v>73.0</v>
      </c>
      <c r="C144" s="41">
        <f t="shared" si="1"/>
        <v>0</v>
      </c>
      <c r="D144" s="58">
        <v>5.0</v>
      </c>
      <c r="E144" s="45">
        <f t="shared" si="2"/>
        <v>0</v>
      </c>
      <c r="F144" s="42">
        <f t="shared" si="3"/>
        <v>0.06849315068</v>
      </c>
      <c r="G144" s="73">
        <v>2.0</v>
      </c>
      <c r="H144" s="73">
        <v>15.0</v>
      </c>
      <c r="I144" s="53" t="str">
        <f>HYPERLINK("https://www.facebook.com/moh.barbados/photos/a.768944336470972/3080282758670440/?type=3&amp;theater","Source")</f>
        <v>Source</v>
      </c>
      <c r="J144" s="29"/>
      <c r="K144" s="30"/>
      <c r="L144" s="58">
        <v>73.0</v>
      </c>
      <c r="M144" s="58">
        <v>5.0</v>
      </c>
      <c r="N144" s="31"/>
      <c r="O144" s="31"/>
      <c r="P144" s="31"/>
    </row>
    <row r="145" ht="30.0" customHeight="1">
      <c r="A145" s="37" t="s">
        <v>374</v>
      </c>
      <c r="B145" s="58">
        <v>63.0</v>
      </c>
      <c r="C145" s="41">
        <f t="shared" si="1"/>
        <v>0</v>
      </c>
      <c r="D145" s="58">
        <v>4.0</v>
      </c>
      <c r="E145" s="45">
        <f t="shared" si="2"/>
        <v>0</v>
      </c>
      <c r="F145" s="42">
        <f t="shared" si="3"/>
        <v>0.06349206349</v>
      </c>
      <c r="G145" s="73" t="s">
        <v>26</v>
      </c>
      <c r="H145" s="73">
        <v>2.0</v>
      </c>
      <c r="I145" s="53" t="str">
        <f>HYPERLINK("https://www.facebook.com/MinistryOfHealthAndSportsMyanmar/?__xts__[0]=68.ARBi1pw3wX9uB0Tp-9VgVdaePlpSTt2JSPylVecGw41BHqUYjB3buVEiRICpfBzfeIKdqV3VBR1UEcnEJODxFvmYfkpCFZTzCfS-LLWPDj_wbEk2pAyOPlQaEV7i5h3y2hmfnUTh0jPLEWsbz8dyrMwjGu7shijYfSpQQQSxRpr-wlGYsphNHh"&amp;"ZtSircmiGBM8pj0aS7c20sr7nYzvzXe7UFVTueD2GFpeIh5WxDA0D4CaXnq-F7vyhAjS2B3x0fKoQF0gaFLNfqfukbgcvwh77hafg_ozy9UMfqLJYJs5eQEn-gipuGTbIe6lBxeE4_I8L9ILJJn06RSDPqwh2WqIDNDA","Source")</f>
        <v>Source</v>
      </c>
      <c r="J145" s="29"/>
      <c r="K145" s="30"/>
      <c r="L145" s="58">
        <v>63.0</v>
      </c>
      <c r="M145" s="58">
        <v>4.0</v>
      </c>
      <c r="N145" s="31"/>
      <c r="O145" s="31"/>
      <c r="P145" s="31"/>
    </row>
    <row r="146" ht="30.0" customHeight="1">
      <c r="A146" s="37" t="s">
        <v>375</v>
      </c>
      <c r="B146" s="58">
        <v>60.0</v>
      </c>
      <c r="C146" s="41">
        <f t="shared" si="1"/>
        <v>0</v>
      </c>
      <c r="D146" s="58">
        <v>1.0</v>
      </c>
      <c r="E146" s="45">
        <f t="shared" si="2"/>
        <v>0</v>
      </c>
      <c r="F146" s="42">
        <f t="shared" si="3"/>
        <v>0.01666666667</v>
      </c>
      <c r="G146" s="73">
        <v>2.0</v>
      </c>
      <c r="H146" s="73">
        <v>1.0</v>
      </c>
      <c r="I146" s="53" t="str">
        <f>HYPERLINK("https://twitter.com/HarunMaruf/status/1249772007790653440","Source")</f>
        <v>Source</v>
      </c>
      <c r="J146" s="29"/>
      <c r="K146" s="30"/>
      <c r="L146" s="58">
        <v>60.0</v>
      </c>
      <c r="M146" s="58">
        <v>1.0</v>
      </c>
      <c r="N146" s="31"/>
      <c r="O146" s="31"/>
      <c r="P146" s="31"/>
    </row>
    <row r="147" ht="30.0" customHeight="1">
      <c r="A147" s="37" t="s">
        <v>376</v>
      </c>
      <c r="B147" s="58">
        <v>59.0</v>
      </c>
      <c r="C147" s="41">
        <f t="shared" si="1"/>
        <v>0</v>
      </c>
      <c r="D147" s="58">
        <v>6.0</v>
      </c>
      <c r="E147" s="45">
        <f t="shared" si="2"/>
        <v>0</v>
      </c>
      <c r="F147" s="42">
        <f t="shared" si="3"/>
        <v>0.1016949153</v>
      </c>
      <c r="G147" s="73" t="s">
        <v>26</v>
      </c>
      <c r="H147" s="73">
        <v>4.0</v>
      </c>
      <c r="I147" s="53" t="str">
        <f>HYPERLINK("https://www.facebook.com/164280647325112/photos/a.347331779019997/970145436738625/?type=3&amp;theater","Source")</f>
        <v>Source</v>
      </c>
      <c r="J147" s="29"/>
      <c r="K147" s="30"/>
      <c r="L147" s="58">
        <v>59.0</v>
      </c>
      <c r="M147" s="58">
        <v>6.0</v>
      </c>
      <c r="N147" s="31"/>
      <c r="O147" s="31"/>
      <c r="P147" s="31"/>
    </row>
    <row r="148" ht="30.0" customHeight="1">
      <c r="A148" s="37" t="s">
        <v>377</v>
      </c>
      <c r="B148" s="58">
        <v>57.0</v>
      </c>
      <c r="C148" s="41">
        <f t="shared" si="1"/>
        <v>0</v>
      </c>
      <c r="D148" s="58">
        <v>5.0</v>
      </c>
      <c r="E148" s="45">
        <f t="shared" si="2"/>
        <v>0</v>
      </c>
      <c r="F148" s="42">
        <f t="shared" si="3"/>
        <v>0.08771929825</v>
      </c>
      <c r="G148" s="73" t="s">
        <v>26</v>
      </c>
      <c r="H148" s="73">
        <v>30.0</v>
      </c>
      <c r="I148" s="53" t="str">
        <f>HYPERLINK("https://www.gov.bm/coronavirus","Source")</f>
        <v>Source</v>
      </c>
      <c r="J148" s="29"/>
      <c r="K148" s="30"/>
      <c r="L148" s="58">
        <v>57.0</v>
      </c>
      <c r="M148" s="58">
        <v>5.0</v>
      </c>
      <c r="N148" s="31"/>
      <c r="O148" s="31"/>
      <c r="P148" s="31"/>
    </row>
    <row r="149" ht="30.0" customHeight="1">
      <c r="A149" s="37" t="s">
        <v>378</v>
      </c>
      <c r="B149" s="58">
        <v>55.0</v>
      </c>
      <c r="C149" s="41">
        <f t="shared" si="1"/>
        <v>0</v>
      </c>
      <c r="D149" s="58">
        <v>0.0</v>
      </c>
      <c r="E149" s="45">
        <f t="shared" si="2"/>
        <v>0</v>
      </c>
      <c r="F149" s="42">
        <f t="shared" si="3"/>
        <v>0</v>
      </c>
      <c r="G149" s="73">
        <v>1.0</v>
      </c>
      <c r="H149" s="73" t="s">
        <v>26</v>
      </c>
      <c r="I149" s="53" t="str">
        <f>HYPERLINK("https://www.presidence.pf/coronavirus-situation-pour-la-polynesie-francaise-a-16h-18/","Source")</f>
        <v>Source</v>
      </c>
      <c r="J149" s="66"/>
      <c r="K149" s="30"/>
      <c r="L149" s="58">
        <v>55.0</v>
      </c>
      <c r="M149" s="58">
        <v>0.0</v>
      </c>
      <c r="N149" s="31"/>
      <c r="O149" s="31"/>
      <c r="P149" s="31"/>
    </row>
    <row r="150" ht="30.0" customHeight="1">
      <c r="A150" s="37" t="s">
        <v>379</v>
      </c>
      <c r="B150" s="58">
        <v>55.0</v>
      </c>
      <c r="C150" s="41">
        <f t="shared" si="1"/>
        <v>0</v>
      </c>
      <c r="D150" s="58">
        <v>0.0</v>
      </c>
      <c r="E150" s="45">
        <f t="shared" si="2"/>
        <v>0</v>
      </c>
      <c r="F150" s="42">
        <f t="shared" si="3"/>
        <v>0</v>
      </c>
      <c r="G150" s="73" t="s">
        <v>26</v>
      </c>
      <c r="H150" s="73">
        <v>8.0</v>
      </c>
      <c r="I150" s="53" t="str">
        <f>HYPERLINK("https://covid19.gou.go.ug/","Source")</f>
        <v>Source</v>
      </c>
      <c r="J150" s="29"/>
      <c r="K150" s="30"/>
      <c r="L150" s="58">
        <v>55.0</v>
      </c>
      <c r="M150" s="58">
        <v>0.0</v>
      </c>
      <c r="N150" s="31"/>
      <c r="O150" s="31"/>
      <c r="P150" s="31"/>
    </row>
    <row r="151" ht="30.0" customHeight="1">
      <c r="A151" s="37" t="s">
        <v>380</v>
      </c>
      <c r="B151" s="58">
        <v>54.0</v>
      </c>
      <c r="C151" s="41">
        <f t="shared" si="1"/>
        <v>0</v>
      </c>
      <c r="D151" s="58">
        <v>1.0</v>
      </c>
      <c r="E151" s="45">
        <f t="shared" si="2"/>
        <v>0</v>
      </c>
      <c r="F151" s="42">
        <f t="shared" si="3"/>
        <v>0.01851851852</v>
      </c>
      <c r="G151" s="73" t="s">
        <v>26</v>
      </c>
      <c r="H151" s="73">
        <v>6.0</v>
      </c>
      <c r="I151" s="53" t="str">
        <f>HYPERLINK("http://www.gov.ky/portal/page/portal/cighome/pressroom/archive/202004/monday-13-april-update1","Source")</f>
        <v>Source</v>
      </c>
      <c r="J151" s="29"/>
      <c r="K151" s="30"/>
      <c r="L151" s="58">
        <v>54.0</v>
      </c>
      <c r="M151" s="58">
        <v>1.0</v>
      </c>
      <c r="N151" s="31"/>
      <c r="O151" s="31"/>
      <c r="P151" s="31"/>
    </row>
    <row r="152" ht="30.0" customHeight="1">
      <c r="A152" s="37" t="s">
        <v>381</v>
      </c>
      <c r="B152" s="58">
        <v>53.0</v>
      </c>
      <c r="C152" s="41">
        <f t="shared" si="1"/>
        <v>0</v>
      </c>
      <c r="D152" s="58">
        <v>3.0</v>
      </c>
      <c r="E152" s="45">
        <f t="shared" si="2"/>
        <v>0</v>
      </c>
      <c r="F152" s="59">
        <f t="shared" si="3"/>
        <v>0.05660377358</v>
      </c>
      <c r="G152" s="73" t="s">
        <v>26</v>
      </c>
      <c r="H152" s="73">
        <v>5.0</v>
      </c>
      <c r="I152" s="53" t="str">
        <f>HYPERLINK("https://www.thecitizen.co.tz/news/Tanzania-extends-school-closure--bans-Union/1840340-5524070-d6gly8/index.html","Source")</f>
        <v>Source</v>
      </c>
      <c r="J152" s="29"/>
      <c r="K152" s="30"/>
      <c r="L152" s="58">
        <v>53.0</v>
      </c>
      <c r="M152" s="58">
        <v>3.0</v>
      </c>
      <c r="N152" s="31"/>
      <c r="O152" s="31"/>
      <c r="P152" s="31"/>
    </row>
    <row r="153" ht="30.0" customHeight="1">
      <c r="A153" s="37" t="s">
        <v>382</v>
      </c>
      <c r="B153" s="58">
        <v>53.0</v>
      </c>
      <c r="C153" s="41">
        <f t="shared" si="1"/>
        <v>0</v>
      </c>
      <c r="D153" s="58">
        <v>8.0</v>
      </c>
      <c r="E153" s="45">
        <f t="shared" si="2"/>
        <v>0</v>
      </c>
      <c r="F153" s="59">
        <f t="shared" si="3"/>
        <v>0.1509433962</v>
      </c>
      <c r="G153" s="73" t="s">
        <v>26</v>
      </c>
      <c r="H153" s="73">
        <v>6.0</v>
      </c>
      <c r="I153" s="53" t="str">
        <f>HYPERLINK("https://www.facebook.com/MOHBahamas/posts/1091466704569812?__xts__%5B0%5D=68.ARDLliEJkXILCDzApg4tNJVdRyFU8ZH_t9fkHU6x-CDv8qVdNxLSQwPs8Uqq17J4EkyhoEsxF3S6jOaKM7O3rMwIFr2zX9OQlJ7GOBkYidKEpFyE_eRPib7vf0b4hrGdff67h7V4eQ1ChCCt0_-GyNghBpxDE7LG_-MWjFMxRO3aQN8Mqz"&amp;"EXP2_jrVr6xRcSCuepxqwpHW4Op2EBzI1LsHl1N8A71iLD9KjBiPAT9rRJZ8ukelHIMkk3GBahIQVaBkVxsxfZC2gY23Vz6ECxtqG9Iruto94zmqX-CIEX9F-uiMiBgZG1v5I0AW150om1EycYa0ZDyo9gAB5CwypGP8c72A&amp;__tn__=-R","Source")</f>
        <v>Source</v>
      </c>
      <c r="J153" s="66"/>
      <c r="K153" s="49" t="s">
        <v>19</v>
      </c>
      <c r="L153" s="58">
        <v>53.0</v>
      </c>
      <c r="M153" s="58">
        <v>8.0</v>
      </c>
      <c r="N153" s="31"/>
      <c r="O153" s="31"/>
      <c r="P153" s="31"/>
    </row>
    <row r="154" ht="30.0" customHeight="1">
      <c r="A154" s="37" t="s">
        <v>383</v>
      </c>
      <c r="B154" s="58">
        <v>52.0</v>
      </c>
      <c r="C154" s="41">
        <f t="shared" si="1"/>
        <v>0</v>
      </c>
      <c r="D154" s="58">
        <v>9.0</v>
      </c>
      <c r="E154" s="45">
        <f t="shared" si="2"/>
        <v>0</v>
      </c>
      <c r="F154" s="42">
        <f t="shared" si="3"/>
        <v>0.1730769231</v>
      </c>
      <c r="G154" s="73">
        <v>1.0</v>
      </c>
      <c r="H154" s="73">
        <v>5.0</v>
      </c>
      <c r="I154" s="53" t="str">
        <f>HYPERLINK("http://www.sintmaartengov.org/government/VSA/Health-Updates/NOVELCORONAVIRUS/Pages/Current-Situation.aspx","Source")</f>
        <v>Source</v>
      </c>
      <c r="J154" s="29"/>
      <c r="K154" s="30"/>
      <c r="L154" s="58">
        <v>52.0</v>
      </c>
      <c r="M154" s="58">
        <v>9.0</v>
      </c>
      <c r="N154" s="31"/>
      <c r="O154" s="31"/>
      <c r="P154" s="31"/>
    </row>
    <row r="155" ht="30.0" customHeight="1">
      <c r="A155" s="37" t="s">
        <v>384</v>
      </c>
      <c r="B155" s="58">
        <v>47.0</v>
      </c>
      <c r="C155" s="41">
        <f t="shared" si="1"/>
        <v>0</v>
      </c>
      <c r="D155" s="58">
        <v>6.0</v>
      </c>
      <c r="E155" s="45">
        <f t="shared" si="2"/>
        <v>0</v>
      </c>
      <c r="F155" s="59">
        <f t="shared" si="3"/>
        <v>0.1276595745</v>
      </c>
      <c r="G155" s="73">
        <v>5.0</v>
      </c>
      <c r="H155" s="73">
        <v>8.0</v>
      </c>
      <c r="I155" s="53" t="str">
        <f>HYPERLINK("https://health.gov.gy/","Source")</f>
        <v>Source</v>
      </c>
      <c r="J155" s="29"/>
      <c r="K155" s="30"/>
      <c r="L155" s="58">
        <v>47.0</v>
      </c>
      <c r="M155" s="58">
        <v>6.0</v>
      </c>
      <c r="N155" s="31"/>
      <c r="O155" s="31"/>
      <c r="P155" s="31"/>
    </row>
    <row r="156" ht="30.0" customHeight="1">
      <c r="A156" s="37" t="s">
        <v>385</v>
      </c>
      <c r="B156" s="58">
        <v>45.0</v>
      </c>
      <c r="C156" s="41">
        <f t="shared" si="1"/>
        <v>0</v>
      </c>
      <c r="D156" s="58">
        <v>0.0</v>
      </c>
      <c r="E156" s="45">
        <f t="shared" si="2"/>
        <v>0</v>
      </c>
      <c r="F156" s="59">
        <f t="shared" si="3"/>
        <v>0</v>
      </c>
      <c r="G156" s="73">
        <v>1.0</v>
      </c>
      <c r="H156" s="73">
        <v>13.0</v>
      </c>
      <c r="I156" s="53" t="str">
        <f>HYPERLINK("https://www.ssm.gov.mo/portal/","Source")</f>
        <v>Source</v>
      </c>
      <c r="J156" s="29"/>
      <c r="K156" s="30"/>
      <c r="L156" s="58">
        <v>45.0</v>
      </c>
      <c r="M156" s="58">
        <v>0.0</v>
      </c>
      <c r="N156" s="31"/>
      <c r="O156" s="31"/>
      <c r="P156" s="31"/>
    </row>
    <row r="157" ht="30.0" customHeight="1">
      <c r="A157" s="37" t="s">
        <v>386</v>
      </c>
      <c r="B157" s="58">
        <v>45.0</v>
      </c>
      <c r="C157" s="41">
        <f t="shared" si="1"/>
        <v>0</v>
      </c>
      <c r="D157" s="58">
        <v>2.0</v>
      </c>
      <c r="E157" s="45">
        <f t="shared" si="2"/>
        <v>0</v>
      </c>
      <c r="F157" s="42">
        <f t="shared" si="3"/>
        <v>0.04444444444</v>
      </c>
      <c r="G157" s="73">
        <v>1.0</v>
      </c>
      <c r="H157" s="73">
        <v>30.0</v>
      </c>
      <c r="I157" s="53" t="str">
        <f>HYPERLINK("https://www.facebook.com/EdgarChagwaLungu/photos/a.831065900282970/3001493589906846/?type=3&amp;theater","Source")</f>
        <v>Source</v>
      </c>
      <c r="J157" s="29"/>
      <c r="K157" s="30"/>
      <c r="L157" s="58">
        <v>45.0</v>
      </c>
      <c r="M157" s="58">
        <v>2.0</v>
      </c>
      <c r="N157" s="31"/>
      <c r="O157" s="31"/>
      <c r="P157" s="31"/>
    </row>
    <row r="158" ht="30.0" customHeight="1">
      <c r="A158" s="37" t="s">
        <v>387</v>
      </c>
      <c r="B158" s="58">
        <v>43.0</v>
      </c>
      <c r="C158" s="41">
        <f t="shared" si="1"/>
        <v>0</v>
      </c>
      <c r="D158" s="58">
        <v>0.0</v>
      </c>
      <c r="E158" s="45">
        <f t="shared" si="2"/>
        <v>0</v>
      </c>
      <c r="F158" s="59">
        <f t="shared" si="3"/>
        <v>0</v>
      </c>
      <c r="G158" s="73" t="s">
        <v>26</v>
      </c>
      <c r="H158" s="73">
        <v>3.0</v>
      </c>
      <c r="I158" s="53" t="str">
        <f>HYPERLINK("https://www.saudemais.tv/noticia/13645-covid-19-autoridades-de-saude-da-guine-bissau-aumentam-para-43-numero-de-casos","Source")</f>
        <v>Source</v>
      </c>
      <c r="J158" s="29"/>
      <c r="K158" s="30"/>
      <c r="L158" s="58">
        <v>43.0</v>
      </c>
      <c r="M158" s="58">
        <v>0.0</v>
      </c>
      <c r="N158" s="31"/>
      <c r="O158" s="31"/>
      <c r="P158" s="31"/>
    </row>
    <row r="159" ht="30.0" customHeight="1">
      <c r="A159" s="37" t="s">
        <v>211</v>
      </c>
      <c r="B159" s="58">
        <v>43.0</v>
      </c>
      <c r="C159" s="41">
        <f t="shared" si="1"/>
        <v>0</v>
      </c>
      <c r="D159" s="58">
        <v>0.0</v>
      </c>
      <c r="E159" s="45">
        <f t="shared" si="2"/>
        <v>0</v>
      </c>
      <c r="F159" s="42">
        <f t="shared" si="3"/>
        <v>0</v>
      </c>
      <c r="G159" s="73" t="s">
        <v>26</v>
      </c>
      <c r="H159" s="73">
        <v>3.0</v>
      </c>
      <c r="I159" s="53" t="str">
        <f>HYPERLINK("https://dan-news.info/en/society/no-new-covid-19-cases-in-dpr-over-weekend-health-ministry.html","Source")</f>
        <v>Source</v>
      </c>
      <c r="J159" s="29"/>
      <c r="K159" s="30"/>
      <c r="L159" s="58">
        <v>43.0</v>
      </c>
      <c r="M159" s="58">
        <v>0.0</v>
      </c>
      <c r="N159" s="31"/>
      <c r="O159" s="31"/>
      <c r="P159" s="31"/>
    </row>
    <row r="160" ht="30.0" customHeight="1">
      <c r="A160" s="37" t="s">
        <v>388</v>
      </c>
      <c r="B160" s="58">
        <v>41.0</v>
      </c>
      <c r="C160" s="41">
        <f t="shared" si="1"/>
        <v>0</v>
      </c>
      <c r="D160" s="58">
        <v>0.0</v>
      </c>
      <c r="E160" s="45">
        <f t="shared" si="2"/>
        <v>0</v>
      </c>
      <c r="F160" s="42">
        <f t="shared" si="3"/>
        <v>0</v>
      </c>
      <c r="G160" s="73" t="s">
        <v>26</v>
      </c>
      <c r="H160" s="73">
        <v>4.0</v>
      </c>
      <c r="I160" s="53" t="str">
        <f>HYPERLINK("https://ahoraeg.com/salud/2020/04/14/se-eleva-a-41-el-numero-de-casos-positivos-de-coronavirus-en-guinea-ecuatorial/","Source")</f>
        <v>Source</v>
      </c>
      <c r="J160" s="29"/>
      <c r="K160" s="30"/>
      <c r="L160" s="58">
        <v>41.0</v>
      </c>
      <c r="M160" s="58">
        <v>0.0</v>
      </c>
      <c r="N160" s="31"/>
      <c r="O160" s="31"/>
      <c r="P160" s="31"/>
    </row>
    <row r="161" ht="30.0" customHeight="1">
      <c r="A161" s="37" t="s">
        <v>389</v>
      </c>
      <c r="B161" s="58">
        <v>40.0</v>
      </c>
      <c r="C161" s="41">
        <f t="shared" si="1"/>
        <v>0</v>
      </c>
      <c r="D161" s="58">
        <v>3.0</v>
      </c>
      <c r="E161" s="45">
        <f t="shared" si="2"/>
        <v>0</v>
      </c>
      <c r="F161" s="42">
        <f t="shared" si="3"/>
        <v>0.075</v>
      </c>
      <c r="G161" s="73" t="s">
        <v>26</v>
      </c>
      <c r="H161" s="73" t="s">
        <v>26</v>
      </c>
      <c r="I161" s="53" t="str">
        <f>HYPERLINK("https://twitter.com/MsppOfficiel/status/1249779036064268289","Source")</f>
        <v>Source</v>
      </c>
      <c r="J161" s="29"/>
      <c r="K161" s="30"/>
      <c r="L161" s="58">
        <v>40.0</v>
      </c>
      <c r="M161" s="58">
        <v>3.0</v>
      </c>
      <c r="N161" s="31"/>
      <c r="O161" s="31"/>
      <c r="P161" s="31"/>
    </row>
    <row r="162" ht="30.0" customHeight="1">
      <c r="A162" s="37" t="s">
        <v>390</v>
      </c>
      <c r="B162" s="58">
        <v>35.0</v>
      </c>
      <c r="C162" s="41">
        <f t="shared" si="1"/>
        <v>0</v>
      </c>
      <c r="D162" s="58">
        <v>1.0</v>
      </c>
      <c r="E162" s="45">
        <f t="shared" si="2"/>
        <v>0</v>
      </c>
      <c r="F162" s="59">
        <f t="shared" si="3"/>
        <v>0.02857142857</v>
      </c>
      <c r="G162" s="73" t="s">
        <v>26</v>
      </c>
      <c r="H162" s="73">
        <v>18.0</v>
      </c>
      <c r="I162" s="53" t="str">
        <f>HYPERLINK("https://www.gouv.bj/coronavirus/","Source")</f>
        <v>Source</v>
      </c>
      <c r="J162" s="29"/>
      <c r="K162" s="30"/>
      <c r="L162" s="58">
        <v>35.0</v>
      </c>
      <c r="M162" s="58">
        <v>1.0</v>
      </c>
      <c r="N162" s="31"/>
      <c r="O162" s="31"/>
      <c r="P162" s="31"/>
    </row>
    <row r="163" ht="30.0" customHeight="1">
      <c r="A163" s="37" t="s">
        <v>391</v>
      </c>
      <c r="B163" s="58">
        <v>35.0</v>
      </c>
      <c r="C163" s="41">
        <f t="shared" si="1"/>
        <v>0</v>
      </c>
      <c r="D163" s="58">
        <v>0.0</v>
      </c>
      <c r="E163" s="45">
        <f t="shared" si="2"/>
        <v>0</v>
      </c>
      <c r="F163" s="42">
        <f t="shared" si="3"/>
        <v>0</v>
      </c>
      <c r="G163" s="73" t="s">
        <v>26</v>
      </c>
      <c r="H163" s="73">
        <v>0.0</v>
      </c>
      <c r="I163" s="53" t="str">
        <f>HYPERLINK("http://www.shabait.com/news/local-news/30456-announcement-from-the-ministry-of-health","Source")</f>
        <v>Source</v>
      </c>
      <c r="J163" s="29"/>
      <c r="K163" s="30"/>
      <c r="L163" s="58">
        <v>35.0</v>
      </c>
      <c r="M163" s="58">
        <v>0.0</v>
      </c>
      <c r="N163" s="31"/>
      <c r="O163" s="32"/>
      <c r="P163" s="31"/>
    </row>
    <row r="164" ht="30.0" customHeight="1">
      <c r="A164" s="37" t="s">
        <v>392</v>
      </c>
      <c r="B164" s="58">
        <v>33.0</v>
      </c>
      <c r="C164" s="41">
        <f t="shared" si="1"/>
        <v>0</v>
      </c>
      <c r="D164" s="58">
        <v>2.0</v>
      </c>
      <c r="E164" s="45">
        <f t="shared" si="2"/>
        <v>0</v>
      </c>
      <c r="F164" s="42">
        <f t="shared" si="3"/>
        <v>0.06060606061</v>
      </c>
      <c r="G164" s="73">
        <v>0.0</v>
      </c>
      <c r="H164" s="73">
        <v>5.0</v>
      </c>
      <c r="I164" s="53" t="str">
        <f>HYPERLINK("https://sana.sy/en/?p=189988","Source")</f>
        <v>Source</v>
      </c>
      <c r="J164" s="66"/>
      <c r="K164" s="49" t="s">
        <v>19</v>
      </c>
      <c r="L164" s="58">
        <v>33.0</v>
      </c>
      <c r="M164" s="58">
        <v>2.0</v>
      </c>
      <c r="N164" s="31"/>
      <c r="O164" s="31"/>
      <c r="P164" s="31"/>
    </row>
    <row r="165" ht="30.0" customHeight="1">
      <c r="A165" s="37" t="s">
        <v>393</v>
      </c>
      <c r="B165" s="58">
        <v>32.0</v>
      </c>
      <c r="C165" s="41">
        <f t="shared" si="1"/>
        <v>0</v>
      </c>
      <c r="D165" s="58">
        <v>5.0</v>
      </c>
      <c r="E165" s="45">
        <f t="shared" si="2"/>
        <v>0</v>
      </c>
      <c r="F165" s="42">
        <f t="shared" si="3"/>
        <v>0.15625</v>
      </c>
      <c r="G165" s="73" t="s">
        <v>26</v>
      </c>
      <c r="H165" s="73">
        <v>3.0</v>
      </c>
      <c r="I165" s="53" t="str">
        <f>HYPERLINK("https://www.fmoh.gov.sd/","Source")</f>
        <v>Source</v>
      </c>
      <c r="J165" s="29"/>
      <c r="K165" s="30"/>
      <c r="L165" s="58">
        <v>32.0</v>
      </c>
      <c r="M165" s="58">
        <v>5.0</v>
      </c>
      <c r="N165" s="31"/>
      <c r="O165" s="31"/>
      <c r="P165" s="31"/>
    </row>
    <row r="166" ht="30.0" customHeight="1">
      <c r="A166" s="37" t="s">
        <v>394</v>
      </c>
      <c r="B166" s="58">
        <v>30.0</v>
      </c>
      <c r="C166" s="41">
        <f t="shared" si="1"/>
        <v>0</v>
      </c>
      <c r="D166" s="58">
        <v>0.0</v>
      </c>
      <c r="E166" s="45">
        <f t="shared" si="2"/>
        <v>0</v>
      </c>
      <c r="F166" s="42">
        <f t="shared" si="3"/>
        <v>0</v>
      </c>
      <c r="G166" s="73" t="s">
        <v>26</v>
      </c>
      <c r="H166" s="73">
        <v>5.0</v>
      </c>
      <c r="I166" s="53" t="str">
        <f>HYPERLINK("https://ikon.mn/n/1ups","Source")</f>
        <v>Source</v>
      </c>
      <c r="J166" s="29"/>
      <c r="K166" s="30"/>
      <c r="L166" s="58">
        <v>30.0</v>
      </c>
      <c r="M166" s="58">
        <v>0.0</v>
      </c>
      <c r="N166" s="31"/>
      <c r="O166" s="31"/>
      <c r="P166" s="31"/>
    </row>
    <row r="167" ht="30.0" customHeight="1">
      <c r="A167" s="37" t="s">
        <v>395</v>
      </c>
      <c r="B167" s="58">
        <v>28.0</v>
      </c>
      <c r="C167" s="41">
        <f t="shared" si="1"/>
        <v>0</v>
      </c>
      <c r="D167" s="58">
        <v>0.0</v>
      </c>
      <c r="E167" s="45">
        <f t="shared" si="2"/>
        <v>0</v>
      </c>
      <c r="F167" s="42">
        <f t="shared" si="3"/>
        <v>0</v>
      </c>
      <c r="G167" s="73" t="s">
        <v>26</v>
      </c>
      <c r="H167" s="73">
        <v>2.0</v>
      </c>
      <c r="I167" s="53" t="str">
        <f>HYPERLINK("http://www.misau.gov.mz/index.php/142-mocambique-registou-mais-sete-casos-positivos-o-pais-conta-agora-com-um-cumulativo-28-casos-dois-dos-quais-recuperados","Source")</f>
        <v>Source</v>
      </c>
      <c r="J167" s="29"/>
      <c r="K167" s="30"/>
      <c r="L167" s="58">
        <v>28.0</v>
      </c>
      <c r="M167" s="58">
        <v>0.0</v>
      </c>
      <c r="N167" s="31"/>
      <c r="O167" s="31"/>
      <c r="P167" s="31"/>
    </row>
    <row r="168" ht="30.0" customHeight="1">
      <c r="A168" s="37" t="s">
        <v>396</v>
      </c>
      <c r="B168" s="58">
        <v>25.0</v>
      </c>
      <c r="C168" s="41">
        <f t="shared" si="1"/>
        <v>0</v>
      </c>
      <c r="D168" s="58">
        <v>1.0</v>
      </c>
      <c r="E168" s="45">
        <f t="shared" si="2"/>
        <v>0</v>
      </c>
      <c r="F168" s="42">
        <f t="shared" si="3"/>
        <v>0.04</v>
      </c>
      <c r="G168" s="73" t="s">
        <v>26</v>
      </c>
      <c r="H168" s="73">
        <v>1.0</v>
      </c>
      <c r="I168" s="53" t="str">
        <f>HYPERLINK("https://www.panapress.com/login-lang2.html","Source")</f>
        <v>Source</v>
      </c>
      <c r="J168" s="29"/>
      <c r="K168" s="30"/>
      <c r="L168" s="58">
        <v>25.0</v>
      </c>
      <c r="M168" s="58">
        <v>1.0</v>
      </c>
      <c r="N168" s="31"/>
      <c r="O168" s="31"/>
      <c r="P168" s="31"/>
    </row>
    <row r="169" ht="30.0" customHeight="1">
      <c r="A169" s="37" t="s">
        <v>397</v>
      </c>
      <c r="B169" s="58">
        <v>23.0</v>
      </c>
      <c r="C169" s="41">
        <f t="shared" si="1"/>
        <v>0</v>
      </c>
      <c r="D169" s="58">
        <v>2.0</v>
      </c>
      <c r="E169" s="45">
        <f t="shared" si="2"/>
        <v>0</v>
      </c>
      <c r="F169" s="59">
        <f t="shared" si="3"/>
        <v>0.08695652174</v>
      </c>
      <c r="G169" s="73">
        <v>0.0</v>
      </c>
      <c r="H169" s="73">
        <v>3.0</v>
      </c>
      <c r="I169" s="53" t="str">
        <f>HYPERLINK("https://www.facebook.com/investingforwellness/posts/891733801266595?__xts__[0]=68.ARAZQpvVNBOBwSSnrZNgJHakzEEvV-xwU6iKQXo9bYsJm5eiWzA45hEg_llh3RbEZitM0M300vQkTEqcRb6iSjNBk3nAa0SahEfXSXPWsLU22Xz8rMzJcUVab2tVUZ-M1jd3SFxEFQM39IgA-ygSynombgPfuARENKJ0eA8QzGUxA"&amp;"hkb_aizg6va0dYOQdCBWFgljGwe99qEcLmZNCs5yGcdKwqMhhhHwpGnBnXEJwUk1MdVYjewuKP1a3l_KFSA9yQzdmXvqWtFveHIUNeJI2FkFBWwa9ADGIYxzm0xgcECLMzp6Glb8tcrcIyndI4Yz6dCPUaHqOkjP86g8tA&amp;__tn__=-R","Source")</f>
        <v>Source</v>
      </c>
      <c r="J169" s="29"/>
      <c r="K169" s="30"/>
      <c r="L169" s="58">
        <v>23.0</v>
      </c>
      <c r="M169" s="58">
        <v>2.0</v>
      </c>
      <c r="N169" s="31"/>
      <c r="O169" s="31"/>
      <c r="P169" s="31"/>
    </row>
    <row r="170" ht="30.0" customHeight="1">
      <c r="A170" s="37" t="s">
        <v>398</v>
      </c>
      <c r="B170" s="58">
        <v>23.0</v>
      </c>
      <c r="C170" s="41">
        <f t="shared" si="1"/>
        <v>0</v>
      </c>
      <c r="D170" s="58">
        <v>0.0</v>
      </c>
      <c r="E170" s="45">
        <f t="shared" si="2"/>
        <v>0</v>
      </c>
      <c r="F170" s="59">
        <f t="shared" si="3"/>
        <v>0</v>
      </c>
      <c r="G170" s="73" t="s">
        <v>26</v>
      </c>
      <c r="H170" s="73">
        <v>2.0</v>
      </c>
      <c r="I170" s="53" t="str">
        <f>HYPERLINK("https://www.facebook.com/ministeresantetchad/photos/a.597628504017561/880810365699372/?type=3&amp;theater","Source")</f>
        <v>Source</v>
      </c>
      <c r="J170" s="29"/>
      <c r="K170" s="30"/>
      <c r="L170" s="58">
        <v>23.0</v>
      </c>
      <c r="M170" s="58">
        <v>0.0</v>
      </c>
      <c r="N170" s="31"/>
      <c r="O170" s="31"/>
      <c r="P170" s="31"/>
    </row>
    <row r="171" ht="27.75" customHeight="1">
      <c r="A171" s="37" t="s">
        <v>399</v>
      </c>
      <c r="B171" s="58">
        <v>23.0</v>
      </c>
      <c r="C171" s="41">
        <f t="shared" si="1"/>
        <v>0</v>
      </c>
      <c r="D171" s="58">
        <v>0.0</v>
      </c>
      <c r="E171" s="45">
        <f t="shared" si="2"/>
        <v>0</v>
      </c>
      <c r="F171" s="59">
        <f t="shared" si="3"/>
        <v>0</v>
      </c>
      <c r="G171" s="73" t="s">
        <v>26</v>
      </c>
      <c r="H171" s="73">
        <v>16.0</v>
      </c>
      <c r="I171" s="53" t="str">
        <f>HYPERLINK("https://covid19.health.gov.mv/en/","Source")</f>
        <v>Source</v>
      </c>
      <c r="J171" s="66"/>
      <c r="K171" s="30"/>
      <c r="L171" s="58">
        <v>23.0</v>
      </c>
      <c r="M171" s="58">
        <v>0.0</v>
      </c>
      <c r="N171" s="31"/>
      <c r="O171" s="31"/>
      <c r="P171" s="31"/>
    </row>
    <row r="172" ht="30.0" customHeight="1">
      <c r="A172" s="37" t="s">
        <v>400</v>
      </c>
      <c r="B172" s="58">
        <v>19.0</v>
      </c>
      <c r="C172" s="41">
        <f t="shared" si="1"/>
        <v>0</v>
      </c>
      <c r="D172" s="58">
        <v>2.0</v>
      </c>
      <c r="E172" s="45">
        <f t="shared" si="2"/>
        <v>0</v>
      </c>
      <c r="F172" s="59">
        <f t="shared" si="3"/>
        <v>0.1052631579</v>
      </c>
      <c r="G172" s="73">
        <v>0.0</v>
      </c>
      <c r="H172" s="73">
        <v>4.0</v>
      </c>
      <c r="I172" s="53" t="str">
        <f>HYPERLINK("http://www.angop.ao/angola/en_us/noticias/saude/2020/3/16/COVID-positive-cases-reported-for-five-straight-days,7d8b59e3-9c8d-4e73-8aa0-4fda6dc555f1.html","Source")</f>
        <v>Source</v>
      </c>
      <c r="J172" s="29"/>
      <c r="K172" s="30"/>
      <c r="L172" s="58">
        <v>19.0</v>
      </c>
      <c r="M172" s="58">
        <v>2.0</v>
      </c>
      <c r="N172" s="31"/>
      <c r="O172" s="31"/>
      <c r="P172" s="31"/>
    </row>
    <row r="173" ht="30.0" customHeight="1">
      <c r="A173" s="37" t="s">
        <v>401</v>
      </c>
      <c r="B173" s="58">
        <v>19.0</v>
      </c>
      <c r="C173" s="41">
        <f t="shared" si="1"/>
        <v>0</v>
      </c>
      <c r="D173" s="58">
        <v>2.0</v>
      </c>
      <c r="E173" s="45">
        <f t="shared" si="2"/>
        <v>0</v>
      </c>
      <c r="F173" s="42">
        <f t="shared" si="3"/>
        <v>0.1052631579</v>
      </c>
      <c r="G173" s="73" t="s">
        <v>26</v>
      </c>
      <c r="H173" s="73" t="s">
        <v>26</v>
      </c>
      <c r="I173" s="53" t="str">
        <f>HYPERLINK("https://twitter.com/NationOnlineMw/status/1250152933364203520","Source")</f>
        <v>Source</v>
      </c>
      <c r="J173" s="29"/>
      <c r="K173" s="30"/>
      <c r="L173" s="58">
        <v>19.0</v>
      </c>
      <c r="M173" s="58">
        <v>2.0</v>
      </c>
      <c r="N173" s="31"/>
      <c r="O173" s="31"/>
      <c r="P173" s="31"/>
    </row>
    <row r="174" ht="30.0" customHeight="1">
      <c r="A174" s="37" t="s">
        <v>402</v>
      </c>
      <c r="B174" s="58">
        <v>19.0</v>
      </c>
      <c r="C174" s="41">
        <f t="shared" si="1"/>
        <v>0</v>
      </c>
      <c r="D174" s="58">
        <v>0.0</v>
      </c>
      <c r="E174" s="45">
        <f t="shared" si="2"/>
        <v>0</v>
      </c>
      <c r="F174" s="42">
        <f t="shared" si="3"/>
        <v>0</v>
      </c>
      <c r="G174" s="73" t="s">
        <v>26</v>
      </c>
      <c r="H174" s="73">
        <v>1.0</v>
      </c>
      <c r="I174" s="53" t="str">
        <f>HYPERLINK("https://www.covid19.gov.la/","Source")</f>
        <v>Source</v>
      </c>
      <c r="J174" s="29"/>
      <c r="K174" s="30"/>
      <c r="L174" s="58">
        <v>19.0</v>
      </c>
      <c r="M174" s="58">
        <v>0.0</v>
      </c>
      <c r="N174" s="31"/>
      <c r="O174" s="31"/>
      <c r="P174" s="31"/>
    </row>
    <row r="175" ht="30.0" customHeight="1">
      <c r="A175" s="37" t="s">
        <v>403</v>
      </c>
      <c r="B175" s="58">
        <v>18.0</v>
      </c>
      <c r="C175" s="41">
        <f t="shared" si="1"/>
        <v>0</v>
      </c>
      <c r="D175" s="58">
        <v>3.0</v>
      </c>
      <c r="E175" s="45">
        <f t="shared" si="2"/>
        <v>0</v>
      </c>
      <c r="F175" s="59">
        <f t="shared" si="3"/>
        <v>0.1666666667</v>
      </c>
      <c r="G175" s="73">
        <v>0.0</v>
      </c>
      <c r="H175" s="73">
        <v>1.0</v>
      </c>
      <c r="I175" s="53" t="str">
        <f>HYPERLINK("https://twitter.com/zcphp/status/1250158541136068608","Source")</f>
        <v>Source</v>
      </c>
      <c r="J175" s="29"/>
      <c r="K175" s="30"/>
      <c r="L175" s="58">
        <v>18.0</v>
      </c>
      <c r="M175" s="58">
        <v>3.0</v>
      </c>
      <c r="N175" s="31"/>
      <c r="O175" s="31"/>
      <c r="P175" s="31"/>
    </row>
    <row r="176" ht="30.0" customHeight="1">
      <c r="A176" s="37" t="s">
        <v>404</v>
      </c>
      <c r="B176" s="58">
        <v>18.0</v>
      </c>
      <c r="C176" s="41">
        <f t="shared" si="1"/>
        <v>0</v>
      </c>
      <c r="D176" s="58">
        <v>2.0</v>
      </c>
      <c r="E176" s="45">
        <f t="shared" si="2"/>
        <v>0</v>
      </c>
      <c r="F176" s="42">
        <f t="shared" si="3"/>
        <v>0.1111111111</v>
      </c>
      <c r="G176" s="73" t="s">
        <v>26</v>
      </c>
      <c r="H176" s="73">
        <v>0.0</v>
      </c>
      <c r="I176" s="53" t="str">
        <f>HYPERLINK("https://covid19.bz/?fbclid=IwAR0ZRMnf7fojvI2lcPkHV7RUFw11TEGuMMzlFxP3Mw1jAT_gP-e9ydIsEZg","Source")</f>
        <v>Source</v>
      </c>
      <c r="J176" s="29"/>
      <c r="K176" s="30"/>
      <c r="L176" s="58">
        <v>18.0</v>
      </c>
      <c r="M176" s="58">
        <v>2.0</v>
      </c>
      <c r="N176" s="31"/>
      <c r="O176" s="31"/>
      <c r="P176" s="31"/>
    </row>
    <row r="177" ht="30.0" customHeight="1">
      <c r="A177" s="37" t="s">
        <v>405</v>
      </c>
      <c r="B177" s="58">
        <v>18.0</v>
      </c>
      <c r="C177" s="41">
        <f t="shared" si="1"/>
        <v>0</v>
      </c>
      <c r="D177" s="58">
        <v>0.0</v>
      </c>
      <c r="E177" s="45">
        <f t="shared" si="2"/>
        <v>0</v>
      </c>
      <c r="F177" s="59">
        <f t="shared" si="3"/>
        <v>0</v>
      </c>
      <c r="G177" s="73">
        <v>1.0</v>
      </c>
      <c r="H177" s="73">
        <v>1.0</v>
      </c>
      <c r="I177" s="53" t="str">
        <f>HYPERLINK("https://gouv.nc/coronavirus","Source")</f>
        <v>Source</v>
      </c>
      <c r="J177" s="29"/>
      <c r="K177" s="30"/>
      <c r="L177" s="58">
        <v>18.0</v>
      </c>
      <c r="M177" s="58">
        <v>0.0</v>
      </c>
      <c r="N177" s="31"/>
      <c r="O177" s="31"/>
      <c r="P177" s="31"/>
    </row>
    <row r="178" ht="30.0" customHeight="1">
      <c r="A178" s="37" t="s">
        <v>406</v>
      </c>
      <c r="B178" s="58">
        <v>16.0</v>
      </c>
      <c r="C178" s="41">
        <f t="shared" si="1"/>
        <v>0</v>
      </c>
      <c r="D178" s="58">
        <v>0.0</v>
      </c>
      <c r="E178" s="45">
        <f t="shared" si="2"/>
        <v>0</v>
      </c>
      <c r="F178" s="59">
        <f t="shared" si="3"/>
        <v>0</v>
      </c>
      <c r="G178" s="73">
        <v>0.0</v>
      </c>
      <c r="H178" s="73">
        <v>3.0</v>
      </c>
      <c r="I178" s="53" t="str">
        <f>HYPERLINK("https://twitter.com/TheNamibian/status/1248906266010886150?ref_src=twsrc%5Etfw%7Ctwcamp%5Eembeddedtimeline%7Ctwterm%5Eprofile%3ATheNamibian%7Ctwcon%5Etimelinechrome&amp;ref_url=https%3A%2F%2Fwww.namibian.com.na%2FHome","Source")</f>
        <v>Source</v>
      </c>
      <c r="J178" s="29"/>
      <c r="K178" s="30"/>
      <c r="L178" s="58">
        <v>16.0</v>
      </c>
      <c r="M178" s="58">
        <v>0.0</v>
      </c>
      <c r="N178" s="31"/>
      <c r="O178" s="31"/>
      <c r="P178" s="31"/>
    </row>
    <row r="179" ht="30.0" customHeight="1">
      <c r="A179" s="37" t="s">
        <v>407</v>
      </c>
      <c r="B179" s="58">
        <v>16.0</v>
      </c>
      <c r="C179" s="41">
        <f t="shared" si="1"/>
        <v>0</v>
      </c>
      <c r="D179" s="58">
        <v>0.0</v>
      </c>
      <c r="E179" s="45">
        <f t="shared" si="2"/>
        <v>0</v>
      </c>
      <c r="F179" s="59">
        <f t="shared" si="3"/>
        <v>0</v>
      </c>
      <c r="G179" s="73" t="s">
        <v>26</v>
      </c>
      <c r="H179" s="73">
        <v>0.0</v>
      </c>
      <c r="I179" s="53" t="str">
        <f>HYPERLINK("https://www.fbcnews.com.fj/news/covid-19-cases-go-up/","Source")</f>
        <v>Source</v>
      </c>
      <c r="J179" s="29"/>
      <c r="K179" s="30"/>
      <c r="L179" s="58">
        <v>16.0</v>
      </c>
      <c r="M179" s="58">
        <v>0.0</v>
      </c>
      <c r="N179" s="31"/>
      <c r="O179" s="31"/>
      <c r="P179" s="31"/>
    </row>
    <row r="180" ht="30.0" customHeight="1">
      <c r="A180" s="37" t="s">
        <v>408</v>
      </c>
      <c r="B180" s="58">
        <v>16.0</v>
      </c>
      <c r="C180" s="41">
        <f t="shared" si="1"/>
        <v>0</v>
      </c>
      <c r="D180" s="58">
        <v>0.0</v>
      </c>
      <c r="E180" s="45">
        <f t="shared" si="2"/>
        <v>0</v>
      </c>
      <c r="F180" s="59">
        <f t="shared" si="3"/>
        <v>0</v>
      </c>
      <c r="G180" s="73" t="s">
        <v>26</v>
      </c>
      <c r="H180" s="73">
        <v>1.0</v>
      </c>
      <c r="I180" s="53" t="str">
        <f>HYPERLINK("https://kathmandupost.com/covid19","Source")</f>
        <v>Source</v>
      </c>
      <c r="J180" s="29"/>
      <c r="K180" s="30"/>
      <c r="L180" s="58">
        <v>16.0</v>
      </c>
      <c r="M180" s="58">
        <v>0.0</v>
      </c>
      <c r="N180" s="31"/>
      <c r="O180" s="31"/>
      <c r="P180" s="31"/>
    </row>
    <row r="181" ht="30.0" customHeight="1">
      <c r="A181" s="37" t="s">
        <v>409</v>
      </c>
      <c r="B181" s="58">
        <v>15.0</v>
      </c>
      <c r="C181" s="41">
        <f t="shared" si="1"/>
        <v>0</v>
      </c>
      <c r="D181" s="58">
        <v>0.0</v>
      </c>
      <c r="E181" s="45">
        <f t="shared" si="2"/>
        <v>0</v>
      </c>
      <c r="F181" s="42">
        <f t="shared" si="3"/>
        <v>0</v>
      </c>
      <c r="G181" s="73">
        <v>0.0</v>
      </c>
      <c r="H181" s="73">
        <v>11.0</v>
      </c>
      <c r="I181" s="53" t="str">
        <f>HYPERLINK("https://www.stlucianewsonline.com/saint-lucia-reports-11-patients-recovered-from-covid-19/","Source")</f>
        <v>Source</v>
      </c>
      <c r="J181" s="29"/>
      <c r="K181" s="30"/>
      <c r="L181" s="58">
        <v>15.0</v>
      </c>
      <c r="M181" s="58">
        <v>0.0</v>
      </c>
      <c r="N181" s="31"/>
      <c r="O181" s="31"/>
      <c r="P181" s="31"/>
    </row>
    <row r="182" ht="30.0" customHeight="1">
      <c r="A182" s="37" t="s">
        <v>410</v>
      </c>
      <c r="B182" s="58">
        <v>15.0</v>
      </c>
      <c r="C182" s="41">
        <f t="shared" si="1"/>
        <v>0</v>
      </c>
      <c r="D182" s="58">
        <v>0.0</v>
      </c>
      <c r="E182" s="45">
        <f t="shared" si="2"/>
        <v>0</v>
      </c>
      <c r="F182" s="42">
        <f t="shared" si="3"/>
        <v>0</v>
      </c>
      <c r="G182" s="73">
        <v>0.0</v>
      </c>
      <c r="H182" s="73">
        <v>8.0</v>
      </c>
      <c r="I182" s="53" t="str">
        <f>HYPERLINK("https://twitter.com/EswatiniGovern1/status/1250087512103694338","Source")</f>
        <v>Source</v>
      </c>
      <c r="J182" s="29"/>
      <c r="K182" s="30"/>
      <c r="L182" s="58">
        <v>15.0</v>
      </c>
      <c r="M182" s="58">
        <v>0.0</v>
      </c>
      <c r="N182" s="31"/>
      <c r="O182" s="31"/>
      <c r="P182" s="31"/>
    </row>
    <row r="183" ht="30.0" customHeight="1">
      <c r="A183" s="37" t="s">
        <v>411</v>
      </c>
      <c r="B183" s="58">
        <v>14.0</v>
      </c>
      <c r="C183" s="41">
        <f t="shared" si="1"/>
        <v>0</v>
      </c>
      <c r="D183" s="58">
        <v>1.0</v>
      </c>
      <c r="E183" s="45">
        <f t="shared" si="2"/>
        <v>0</v>
      </c>
      <c r="F183" s="42">
        <f t="shared" si="3"/>
        <v>0.07142857143</v>
      </c>
      <c r="G183" s="73" t="s">
        <v>26</v>
      </c>
      <c r="H183" s="73">
        <v>10.0</v>
      </c>
      <c r="I183" s="53" t="str">
        <f>HYPERLINK("https://www.curacaochronicle.com/post/main/covid-19-update-confirmed-cases-remain-14-with-1-inconclusive/","Source")</f>
        <v>Source</v>
      </c>
      <c r="J183" s="29"/>
      <c r="K183" s="49" t="s">
        <v>19</v>
      </c>
      <c r="L183" s="58">
        <v>14.0</v>
      </c>
      <c r="M183" s="58">
        <v>1.0</v>
      </c>
      <c r="N183" s="31"/>
      <c r="O183" s="31"/>
      <c r="P183" s="31"/>
    </row>
    <row r="184" ht="30.0" customHeight="1">
      <c r="A184" s="37" t="s">
        <v>412</v>
      </c>
      <c r="B184" s="58">
        <v>14.0</v>
      </c>
      <c r="C184" s="41">
        <f t="shared" si="1"/>
        <v>0</v>
      </c>
      <c r="D184" s="58">
        <v>0.0</v>
      </c>
      <c r="E184" s="45">
        <f t="shared" si="2"/>
        <v>0</v>
      </c>
      <c r="F184" s="42">
        <f t="shared" si="3"/>
        <v>0</v>
      </c>
      <c r="G184" s="73">
        <v>1.0</v>
      </c>
      <c r="H184" s="73">
        <v>0.0</v>
      </c>
      <c r="I184" s="53" t="str">
        <f>HYPERLINK("https://covid19.gov.gd/","Source")</f>
        <v>Source</v>
      </c>
      <c r="J184" s="29"/>
      <c r="K184" s="30"/>
      <c r="L184" s="58">
        <v>14.0</v>
      </c>
      <c r="M184" s="58">
        <v>0.0</v>
      </c>
      <c r="N184" s="31"/>
      <c r="O184" s="31"/>
      <c r="P184" s="31"/>
    </row>
    <row r="185" ht="27.75" customHeight="1">
      <c r="A185" s="37" t="s">
        <v>413</v>
      </c>
      <c r="B185" s="58">
        <v>13.0</v>
      </c>
      <c r="C185" s="41">
        <f t="shared" si="1"/>
        <v>0</v>
      </c>
      <c r="D185" s="58">
        <v>1.0</v>
      </c>
      <c r="E185" s="45">
        <f t="shared" si="2"/>
        <v>0</v>
      </c>
      <c r="F185" s="42">
        <f t="shared" si="3"/>
        <v>0.07692307692</v>
      </c>
      <c r="G185" s="73" t="s">
        <v>26</v>
      </c>
      <c r="H185" s="73" t="s">
        <v>26</v>
      </c>
      <c r="I185" s="53" t="str">
        <f>HYPERLINK("https://twitter.com/BWGovernment/status/1248181443328651264","Source")</f>
        <v>Source</v>
      </c>
      <c r="J185" s="29"/>
      <c r="K185" s="30"/>
      <c r="L185" s="58">
        <v>13.0</v>
      </c>
      <c r="M185" s="58">
        <v>1.0</v>
      </c>
      <c r="N185" s="31"/>
      <c r="O185" s="31"/>
      <c r="P185" s="31"/>
    </row>
    <row r="186" ht="30.0" customHeight="1">
      <c r="A186" s="37" t="s">
        <v>414</v>
      </c>
      <c r="B186" s="58">
        <v>12.0</v>
      </c>
      <c r="C186" s="41">
        <f t="shared" si="1"/>
        <v>0</v>
      </c>
      <c r="D186" s="58">
        <v>0.0</v>
      </c>
      <c r="E186" s="45">
        <f t="shared" si="2"/>
        <v>0</v>
      </c>
      <c r="F186" s="42">
        <f t="shared" si="3"/>
        <v>0</v>
      </c>
      <c r="G186" s="73" t="s">
        <v>26</v>
      </c>
      <c r="H186" s="73">
        <v>1.0</v>
      </c>
      <c r="I186" s="53" t="str">
        <f>HYPERLINK("http://health.gov.vc/health/images/PDF/stories/IMG-20200413-WA0010.jpg","Source")</f>
        <v>Source</v>
      </c>
      <c r="J186" s="29"/>
      <c r="K186" s="30"/>
      <c r="L186" s="58">
        <v>12.0</v>
      </c>
      <c r="M186" s="58">
        <v>0.0</v>
      </c>
      <c r="N186" s="31"/>
      <c r="O186" s="31"/>
      <c r="P186" s="31"/>
    </row>
    <row r="187" ht="30.0" customHeight="1">
      <c r="A187" s="37" t="s">
        <v>415</v>
      </c>
      <c r="B187" s="58">
        <v>12.0</v>
      </c>
      <c r="C187" s="41">
        <f t="shared" si="1"/>
        <v>0</v>
      </c>
      <c r="D187" s="58">
        <v>0.0</v>
      </c>
      <c r="E187" s="45">
        <f t="shared" si="2"/>
        <v>0</v>
      </c>
      <c r="F187" s="59">
        <f t="shared" si="3"/>
        <v>0</v>
      </c>
      <c r="G187" s="73" t="s">
        <v>26</v>
      </c>
      <c r="H187" s="73">
        <v>0.0</v>
      </c>
      <c r="I187" s="53" t="str">
        <f>HYPERLINK("https://www.covid19.gov.kn/","Source")</f>
        <v>Source</v>
      </c>
      <c r="J187" s="29"/>
      <c r="K187" s="30"/>
      <c r="L187" s="58">
        <v>12.0</v>
      </c>
      <c r="M187" s="58">
        <v>0.0</v>
      </c>
      <c r="N187" s="31"/>
      <c r="O187" s="31"/>
      <c r="P187" s="31"/>
    </row>
    <row r="188" ht="30.0" customHeight="1">
      <c r="A188" s="37" t="s">
        <v>416</v>
      </c>
      <c r="B188" s="58">
        <v>11.0</v>
      </c>
      <c r="C188" s="41">
        <f t="shared" si="1"/>
        <v>0</v>
      </c>
      <c r="D188" s="58">
        <v>1.0</v>
      </c>
      <c r="E188" s="45">
        <f t="shared" si="2"/>
        <v>0</v>
      </c>
      <c r="F188" s="42">
        <f t="shared" si="3"/>
        <v>0.09090909091</v>
      </c>
      <c r="G188" s="73">
        <v>0.0</v>
      </c>
      <c r="H188" s="73">
        <v>0.0</v>
      </c>
      <c r="I188" s="53" t="str">
        <f>HYPERLINK("https://covid19.cv/","Source")</f>
        <v>Source</v>
      </c>
      <c r="J188" s="29"/>
      <c r="K188" s="30"/>
      <c r="L188" s="58">
        <v>11.0</v>
      </c>
      <c r="M188" s="58">
        <v>1.0</v>
      </c>
      <c r="N188" s="31"/>
      <c r="O188" s="31"/>
      <c r="P188" s="31"/>
    </row>
    <row r="189" ht="30.0" customHeight="1">
      <c r="A189" s="37" t="s">
        <v>417</v>
      </c>
      <c r="B189" s="58">
        <v>11.0</v>
      </c>
      <c r="C189" s="41">
        <f t="shared" si="1"/>
        <v>0</v>
      </c>
      <c r="D189" s="58">
        <v>0.0</v>
      </c>
      <c r="E189" s="45">
        <f t="shared" si="2"/>
        <v>0</v>
      </c>
      <c r="F189" s="59">
        <f t="shared" si="3"/>
        <v>0</v>
      </c>
      <c r="G189" s="73" t="s">
        <v>26</v>
      </c>
      <c r="H189" s="73">
        <v>11.0</v>
      </c>
      <c r="I189" s="53" t="str">
        <f>HYPERLINK("https://nun.gl/Emner/Borgere/Coronavirus_emne/Foelg_smittespredningen?sc_lang=da","Source")</f>
        <v>Source</v>
      </c>
      <c r="J189" s="29"/>
      <c r="K189" s="30"/>
      <c r="L189" s="58">
        <v>11.0</v>
      </c>
      <c r="M189" s="58">
        <v>0.0</v>
      </c>
      <c r="N189" s="31"/>
      <c r="O189" s="31"/>
      <c r="P189" s="31"/>
    </row>
    <row r="190" ht="30.0" customHeight="1">
      <c r="A190" s="37" t="s">
        <v>418</v>
      </c>
      <c r="B190" s="58">
        <v>11.0</v>
      </c>
      <c r="C190" s="41">
        <f t="shared" si="1"/>
        <v>0</v>
      </c>
      <c r="D190" s="58">
        <v>0.0</v>
      </c>
      <c r="E190" s="45">
        <f t="shared" si="2"/>
        <v>0</v>
      </c>
      <c r="F190" s="59">
        <f t="shared" si="3"/>
        <v>0</v>
      </c>
      <c r="G190" s="73">
        <v>1.0</v>
      </c>
      <c r="H190" s="73">
        <v>0.0</v>
      </c>
      <c r="I190" s="53" t="str">
        <f>HYPERLINK("http://www.health.gov.sc/index.php/2020/04/06/public-health-authority-records-new-case-of-covid-19/","Source")</f>
        <v>Source</v>
      </c>
      <c r="J190" s="29"/>
      <c r="K190" s="30"/>
      <c r="L190" s="58">
        <v>11.0</v>
      </c>
      <c r="M190" s="58">
        <v>0.0</v>
      </c>
      <c r="N190" s="31"/>
      <c r="O190" s="31"/>
      <c r="P190" s="31"/>
    </row>
    <row r="191" ht="30.0" customHeight="1">
      <c r="A191" s="37" t="s">
        <v>419</v>
      </c>
      <c r="B191" s="58">
        <v>11.0</v>
      </c>
      <c r="C191" s="41">
        <f t="shared" si="1"/>
        <v>0</v>
      </c>
      <c r="D191" s="58">
        <v>0.0</v>
      </c>
      <c r="E191" s="45">
        <f t="shared" si="2"/>
        <v>0</v>
      </c>
      <c r="F191" s="59">
        <f t="shared" si="3"/>
        <v>0</v>
      </c>
      <c r="G191" s="73" t="s">
        <v>26</v>
      </c>
      <c r="H191" s="73">
        <v>3.0</v>
      </c>
      <c r="I191" s="53" t="str">
        <f>HYPERLINK("https://pbs.twimg.com/media/EVjaOCsWAAA0eQz.jpg","Source")</f>
        <v>Source</v>
      </c>
      <c r="J191" s="29"/>
      <c r="K191" s="30"/>
      <c r="L191" s="58">
        <v>11.0</v>
      </c>
      <c r="M191" s="58">
        <v>0.0</v>
      </c>
      <c r="N191" s="31"/>
      <c r="O191" s="31"/>
      <c r="P191" s="31"/>
    </row>
    <row r="192" ht="30.0" customHeight="1">
      <c r="A192" s="37" t="s">
        <v>420</v>
      </c>
      <c r="B192" s="58">
        <v>11.0</v>
      </c>
      <c r="C192" s="41">
        <f t="shared" si="1"/>
        <v>0</v>
      </c>
      <c r="D192" s="58">
        <v>0.0</v>
      </c>
      <c r="E192" s="45">
        <f t="shared" si="2"/>
        <v>0</v>
      </c>
      <c r="F192" s="42">
        <f t="shared" si="3"/>
        <v>0</v>
      </c>
      <c r="G192" s="73">
        <v>0.0</v>
      </c>
      <c r="H192" s="73">
        <v>3.0</v>
      </c>
      <c r="I192" s="53" t="str">
        <f>HYPERLINK("https://twitter.com/FalklandsinUK/status/1250082636321763330","Source")</f>
        <v>Source</v>
      </c>
      <c r="J192" s="29"/>
      <c r="K192" s="30"/>
      <c r="L192" s="58">
        <v>11.0</v>
      </c>
      <c r="M192" s="58">
        <v>0.0</v>
      </c>
      <c r="N192" s="31"/>
      <c r="O192" s="31"/>
      <c r="P192" s="31"/>
    </row>
    <row r="193" ht="30.0" customHeight="1">
      <c r="A193" s="37" t="s">
        <v>421</v>
      </c>
      <c r="B193" s="58">
        <v>11.0</v>
      </c>
      <c r="C193" s="41">
        <f t="shared" si="1"/>
        <v>0</v>
      </c>
      <c r="D193" s="58">
        <v>0.0</v>
      </c>
      <c r="E193" s="45">
        <f t="shared" si="2"/>
        <v>0</v>
      </c>
      <c r="F193" s="59">
        <f t="shared" si="3"/>
        <v>0</v>
      </c>
      <c r="G193" s="73">
        <v>1.0</v>
      </c>
      <c r="H193" s="73">
        <v>1.0</v>
      </c>
      <c r="I193" s="53" t="str">
        <f>HYPERLINK("https://www.facebook.com/GIUMontserrat/photos/a.240391026520247/644670352758977/?type=3&amp;theater","Source")</f>
        <v>Source</v>
      </c>
      <c r="J193" s="29"/>
      <c r="K193" s="30"/>
      <c r="L193" s="58">
        <v>11.0</v>
      </c>
      <c r="M193" s="58">
        <v>0.0</v>
      </c>
      <c r="N193" s="31"/>
      <c r="O193" s="31"/>
      <c r="P193" s="31"/>
    </row>
    <row r="194" ht="30.0" customHeight="1">
      <c r="A194" s="37" t="s">
        <v>422</v>
      </c>
      <c r="B194" s="58">
        <v>11.0</v>
      </c>
      <c r="C194" s="41">
        <f t="shared" si="1"/>
        <v>0</v>
      </c>
      <c r="D194" s="58">
        <v>0.0</v>
      </c>
      <c r="E194" s="45">
        <f t="shared" si="2"/>
        <v>0</v>
      </c>
      <c r="F194" s="42">
        <f t="shared" si="3"/>
        <v>0</v>
      </c>
      <c r="G194" s="73">
        <v>0.0</v>
      </c>
      <c r="H194" s="73">
        <v>0.0</v>
      </c>
      <c r="I194" s="53" t="str">
        <f>HYPERLINK("https://www.facebook.com/mic.gov.sl/photos/a.310063372915015/610756979512318/?type=3&amp;theater","Source")</f>
        <v>Source</v>
      </c>
      <c r="J194" s="29"/>
      <c r="K194" s="30"/>
      <c r="L194" s="58">
        <v>11.0</v>
      </c>
      <c r="M194" s="58">
        <v>0.0</v>
      </c>
      <c r="N194" s="31"/>
      <c r="O194" s="31"/>
      <c r="P194" s="31"/>
    </row>
    <row r="195" ht="30.0" customHeight="1">
      <c r="A195" s="37" t="s">
        <v>423</v>
      </c>
      <c r="B195" s="58">
        <v>10.0</v>
      </c>
      <c r="C195" s="41">
        <f t="shared" si="1"/>
        <v>0</v>
      </c>
      <c r="D195" s="58">
        <v>1.0</v>
      </c>
      <c r="E195" s="45">
        <f t="shared" si="2"/>
        <v>0</v>
      </c>
      <c r="F195" s="42">
        <f t="shared" si="3"/>
        <v>0.1</v>
      </c>
      <c r="G195" s="73" t="s">
        <v>26</v>
      </c>
      <c r="H195" s="73">
        <v>6.0</v>
      </c>
      <c r="I195" s="53" t="str">
        <f>HYPERLINK("https://covid-19.sr/","Source")</f>
        <v>Source</v>
      </c>
      <c r="J195" s="29"/>
      <c r="K195" s="30"/>
      <c r="L195" s="58">
        <v>10.0</v>
      </c>
      <c r="M195" s="58">
        <v>1.0</v>
      </c>
      <c r="N195" s="31"/>
      <c r="O195" s="31"/>
      <c r="P195" s="31"/>
    </row>
    <row r="196" ht="30.0" customHeight="1">
      <c r="A196" s="37" t="s">
        <v>424</v>
      </c>
      <c r="B196" s="58">
        <v>10.0</v>
      </c>
      <c r="C196" s="41">
        <f t="shared" si="1"/>
        <v>0</v>
      </c>
      <c r="D196" s="58">
        <v>1.0</v>
      </c>
      <c r="E196" s="45">
        <f t="shared" si="2"/>
        <v>0</v>
      </c>
      <c r="F196" s="59">
        <f t="shared" si="3"/>
        <v>0.1</v>
      </c>
      <c r="G196" s="73" t="s">
        <v>26</v>
      </c>
      <c r="H196" s="73">
        <v>0.0</v>
      </c>
      <c r="I196" s="53" t="str">
        <f>HYPERLINK("https://gov.tc/moh/coronavirus/covid-dashboard/106-tci-covid-19-dashboard-april-13-2020","Source")</f>
        <v>Source</v>
      </c>
      <c r="J196" s="29"/>
      <c r="K196" s="49" t="s">
        <v>19</v>
      </c>
      <c r="L196" s="58">
        <v>10.0</v>
      </c>
      <c r="M196" s="58">
        <v>1.0</v>
      </c>
      <c r="N196" s="31"/>
      <c r="O196" s="31"/>
      <c r="P196" s="31"/>
    </row>
    <row r="197" ht="30.0" customHeight="1">
      <c r="A197" s="37" t="s">
        <v>425</v>
      </c>
      <c r="B197" s="58">
        <v>9.0</v>
      </c>
      <c r="C197" s="41">
        <f t="shared" si="1"/>
        <v>0</v>
      </c>
      <c r="D197" s="58">
        <v>1.0</v>
      </c>
      <c r="E197" s="45">
        <f t="shared" si="2"/>
        <v>0</v>
      </c>
      <c r="F197" s="42">
        <f t="shared" si="3"/>
        <v>0.1111111111</v>
      </c>
      <c r="G197" s="73" t="s">
        <v>26</v>
      </c>
      <c r="H197" s="73">
        <v>2.0</v>
      </c>
      <c r="I197" s="53" t="str">
        <f>HYPERLINK("https://twitter.com/MohGambia/status/1250133571639050241","Source")</f>
        <v>Source</v>
      </c>
      <c r="J197" s="29"/>
      <c r="K197" s="49" t="s">
        <v>19</v>
      </c>
      <c r="L197" s="58">
        <v>9.0</v>
      </c>
      <c r="M197" s="58">
        <v>1.0</v>
      </c>
      <c r="N197" s="31"/>
      <c r="O197" s="31"/>
      <c r="P197" s="31"/>
    </row>
    <row r="198" ht="30.0" customHeight="1">
      <c r="A198" s="37" t="s">
        <v>360</v>
      </c>
      <c r="B198" s="58">
        <v>9.0</v>
      </c>
      <c r="C198" s="41">
        <f t="shared" si="1"/>
        <v>0</v>
      </c>
      <c r="D198" s="58">
        <v>1.0</v>
      </c>
      <c r="E198" s="45">
        <f t="shared" si="2"/>
        <v>0</v>
      </c>
      <c r="F198" s="42">
        <f t="shared" si="3"/>
        <v>0.1111111111</v>
      </c>
      <c r="G198" s="73">
        <v>3.0</v>
      </c>
      <c r="H198" s="73">
        <v>4.0</v>
      </c>
      <c r="I198" s="53" t="str">
        <f>HYPERLINK("https://www.laprensa.com.ni/2020/04/11/nacionales/2661565-nicaragua-reporta-el-noveno-caso-de-covid-19-en-el-pais","Source")</f>
        <v>Source</v>
      </c>
      <c r="J198" s="29"/>
      <c r="K198" s="30"/>
      <c r="L198" s="58">
        <v>9.0</v>
      </c>
      <c r="M198" s="58">
        <v>1.0</v>
      </c>
      <c r="N198" s="31"/>
      <c r="O198" s="31"/>
      <c r="P198" s="31"/>
    </row>
    <row r="199" ht="27.75" customHeight="1">
      <c r="A199" s="37" t="s">
        <v>426</v>
      </c>
      <c r="B199" s="193">
        <v>8.0</v>
      </c>
      <c r="C199" s="194">
        <f t="shared" si="1"/>
        <v>0</v>
      </c>
      <c r="D199" s="195">
        <v>0.0</v>
      </c>
      <c r="E199" s="196">
        <f t="shared" si="2"/>
        <v>0</v>
      </c>
      <c r="F199" s="42">
        <f t="shared" si="3"/>
        <v>0</v>
      </c>
      <c r="G199" s="73" t="s">
        <v>26</v>
      </c>
      <c r="H199" s="73">
        <v>2.0</v>
      </c>
      <c r="I199" s="53" t="str">
        <f>HYPERLINK("https://www.vaticannews.va/en/vatican-city/news/2020-04/vatican-coronavirus-8-cases-press-office-bruni.html","Source")</f>
        <v>Source</v>
      </c>
      <c r="J199" s="29"/>
      <c r="K199" s="30"/>
      <c r="L199" s="193">
        <v>8.0</v>
      </c>
      <c r="M199" s="195">
        <v>0.0</v>
      </c>
      <c r="N199" s="31"/>
      <c r="O199" s="32"/>
      <c r="P199" s="31"/>
    </row>
    <row r="200" ht="30.0" customHeight="1">
      <c r="A200" s="37" t="s">
        <v>427</v>
      </c>
      <c r="B200" s="58">
        <v>7.0</v>
      </c>
      <c r="C200" s="41">
        <f t="shared" si="1"/>
        <v>0</v>
      </c>
      <c r="D200" s="58">
        <v>1.0</v>
      </c>
      <c r="E200" s="45">
        <f t="shared" si="2"/>
        <v>0</v>
      </c>
      <c r="F200" s="59">
        <f t="shared" si="3"/>
        <v>0.1428571429</v>
      </c>
      <c r="G200" s="73">
        <v>0.0</v>
      </c>
      <c r="H200" s="73">
        <v>2.0</v>
      </c>
      <c r="I200" s="53" t="str">
        <f>HYPERLINK("http://www.sante.gov.mr/?p=3924","Source")</f>
        <v>Source</v>
      </c>
      <c r="J200" s="29"/>
      <c r="K200" s="30"/>
      <c r="L200" s="58">
        <v>7.0</v>
      </c>
      <c r="M200" s="58">
        <v>1.0</v>
      </c>
      <c r="N200" s="31"/>
      <c r="O200" s="31"/>
      <c r="P200" s="31"/>
    </row>
    <row r="201" ht="30.0" customHeight="1">
      <c r="A201" s="37" t="s">
        <v>428</v>
      </c>
      <c r="B201" s="58">
        <v>6.0</v>
      </c>
      <c r="C201" s="41">
        <v>0.0</v>
      </c>
      <c r="D201" s="58">
        <v>0.0</v>
      </c>
      <c r="E201" s="45">
        <f t="shared" si="2"/>
        <v>0</v>
      </c>
      <c r="F201" s="59">
        <f t="shared" si="3"/>
        <v>0</v>
      </c>
      <c r="G201" s="73" t="s">
        <v>26</v>
      </c>
      <c r="H201" s="73">
        <v>4.0</v>
      </c>
      <c r="I201" s="53" t="str">
        <f>HYPERLINK("https://www.journaldesaintbarth.com/actualites/conseil-territorial/lobjectif-cest-de-rassurer-la-population-et-obtenir-la-levee-du-confinement--202004042028.html","Source")</f>
        <v>Source</v>
      </c>
      <c r="J201" s="29"/>
      <c r="K201" s="30"/>
      <c r="L201" s="58">
        <v>6.0</v>
      </c>
      <c r="M201" s="58">
        <v>0.0</v>
      </c>
      <c r="N201" s="31"/>
      <c r="O201" s="31"/>
      <c r="P201" s="31"/>
    </row>
    <row r="202" ht="30.0" customHeight="1">
      <c r="A202" s="37" t="s">
        <v>429</v>
      </c>
      <c r="B202" s="58">
        <v>6.0</v>
      </c>
      <c r="C202" s="41">
        <f t="shared" ref="C202:C211" si="4">MINUS(B202,L202)</f>
        <v>0</v>
      </c>
      <c r="D202" s="58">
        <v>0.0</v>
      </c>
      <c r="E202" s="45">
        <f t="shared" si="2"/>
        <v>0</v>
      </c>
      <c r="F202" s="59">
        <f t="shared" si="3"/>
        <v>0</v>
      </c>
      <c r="G202" s="73" t="s">
        <v>26</v>
      </c>
      <c r="H202" s="73">
        <v>1.0</v>
      </c>
      <c r="I202" s="53" t="str">
        <f>HYPERLINK("http://www.tatoli.tl/en/2020/04/14/two-more-students-test-positive-for-covid-19-as-hotel-katuas-cases-grow/","Source")</f>
        <v>Source</v>
      </c>
      <c r="J202" s="29"/>
      <c r="K202" s="30"/>
      <c r="L202" s="58">
        <v>6.0</v>
      </c>
      <c r="M202" s="58">
        <v>0.0</v>
      </c>
      <c r="N202" s="31"/>
      <c r="O202" s="31"/>
      <c r="P202" s="31"/>
    </row>
    <row r="203" ht="30.0" customHeight="1">
      <c r="A203" s="37" t="s">
        <v>430</v>
      </c>
      <c r="B203" s="58">
        <v>5.0</v>
      </c>
      <c r="C203" s="41">
        <f t="shared" si="4"/>
        <v>0</v>
      </c>
      <c r="D203" s="58">
        <v>1.0</v>
      </c>
      <c r="E203" s="45">
        <f t="shared" si="2"/>
        <v>0</v>
      </c>
      <c r="F203" s="42">
        <f t="shared" si="3"/>
        <v>0.2</v>
      </c>
      <c r="G203" s="73">
        <v>1.0</v>
      </c>
      <c r="H203" s="73" t="s">
        <v>26</v>
      </c>
      <c r="I203" s="53" t="str">
        <f>HYPERLINK("https://twitter.com/mspls_bdi/status/1249703226087268352","Source")</f>
        <v>Source</v>
      </c>
      <c r="J203" s="29"/>
      <c r="K203" s="30"/>
      <c r="L203" s="58">
        <v>5.0</v>
      </c>
      <c r="M203" s="58">
        <v>1.0</v>
      </c>
      <c r="N203" s="31"/>
      <c r="O203" s="31"/>
      <c r="P203" s="31"/>
    </row>
    <row r="204" ht="27.75" customHeight="1">
      <c r="A204" s="37" t="s">
        <v>431</v>
      </c>
      <c r="B204" s="58">
        <v>5.0</v>
      </c>
      <c r="C204" s="194">
        <f t="shared" si="4"/>
        <v>0</v>
      </c>
      <c r="D204" s="58">
        <v>0.0</v>
      </c>
      <c r="E204" s="45">
        <f t="shared" si="2"/>
        <v>0</v>
      </c>
      <c r="F204" s="59">
        <f t="shared" si="3"/>
        <v>0</v>
      </c>
      <c r="G204" s="73" t="s">
        <v>26</v>
      </c>
      <c r="H204" s="73">
        <v>2.0</v>
      </c>
      <c r="I204" s="53" t="str">
        <f>HYPERLINK("http://www.bbs.bt/news/?p=130632","Source")</f>
        <v>Source</v>
      </c>
      <c r="J204" s="29"/>
      <c r="K204" s="30"/>
      <c r="L204" s="58">
        <v>5.0</v>
      </c>
      <c r="M204" s="58">
        <v>0.0</v>
      </c>
      <c r="N204" s="31"/>
      <c r="O204" s="31"/>
      <c r="P204" s="31"/>
    </row>
    <row r="205" ht="30.0" customHeight="1">
      <c r="A205" s="37" t="s">
        <v>432</v>
      </c>
      <c r="B205" s="58">
        <v>4.0</v>
      </c>
      <c r="C205" s="41">
        <f t="shared" si="4"/>
        <v>0</v>
      </c>
      <c r="D205" s="58">
        <v>0.0</v>
      </c>
      <c r="E205" s="45">
        <f t="shared" si="2"/>
        <v>0</v>
      </c>
      <c r="F205" s="59">
        <f t="shared" si="3"/>
        <v>0</v>
      </c>
      <c r="G205" s="73" t="s">
        <v>26</v>
      </c>
      <c r="H205" s="73" t="s">
        <v>26</v>
      </c>
      <c r="I205" s="53" t="str">
        <f>HYPERLINK("http://www.china.org.cn/world/Off_the_Wire/2020-04/10/content_75917985.htm","Source")</f>
        <v>Source</v>
      </c>
      <c r="J205" s="29"/>
      <c r="K205" s="30"/>
      <c r="L205" s="58">
        <v>4.0</v>
      </c>
      <c r="M205" s="58">
        <v>0.0</v>
      </c>
      <c r="N205" s="31"/>
      <c r="O205" s="31"/>
      <c r="P205" s="31"/>
    </row>
    <row r="206" ht="30.0" customHeight="1">
      <c r="A206" s="37" t="s">
        <v>260</v>
      </c>
      <c r="B206" s="58">
        <v>4.0</v>
      </c>
      <c r="C206" s="41">
        <f t="shared" si="4"/>
        <v>0</v>
      </c>
      <c r="D206" s="58">
        <v>0.0</v>
      </c>
      <c r="E206" s="45">
        <f t="shared" si="2"/>
        <v>0</v>
      </c>
      <c r="F206" s="59">
        <f t="shared" si="3"/>
        <v>0</v>
      </c>
      <c r="G206" s="73" t="s">
        <v>26</v>
      </c>
      <c r="H206" s="73" t="s">
        <v>26</v>
      </c>
      <c r="I206" s="53" t="str">
        <f>HYPERLINK("https://fr.africanews.com/2020/04/08/coronavirus-sao-tome-et-principe-annonce-ses-premiers-cas/?utm_term=Autofeed&amp;utm_medium=AfricanewsFR&amp;utm_source=Twitter#Echobox=1586333344","Source")</f>
        <v>Source</v>
      </c>
      <c r="J206" s="29"/>
      <c r="K206" s="30"/>
      <c r="L206" s="58">
        <v>4.0</v>
      </c>
      <c r="M206" s="58">
        <v>0.0</v>
      </c>
      <c r="N206" s="31"/>
      <c r="O206" s="31"/>
      <c r="P206" s="31"/>
    </row>
    <row r="207" ht="30.0" customHeight="1">
      <c r="A207" s="37" t="s">
        <v>433</v>
      </c>
      <c r="B207" s="58">
        <v>3.0</v>
      </c>
      <c r="C207" s="41">
        <f t="shared" si="4"/>
        <v>0</v>
      </c>
      <c r="D207" s="58">
        <v>0.0</v>
      </c>
      <c r="E207" s="45">
        <f t="shared" si="2"/>
        <v>0</v>
      </c>
      <c r="F207" s="42">
        <f t="shared" si="3"/>
        <v>0</v>
      </c>
      <c r="G207" s="73" t="s">
        <v>26</v>
      </c>
      <c r="H207" s="73">
        <v>0.0</v>
      </c>
      <c r="I207" s="53" t="str">
        <f>HYPERLINK("https://bvi.gov.vg/covid-19","Source")</f>
        <v>Source</v>
      </c>
      <c r="J207" s="29"/>
      <c r="K207" s="30"/>
      <c r="L207" s="58">
        <v>3.0</v>
      </c>
      <c r="M207" s="58">
        <v>0.0</v>
      </c>
      <c r="N207" s="31"/>
      <c r="O207" s="31"/>
      <c r="P207" s="31"/>
    </row>
    <row r="208" ht="30.0" customHeight="1">
      <c r="A208" s="37" t="s">
        <v>434</v>
      </c>
      <c r="B208" s="58">
        <v>3.0</v>
      </c>
      <c r="C208" s="41">
        <f t="shared" si="4"/>
        <v>0</v>
      </c>
      <c r="D208" s="58">
        <v>0.0</v>
      </c>
      <c r="E208" s="45">
        <f t="shared" si="2"/>
        <v>0</v>
      </c>
      <c r="F208" s="42">
        <f t="shared" si="3"/>
        <v>0</v>
      </c>
      <c r="G208" s="73" t="s">
        <v>26</v>
      </c>
      <c r="H208" s="73">
        <v>1.0</v>
      </c>
      <c r="I208" s="53" t="str">
        <f>HYPERLINK("https://www.facebook.com/theanguillian/posts/2318012701635228?__xts__[0]=68.ARDM8I-4_nCY6LR_56q5c4X3F2sFtytd1mlUuCIEOabsovm49wNbfZ5Z1LLhpQHHrLt3JYDzvf55V7NtBNLXeQvCoxWCdQMhwDivzDNbwkt7ZGQYmnnUP4h1-3cWcdaDKqgvQm-l5TFdhZkTFCB1x_oKCNv_OuzQx2MbE5vmvo8_ioarp1_"&amp;"vUJiLFBRodeWbQ2rXi8YsjpkEBzhaeQM5P9bRwVvepVQdWMomgyorCeE7ymlKlSuZZWYYKpVKz-s0QG2OLQLwPSF51mzcWoGXoAO1E__9P3EBH1K1qBh_8NHCzyEYtKSslh6KEftq9eHioW0pllq-j9GWKSzqaseKugdeUg&amp;__tn__=-R","Source")</f>
        <v>Source</v>
      </c>
      <c r="J208" s="29"/>
      <c r="K208" s="30"/>
      <c r="L208" s="58">
        <v>3.0</v>
      </c>
      <c r="M208" s="58">
        <v>0.0</v>
      </c>
      <c r="N208" s="31"/>
      <c r="O208" s="31"/>
      <c r="P208" s="31"/>
    </row>
    <row r="209" ht="30.0" customHeight="1">
      <c r="A209" s="197" t="s">
        <v>435</v>
      </c>
      <c r="B209" s="198">
        <v>2.0</v>
      </c>
      <c r="C209" s="41">
        <f t="shared" si="4"/>
        <v>0</v>
      </c>
      <c r="D209" s="198">
        <v>0.0</v>
      </c>
      <c r="E209" s="45">
        <f t="shared" si="2"/>
        <v>0</v>
      </c>
      <c r="F209" s="199">
        <f t="shared" si="3"/>
        <v>0</v>
      </c>
      <c r="G209" s="200" t="s">
        <v>26</v>
      </c>
      <c r="H209" s="200">
        <v>0.0</v>
      </c>
      <c r="I209" s="201" t="str">
        <f>HYPERLINK("https://postcourier.com.pg/resident-in-kokopo-tests-positive-to-covid-19/","Source")</f>
        <v>Source</v>
      </c>
      <c r="J209" s="202"/>
      <c r="K209" s="203"/>
      <c r="L209" s="198">
        <v>2.0</v>
      </c>
      <c r="M209" s="198">
        <v>0.0</v>
      </c>
      <c r="N209" s="202"/>
      <c r="O209" s="202"/>
      <c r="P209" s="202"/>
    </row>
    <row r="210" ht="30.0" customHeight="1">
      <c r="A210" s="197" t="s">
        <v>436</v>
      </c>
      <c r="B210" s="198">
        <v>1.0</v>
      </c>
      <c r="C210" s="41">
        <f t="shared" si="4"/>
        <v>0</v>
      </c>
      <c r="D210" s="198">
        <v>0.0</v>
      </c>
      <c r="E210" s="45">
        <f t="shared" si="2"/>
        <v>0</v>
      </c>
      <c r="F210" s="199">
        <f t="shared" si="3"/>
        <v>0</v>
      </c>
      <c r="G210" s="200" t="s">
        <v>26</v>
      </c>
      <c r="H210" s="73" t="s">
        <v>26</v>
      </c>
      <c r="I210" s="201" t="str">
        <f>HYPERLINK("https://twitter.com/YSNECCOVID19/status/1248460614323695616","Source")</f>
        <v>Source</v>
      </c>
      <c r="J210" s="202"/>
      <c r="K210" s="203"/>
      <c r="L210" s="198">
        <v>1.0</v>
      </c>
      <c r="M210" s="198">
        <v>0.0</v>
      </c>
      <c r="N210" s="202"/>
      <c r="O210" s="202"/>
      <c r="P210" s="202"/>
    </row>
    <row r="211" ht="12.75" customHeight="1">
      <c r="A211" s="204" t="s">
        <v>437</v>
      </c>
      <c r="B211" s="205"/>
      <c r="C211" s="206">
        <f t="shared" si="4"/>
        <v>0</v>
      </c>
      <c r="D211" s="205"/>
      <c r="E211" s="207">
        <f t="shared" si="2"/>
        <v>0</v>
      </c>
      <c r="F211" s="208"/>
      <c r="G211" s="208"/>
      <c r="H211" s="208"/>
      <c r="I211" s="209"/>
      <c r="J211" s="57"/>
      <c r="K211" s="210"/>
      <c r="L211" s="205"/>
      <c r="M211" s="205"/>
      <c r="N211" s="57"/>
      <c r="O211" s="205">
        <v>1429.0</v>
      </c>
      <c r="P211" s="205">
        <v>0.0</v>
      </c>
    </row>
    <row r="212" ht="30.0" customHeight="1">
      <c r="A212" s="211" t="s">
        <v>61</v>
      </c>
      <c r="B212" s="212">
        <f>sum(B7:B211, O211)</f>
        <v>2085420</v>
      </c>
      <c r="C212" s="213">
        <f>SUM(C7:C211)</f>
        <v>119028</v>
      </c>
      <c r="D212" s="214">
        <f>sum(D7:D211, P211)</f>
        <v>138435</v>
      </c>
      <c r="E212" s="215">
        <f>SUM(E7:E211)</f>
        <v>36838</v>
      </c>
      <c r="F212" s="216">
        <f>DIVIDE(D212, B212)</f>
        <v>0.06638231148</v>
      </c>
      <c r="G212" s="217">
        <f t="shared" ref="G212:H212" si="5">sum(G7:G210)</f>
        <v>41290</v>
      </c>
      <c r="H212" s="218">
        <f t="shared" si="5"/>
        <v>508268</v>
      </c>
      <c r="I212" s="219"/>
      <c r="J212" s="29"/>
      <c r="K212" s="30"/>
      <c r="L212" s="212">
        <f>sum(L7:L211, Y211)</f>
        <v>1964963</v>
      </c>
      <c r="M212" s="220">
        <f>sum(M7:M211, Y211)</f>
        <v>101597</v>
      </c>
      <c r="N212" s="31"/>
      <c r="O212" s="31"/>
      <c r="P212" s="31"/>
    </row>
    <row r="213" ht="30.0" customHeight="1">
      <c r="A213" s="221"/>
      <c r="B213" s="222" t="s">
        <v>7</v>
      </c>
      <c r="C213" s="223" t="s">
        <v>9</v>
      </c>
      <c r="D213" s="224" t="s">
        <v>10</v>
      </c>
      <c r="E213" s="225" t="s">
        <v>11</v>
      </c>
      <c r="F213" s="225" t="s">
        <v>191</v>
      </c>
      <c r="G213" s="226" t="s">
        <v>13</v>
      </c>
      <c r="H213" s="227" t="s">
        <v>14</v>
      </c>
      <c r="I213" s="222"/>
      <c r="J213" s="183"/>
      <c r="K213" s="228"/>
      <c r="L213" s="222" t="s">
        <v>7</v>
      </c>
      <c r="M213" s="224" t="s">
        <v>10</v>
      </c>
      <c r="N213" s="183"/>
      <c r="O213" s="183"/>
      <c r="P213" s="183"/>
    </row>
  </sheetData>
  <mergeCells count="4">
    <mergeCell ref="C3:D3"/>
    <mergeCell ref="E3:G3"/>
    <mergeCell ref="C4:D4"/>
    <mergeCell ref="E4:F4"/>
  </mergeCells>
  <drawing r:id="rId2"/>
  <legacyDrawing r:id="rId3"/>
  <tableParts count="3"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11.43"/>
    <col customWidth="1" min="3" max="3" width="9.43"/>
    <col customWidth="1" min="4" max="4" width="8.43"/>
    <col customWidth="1" min="5" max="5" width="9.86"/>
    <col customWidth="1" min="6" max="7" width="9.71"/>
    <col customWidth="1" min="8" max="8" width="12.43"/>
    <col customWidth="1" min="9" max="9" width="11.14"/>
    <col customWidth="1" min="10" max="10" width="0.86"/>
    <col customWidth="1" min="12" max="12" width="11.43"/>
    <col customWidth="1" min="13" max="13" width="8.43"/>
    <col customWidth="1" min="14" max="14" width="3.71"/>
  </cols>
  <sheetData>
    <row r="1" ht="27.75" customHeight="1">
      <c r="A1" s="1" t="s">
        <v>0</v>
      </c>
      <c r="I1" s="1"/>
      <c r="J1" s="9"/>
      <c r="K1" s="9"/>
      <c r="N1" s="9"/>
    </row>
    <row r="2">
      <c r="A2" s="4" t="s">
        <v>1</v>
      </c>
      <c r="B2" s="4" t="s">
        <v>2</v>
      </c>
      <c r="C2" s="5" t="s">
        <v>3</v>
      </c>
      <c r="D2" s="4"/>
      <c r="E2" s="8" t="s">
        <v>4</v>
      </c>
      <c r="H2" s="6"/>
      <c r="I2" s="7"/>
      <c r="J2" s="9"/>
      <c r="K2" s="9"/>
      <c r="L2" s="4" t="s">
        <v>2</v>
      </c>
      <c r="M2" s="4"/>
      <c r="N2" s="9"/>
    </row>
    <row r="3">
      <c r="A3" s="13">
        <f>SUM(B68, B70)</f>
        <v>644560</v>
      </c>
      <c r="B3" s="13">
        <f>SUM(D68, D70)</f>
        <v>32429</v>
      </c>
      <c r="C3" s="14">
        <f>SUM(H68, H70)</f>
        <v>36444</v>
      </c>
      <c r="D3" s="13"/>
      <c r="E3" s="16">
        <f>MINUS(A3,B3 + C3)</f>
        <v>575687</v>
      </c>
      <c r="F3" s="16"/>
      <c r="G3" s="5"/>
      <c r="H3" s="6"/>
      <c r="I3" s="7"/>
      <c r="J3" s="9"/>
      <c r="K3" s="9"/>
      <c r="L3" s="13">
        <f>SUM(N68, N70)</f>
        <v>0</v>
      </c>
      <c r="M3" s="13"/>
      <c r="N3" s="9"/>
    </row>
    <row r="4">
      <c r="A4" s="18"/>
      <c r="B4" s="7"/>
      <c r="C4" s="7"/>
      <c r="D4" s="7"/>
      <c r="E4" s="7"/>
      <c r="F4" s="6"/>
      <c r="G4" s="6"/>
      <c r="H4" s="6"/>
      <c r="I4" s="7"/>
      <c r="J4" s="9"/>
      <c r="K4" s="9"/>
      <c r="L4" s="7"/>
      <c r="M4" s="7"/>
      <c r="N4" s="9"/>
    </row>
    <row r="5" ht="30.0" customHeight="1">
      <c r="A5" s="21" t="s">
        <v>5</v>
      </c>
      <c r="B5" s="23" t="s">
        <v>7</v>
      </c>
      <c r="C5" s="25" t="s">
        <v>9</v>
      </c>
      <c r="D5" s="23" t="s">
        <v>10</v>
      </c>
      <c r="E5" s="26" t="s">
        <v>11</v>
      </c>
      <c r="F5" s="26" t="s">
        <v>12</v>
      </c>
      <c r="G5" s="27" t="s">
        <v>13</v>
      </c>
      <c r="H5" s="27" t="s">
        <v>14</v>
      </c>
      <c r="I5" s="23" t="s">
        <v>15</v>
      </c>
      <c r="J5" s="29"/>
      <c r="K5" s="29"/>
      <c r="L5" s="23" t="s">
        <v>7</v>
      </c>
      <c r="M5" s="23" t="s">
        <v>10</v>
      </c>
      <c r="N5" s="29"/>
    </row>
    <row r="6" ht="30.0" customHeight="1">
      <c r="A6" s="34" t="s">
        <v>18</v>
      </c>
      <c r="B6" s="36">
        <v>213779.0</v>
      </c>
      <c r="C6" s="38">
        <f t="shared" ref="C6:C66" si="1">MINUS(B6,L6)</f>
        <v>11571</v>
      </c>
      <c r="D6" s="36">
        <v>15645.0</v>
      </c>
      <c r="E6" s="40">
        <f t="shared" ref="E6:E66" si="2">MINUS(D6,M6)</f>
        <v>818</v>
      </c>
      <c r="F6" s="42">
        <f t="shared" ref="F6:F65" si="3">DIVIDE(D6, B6)</f>
        <v>0.07318305353</v>
      </c>
      <c r="G6" s="43">
        <v>4504.0</v>
      </c>
      <c r="H6" s="43">
        <v>13366.0</v>
      </c>
      <c r="I6" s="46" t="str">
        <f>HYPERLINK("https://twitter.com/NYGovCuomo/status/1250084973341577216","Source")</f>
        <v>Source</v>
      </c>
      <c r="J6" s="47"/>
      <c r="K6" s="49" t="s">
        <v>19</v>
      </c>
      <c r="L6" s="36">
        <v>202208.0</v>
      </c>
      <c r="M6" s="36">
        <v>14827.0</v>
      </c>
      <c r="N6" s="29"/>
    </row>
    <row r="7" ht="27.75" customHeight="1">
      <c r="A7" s="52" t="s">
        <v>20</v>
      </c>
      <c r="B7" s="54">
        <v>71030.0</v>
      </c>
      <c r="C7" s="38">
        <f t="shared" si="1"/>
        <v>2206</v>
      </c>
      <c r="D7" s="54">
        <v>3156.0</v>
      </c>
      <c r="E7" s="40">
        <f t="shared" si="2"/>
        <v>351</v>
      </c>
      <c r="F7" s="59">
        <f t="shared" si="3"/>
        <v>0.04443193017</v>
      </c>
      <c r="G7" s="60">
        <v>1980.0</v>
      </c>
      <c r="H7" s="60">
        <v>4222.0</v>
      </c>
      <c r="I7" s="64" t="str">
        <f>HYPERLINK("https://www.nj.gov/health/cd/topics/covid2019_dashboard.shtml","Source")</f>
        <v>Source</v>
      </c>
      <c r="J7" s="66"/>
      <c r="K7" s="49" t="s">
        <v>19</v>
      </c>
      <c r="L7" s="54">
        <v>68824.0</v>
      </c>
      <c r="M7" s="54">
        <v>2805.0</v>
      </c>
      <c r="N7" s="49"/>
    </row>
    <row r="8" ht="27.75" customHeight="1">
      <c r="A8" s="52" t="s">
        <v>23</v>
      </c>
      <c r="B8" s="54">
        <v>29918.0</v>
      </c>
      <c r="C8" s="38">
        <f t="shared" si="1"/>
        <v>1755</v>
      </c>
      <c r="D8" s="68">
        <v>1108.0</v>
      </c>
      <c r="E8" s="63">
        <f t="shared" si="2"/>
        <v>151</v>
      </c>
      <c r="F8" s="59">
        <f t="shared" si="3"/>
        <v>0.03703456113</v>
      </c>
      <c r="G8" s="69" t="s">
        <v>26</v>
      </c>
      <c r="H8" s="69">
        <v>421.0</v>
      </c>
      <c r="I8" s="64" t="str">
        <f>HYPERLINK("https://www.mass.gov/doc/covid-19-cases-in-massachusetts-as-of-april-15-2020/download","Source")</f>
        <v>Source</v>
      </c>
      <c r="J8" s="66"/>
      <c r="K8" s="49" t="s">
        <v>19</v>
      </c>
      <c r="L8" s="54">
        <v>28163.0</v>
      </c>
      <c r="M8" s="68">
        <v>957.0</v>
      </c>
      <c r="N8" s="49"/>
    </row>
    <row r="9" ht="27.75" customHeight="1">
      <c r="A9" s="52" t="s">
        <v>28</v>
      </c>
      <c r="B9" s="54">
        <v>28059.0</v>
      </c>
      <c r="C9" s="38">
        <f t="shared" si="1"/>
        <v>1058</v>
      </c>
      <c r="D9" s="54">
        <v>1921.0</v>
      </c>
      <c r="E9" s="40">
        <f t="shared" si="2"/>
        <v>153</v>
      </c>
      <c r="F9" s="42">
        <f t="shared" si="3"/>
        <v>0.06846288178</v>
      </c>
      <c r="G9" s="69" t="s">
        <v>26</v>
      </c>
      <c r="H9" s="69">
        <v>433.0</v>
      </c>
      <c r="I9" s="64" t="str">
        <f>HYPERLINK("https://www.michigan.gov/coronavirus/0,9753,7-406-98163_98173---,00.html","Source")</f>
        <v>Source</v>
      </c>
      <c r="J9" s="66"/>
      <c r="K9" s="49" t="s">
        <v>19</v>
      </c>
      <c r="L9" s="54">
        <v>27001.0</v>
      </c>
      <c r="M9" s="54">
        <v>1768.0</v>
      </c>
      <c r="N9" s="49"/>
    </row>
    <row r="10" ht="30.0" customHeight="1">
      <c r="A10" s="33" t="s">
        <v>30</v>
      </c>
      <c r="B10" s="35">
        <v>27079.0</v>
      </c>
      <c r="C10" s="38">
        <f t="shared" si="1"/>
        <v>1337</v>
      </c>
      <c r="D10" s="61">
        <v>879.0</v>
      </c>
      <c r="E10" s="63">
        <f t="shared" si="2"/>
        <v>90</v>
      </c>
      <c r="F10" s="59">
        <f t="shared" si="3"/>
        <v>0.03246057831</v>
      </c>
      <c r="G10" s="60" t="s">
        <v>26</v>
      </c>
      <c r="H10" s="44">
        <v>1935.0</v>
      </c>
      <c r="I10" s="51" t="str">
        <f>HYPERLINK("https://projects.sfchronicle.com/2020/coronavirus-map/","Source")</f>
        <v>Source</v>
      </c>
      <c r="J10" s="67"/>
      <c r="K10" s="49" t="s">
        <v>32</v>
      </c>
      <c r="L10" s="35">
        <v>25742.0</v>
      </c>
      <c r="M10" s="61">
        <v>789.0</v>
      </c>
      <c r="N10" s="49"/>
    </row>
    <row r="11" ht="27.75" customHeight="1">
      <c r="A11" s="52" t="s">
        <v>34</v>
      </c>
      <c r="B11" s="54">
        <v>26584.0</v>
      </c>
      <c r="C11" s="38">
        <f t="shared" si="1"/>
        <v>1230</v>
      </c>
      <c r="D11" s="68">
        <v>647.0</v>
      </c>
      <c r="E11" s="63">
        <f t="shared" si="2"/>
        <v>63</v>
      </c>
      <c r="F11" s="59">
        <f t="shared" si="3"/>
        <v>0.02433794764</v>
      </c>
      <c r="G11" s="69" t="s">
        <v>26</v>
      </c>
      <c r="H11" s="69">
        <v>404.0</v>
      </c>
      <c r="I11" s="64" t="str">
        <f>HYPERLINK("https://public.flourish.studio/visualisation/1658682/?utm_source=embed&amp;utm_campaign=visualisation/1658682","Source")</f>
        <v>Source</v>
      </c>
      <c r="J11" s="67"/>
      <c r="K11" s="49" t="s">
        <v>19</v>
      </c>
      <c r="L11" s="54">
        <v>25354.0</v>
      </c>
      <c r="M11" s="68">
        <v>584.0</v>
      </c>
      <c r="N11" s="49"/>
    </row>
    <row r="12" ht="27.75" customHeight="1">
      <c r="A12" s="52" t="s">
        <v>36</v>
      </c>
      <c r="B12" s="54">
        <v>24593.0</v>
      </c>
      <c r="C12" s="38">
        <f t="shared" si="1"/>
        <v>1346</v>
      </c>
      <c r="D12" s="68">
        <v>948.0</v>
      </c>
      <c r="E12" s="63">
        <f t="shared" si="2"/>
        <v>80</v>
      </c>
      <c r="F12" s="42">
        <f t="shared" si="3"/>
        <v>0.03854755418</v>
      </c>
      <c r="G12" s="69" t="s">
        <v>26</v>
      </c>
      <c r="H12" s="69">
        <v>100.0</v>
      </c>
      <c r="I12" s="64" t="str">
        <f>HYPERLINK("http://www.dph.illinois.gov/topics-services/diseases-and-conditions/diseases-a-z-list/coronavirus","Source")</f>
        <v>Source</v>
      </c>
      <c r="J12" s="66"/>
      <c r="K12" s="49" t="s">
        <v>19</v>
      </c>
      <c r="L12" s="54">
        <v>23247.0</v>
      </c>
      <c r="M12" s="68">
        <v>868.0</v>
      </c>
      <c r="N12" s="49"/>
    </row>
    <row r="13" ht="30.0" customHeight="1">
      <c r="A13" s="33" t="s">
        <v>39</v>
      </c>
      <c r="B13" s="35">
        <v>22519.0</v>
      </c>
      <c r="C13" s="38">
        <f t="shared" si="1"/>
        <v>891</v>
      </c>
      <c r="D13" s="61">
        <v>614.0</v>
      </c>
      <c r="E13" s="63">
        <f t="shared" si="2"/>
        <v>43</v>
      </c>
      <c r="F13" s="42">
        <f t="shared" si="3"/>
        <v>0.02726586438</v>
      </c>
      <c r="G13" s="69" t="s">
        <v>26</v>
      </c>
      <c r="H13" s="60">
        <v>1116.0</v>
      </c>
      <c r="I13" s="51" t="str">
        <f>HYPERLINK("https://experience.arcgis.com/experience/96dd742462124fa0b38ddedb9b25e429","Source")</f>
        <v>Source</v>
      </c>
      <c r="J13" s="67"/>
      <c r="K13" s="49" t="s">
        <v>40</v>
      </c>
      <c r="L13" s="35">
        <v>21628.0</v>
      </c>
      <c r="M13" s="61">
        <v>571.0</v>
      </c>
      <c r="N13" s="49"/>
    </row>
    <row r="14" ht="27.75" customHeight="1">
      <c r="A14" s="52" t="s">
        <v>41</v>
      </c>
      <c r="B14" s="54">
        <v>21951.0</v>
      </c>
      <c r="C14" s="38">
        <f t="shared" si="1"/>
        <v>433</v>
      </c>
      <c r="D14" s="54">
        <v>1103.0</v>
      </c>
      <c r="E14" s="40">
        <f t="shared" si="2"/>
        <v>90</v>
      </c>
      <c r="F14" s="42">
        <f t="shared" si="3"/>
        <v>0.05024828026</v>
      </c>
      <c r="G14" s="60">
        <v>425.0</v>
      </c>
      <c r="H14" s="69">
        <v>806.0</v>
      </c>
      <c r="I14" s="64" t="str">
        <f>HYPERLINK("http://ldh.la.gov/coronavirus/","Source")</f>
        <v>Source</v>
      </c>
      <c r="J14" s="66"/>
      <c r="K14" s="49" t="s">
        <v>19</v>
      </c>
      <c r="L14" s="54">
        <v>21518.0</v>
      </c>
      <c r="M14" s="54">
        <v>1013.0</v>
      </c>
      <c r="N14" s="29"/>
    </row>
    <row r="15" ht="30.0" customHeight="1">
      <c r="A15" s="33" t="s">
        <v>44</v>
      </c>
      <c r="B15" s="35">
        <v>16166.0</v>
      </c>
      <c r="C15" s="38">
        <f t="shared" si="1"/>
        <v>1001</v>
      </c>
      <c r="D15" s="61">
        <v>387.0</v>
      </c>
      <c r="E15" s="63">
        <f t="shared" si="2"/>
        <v>34</v>
      </c>
      <c r="F15" s="59">
        <f t="shared" si="3"/>
        <v>0.02393913151</v>
      </c>
      <c r="G15" s="48" t="s">
        <v>26</v>
      </c>
      <c r="H15" s="60">
        <v>3150.0</v>
      </c>
      <c r="I15" s="51" t="str">
        <f>HYPERLINK("https://www.houstonchronicle.com/coronavirus/article/texas-coronavirus-map-cases-houston-covid-19-15137466.php","Source")</f>
        <v>Source</v>
      </c>
      <c r="J15" s="67"/>
      <c r="K15" s="49" t="s">
        <v>47</v>
      </c>
      <c r="L15" s="35">
        <v>15165.0</v>
      </c>
      <c r="M15" s="61">
        <v>353.0</v>
      </c>
      <c r="N15" s="29"/>
    </row>
    <row r="16" ht="30.0" customHeight="1">
      <c r="A16" s="52" t="s">
        <v>48</v>
      </c>
      <c r="B16" s="54">
        <v>15260.0</v>
      </c>
      <c r="C16" s="38">
        <f t="shared" si="1"/>
        <v>682</v>
      </c>
      <c r="D16" s="68">
        <v>576.0</v>
      </c>
      <c r="E16" s="63">
        <f t="shared" si="2"/>
        <v>52</v>
      </c>
      <c r="F16" s="42">
        <f t="shared" si="3"/>
        <v>0.0377457405</v>
      </c>
      <c r="G16" s="69" t="s">
        <v>26</v>
      </c>
      <c r="H16" s="69" t="s">
        <v>26</v>
      </c>
      <c r="I16" s="64" t="str">
        <f>HYPERLINK("https://dph.georgia.gov/covid-19-daily-status-report","Source")</f>
        <v>Source</v>
      </c>
      <c r="J16" s="67"/>
      <c r="K16" s="49" t="s">
        <v>40</v>
      </c>
      <c r="L16" s="54">
        <v>14578.0</v>
      </c>
      <c r="M16" s="68">
        <v>524.0</v>
      </c>
      <c r="N16" s="49"/>
    </row>
    <row r="17" ht="27.75" customHeight="1">
      <c r="A17" s="52" t="s">
        <v>51</v>
      </c>
      <c r="B17" s="54">
        <v>14755.0</v>
      </c>
      <c r="C17" s="38">
        <f t="shared" si="1"/>
        <v>766</v>
      </c>
      <c r="D17" s="68">
        <v>868.0</v>
      </c>
      <c r="E17" s="63">
        <f t="shared" si="2"/>
        <v>197</v>
      </c>
      <c r="F17" s="42">
        <f t="shared" si="3"/>
        <v>0.0588275161</v>
      </c>
      <c r="G17" s="69" t="s">
        <v>26</v>
      </c>
      <c r="H17" s="69" t="s">
        <v>26</v>
      </c>
      <c r="I17" s="64" t="str">
        <f>HYPERLINK("https://portal.ct.gov/-/media/Coronavirus/CTDPHCOVID19summary4152020.pdf?la=en","Source")</f>
        <v>Source</v>
      </c>
      <c r="J17" s="66"/>
      <c r="K17" s="49" t="s">
        <v>19</v>
      </c>
      <c r="L17" s="54">
        <v>13989.0</v>
      </c>
      <c r="M17" s="68">
        <v>671.0</v>
      </c>
      <c r="N17" s="49"/>
    </row>
    <row r="18" ht="30.0" customHeight="1">
      <c r="A18" s="52" t="s">
        <v>54</v>
      </c>
      <c r="B18" s="54">
        <v>11235.0</v>
      </c>
      <c r="C18" s="38">
        <f t="shared" si="1"/>
        <v>81</v>
      </c>
      <c r="D18" s="68">
        <v>571.0</v>
      </c>
      <c r="E18" s="63">
        <f t="shared" si="2"/>
        <v>27</v>
      </c>
      <c r="F18" s="59">
        <f t="shared" si="3"/>
        <v>0.05082331998</v>
      </c>
      <c r="G18" s="69" t="s">
        <v>26</v>
      </c>
      <c r="H18" s="60">
        <v>1401.0</v>
      </c>
      <c r="I18" s="76"/>
      <c r="J18" s="29"/>
      <c r="K18" s="49" t="s">
        <v>19</v>
      </c>
      <c r="L18" s="54">
        <v>11154.0</v>
      </c>
      <c r="M18" s="68">
        <v>544.0</v>
      </c>
      <c r="N18" s="49"/>
    </row>
    <row r="19" ht="27.75" customHeight="1">
      <c r="A19" s="52" t="s">
        <v>58</v>
      </c>
      <c r="B19" s="54">
        <v>10032.0</v>
      </c>
      <c r="C19" s="38">
        <f t="shared" si="1"/>
        <v>560</v>
      </c>
      <c r="D19" s="68">
        <v>349.0</v>
      </c>
      <c r="E19" s="63">
        <f t="shared" si="2"/>
        <v>47</v>
      </c>
      <c r="F19" s="42">
        <f t="shared" si="3"/>
        <v>0.03478867624</v>
      </c>
      <c r="G19" s="44" t="s">
        <v>26</v>
      </c>
      <c r="H19" s="69">
        <v>607.0</v>
      </c>
      <c r="I19" s="64" t="str">
        <f>HYPERLINK("https://coronavirus.maryland.gov/","Source")</f>
        <v>Source</v>
      </c>
      <c r="J19" s="66"/>
      <c r="K19" s="49" t="s">
        <v>19</v>
      </c>
      <c r="L19" s="54">
        <v>9472.0</v>
      </c>
      <c r="M19" s="68">
        <v>302.0</v>
      </c>
      <c r="N19" s="49"/>
    </row>
    <row r="20" ht="30.0" customHeight="1">
      <c r="A20" s="33" t="s">
        <v>59</v>
      </c>
      <c r="B20" s="35">
        <v>8955.0</v>
      </c>
      <c r="C20" s="38">
        <f t="shared" si="1"/>
        <v>428</v>
      </c>
      <c r="D20" s="35">
        <v>436.0</v>
      </c>
      <c r="E20" s="40">
        <f t="shared" si="2"/>
        <v>49</v>
      </c>
      <c r="F20" s="59">
        <f t="shared" si="3"/>
        <v>0.04868788386</v>
      </c>
      <c r="G20" s="44" t="s">
        <v>26</v>
      </c>
      <c r="H20" s="69" t="s">
        <v>26</v>
      </c>
      <c r="I20" s="51" t="str">
        <f>HYPERLINK("https://twitter.com/StateHealthIN/status/1250455282578227202","Source")</f>
        <v>Source</v>
      </c>
      <c r="J20" s="66"/>
      <c r="K20" s="49" t="s">
        <v>19</v>
      </c>
      <c r="L20" s="35">
        <v>8527.0</v>
      </c>
      <c r="M20" s="35">
        <v>387.0</v>
      </c>
      <c r="N20" s="49"/>
    </row>
    <row r="21" ht="27.75" customHeight="1">
      <c r="A21" s="52" t="s">
        <v>62</v>
      </c>
      <c r="B21" s="54">
        <v>8280.0</v>
      </c>
      <c r="C21" s="38">
        <f t="shared" si="1"/>
        <v>339</v>
      </c>
      <c r="D21" s="68">
        <v>357.0</v>
      </c>
      <c r="E21" s="63">
        <f t="shared" si="2"/>
        <v>28</v>
      </c>
      <c r="F21" s="42">
        <f t="shared" si="3"/>
        <v>0.04311594203</v>
      </c>
      <c r="G21" s="69" t="s">
        <v>26</v>
      </c>
      <c r="H21" s="69" t="s">
        <v>26</v>
      </c>
      <c r="I21" s="64" t="str">
        <f>HYPERLINK("https://covid19.colorado.gov/case-data","Source")</f>
        <v>Source</v>
      </c>
      <c r="J21" s="66"/>
      <c r="K21" s="29"/>
      <c r="L21" s="54">
        <v>7941.0</v>
      </c>
      <c r="M21" s="68">
        <v>329.0</v>
      </c>
      <c r="N21" s="29"/>
    </row>
    <row r="22" ht="27.75" customHeight="1">
      <c r="A22" s="52" t="s">
        <v>64</v>
      </c>
      <c r="B22" s="54">
        <v>7791.0</v>
      </c>
      <c r="C22" s="38">
        <f t="shared" si="1"/>
        <v>511</v>
      </c>
      <c r="D22" s="68">
        <v>361.0</v>
      </c>
      <c r="E22" s="63">
        <f t="shared" si="2"/>
        <v>37</v>
      </c>
      <c r="F22" s="59">
        <f t="shared" si="3"/>
        <v>0.04633551534</v>
      </c>
      <c r="G22" s="69">
        <v>677.0</v>
      </c>
      <c r="H22" s="69" t="s">
        <v>26</v>
      </c>
      <c r="I22" s="64" t="str">
        <f>HYPERLINK("https://coronavirus.ohio.gov/wps/portal/gov/covid-19/home","Source")</f>
        <v>Source</v>
      </c>
      <c r="J22" s="66"/>
      <c r="K22" s="49" t="s">
        <v>19</v>
      </c>
      <c r="L22" s="54">
        <v>7280.0</v>
      </c>
      <c r="M22" s="68">
        <v>324.0</v>
      </c>
      <c r="N22" s="29"/>
    </row>
    <row r="23" ht="30.0" customHeight="1">
      <c r="A23" s="33" t="s">
        <v>66</v>
      </c>
      <c r="B23" s="35">
        <v>6500.0</v>
      </c>
      <c r="C23" s="38">
        <f t="shared" si="1"/>
        <v>329</v>
      </c>
      <c r="D23" s="35">
        <v>195.0</v>
      </c>
      <c r="E23" s="40">
        <f t="shared" si="2"/>
        <v>41</v>
      </c>
      <c r="F23" s="42">
        <f t="shared" si="3"/>
        <v>0.03</v>
      </c>
      <c r="G23" s="44" t="s">
        <v>26</v>
      </c>
      <c r="H23" s="69" t="s">
        <v>26</v>
      </c>
      <c r="I23" s="51" t="str">
        <f>HYPERLINK("http://www.vdh.virginia.gov/coronavirus/","Source")</f>
        <v>Source</v>
      </c>
      <c r="J23" s="66"/>
      <c r="K23" s="49" t="s">
        <v>19</v>
      </c>
      <c r="L23" s="35">
        <v>6171.0</v>
      </c>
      <c r="M23" s="35">
        <v>154.0</v>
      </c>
      <c r="N23" s="49"/>
    </row>
    <row r="24" ht="27.75" customHeight="1">
      <c r="A24" s="52" t="s">
        <v>69</v>
      </c>
      <c r="B24" s="54">
        <v>6079.0</v>
      </c>
      <c r="C24" s="38">
        <f t="shared" si="1"/>
        <v>256</v>
      </c>
      <c r="D24" s="68">
        <v>135.0</v>
      </c>
      <c r="E24" s="63">
        <f t="shared" si="2"/>
        <v>11</v>
      </c>
      <c r="F24" s="59">
        <f t="shared" si="3"/>
        <v>0.02220759993</v>
      </c>
      <c r="G24" s="69" t="s">
        <v>26</v>
      </c>
      <c r="H24" s="60">
        <v>2196.0</v>
      </c>
      <c r="I24" s="64" t="str">
        <f>HYPERLINK("https://twitter.com/TNDeptofHealth/status/1250499175415984129","Source")</f>
        <v>Source</v>
      </c>
      <c r="J24" s="66"/>
      <c r="K24" s="49" t="s">
        <v>19</v>
      </c>
      <c r="L24" s="54">
        <v>5823.0</v>
      </c>
      <c r="M24" s="68">
        <v>124.0</v>
      </c>
      <c r="N24" s="29"/>
    </row>
    <row r="25" ht="30.0" customHeight="1">
      <c r="A25" s="33" t="s">
        <v>71</v>
      </c>
      <c r="B25" s="35">
        <v>5381.0</v>
      </c>
      <c r="C25" s="38">
        <f t="shared" si="1"/>
        <v>248</v>
      </c>
      <c r="D25" s="35">
        <v>132.0</v>
      </c>
      <c r="E25" s="40">
        <f t="shared" si="2"/>
        <v>19</v>
      </c>
      <c r="F25" s="59">
        <f t="shared" si="3"/>
        <v>0.02453075636</v>
      </c>
      <c r="G25" s="44" t="s">
        <v>26</v>
      </c>
      <c r="H25" s="69" t="s">
        <v>26</v>
      </c>
      <c r="I25" s="51" t="str">
        <f>HYPERLINK("https://www.newsobserver.com/news/local/article241168731.html","Source")</f>
        <v>Source</v>
      </c>
      <c r="J25" s="67"/>
      <c r="K25" s="29"/>
      <c r="L25" s="35">
        <v>5133.0</v>
      </c>
      <c r="M25" s="35">
        <v>113.0</v>
      </c>
      <c r="N25" s="29"/>
    </row>
    <row r="26" ht="30.0" customHeight="1">
      <c r="A26" s="33" t="s">
        <v>73</v>
      </c>
      <c r="B26" s="35">
        <v>4986.0</v>
      </c>
      <c r="C26" s="38">
        <f t="shared" si="1"/>
        <v>200</v>
      </c>
      <c r="D26" s="35">
        <v>165.0</v>
      </c>
      <c r="E26" s="40">
        <f t="shared" si="2"/>
        <v>13</v>
      </c>
      <c r="F26" s="42">
        <f t="shared" si="3"/>
        <v>0.03309265945</v>
      </c>
      <c r="G26" s="44" t="s">
        <v>26</v>
      </c>
      <c r="H26" s="69" t="s">
        <v>26</v>
      </c>
      <c r="I26" s="51" t="str">
        <f>HYPERLINK("https://www.kshb.com/news/coronavirus/covid-19-case-tracker-where-we-stand-in-mo-ks-nationwide","Source")</f>
        <v>Source</v>
      </c>
      <c r="J26" s="67"/>
      <c r="K26" s="29"/>
      <c r="L26" s="35">
        <v>4786.0</v>
      </c>
      <c r="M26" s="35">
        <v>152.0</v>
      </c>
      <c r="N26" s="29"/>
    </row>
    <row r="27" ht="30.0" customHeight="1">
      <c r="A27" s="33" t="s">
        <v>76</v>
      </c>
      <c r="B27" s="35">
        <v>4769.0</v>
      </c>
      <c r="C27" s="38">
        <f t="shared" si="1"/>
        <v>0</v>
      </c>
      <c r="D27" s="35">
        <v>17.0</v>
      </c>
      <c r="E27" s="40">
        <f t="shared" si="2"/>
        <v>1</v>
      </c>
      <c r="F27" s="59">
        <f t="shared" si="3"/>
        <v>0.003564688614</v>
      </c>
      <c r="G27" s="44" t="s">
        <v>26</v>
      </c>
      <c r="H27" s="69">
        <v>626.0</v>
      </c>
      <c r="I27" s="51" t="str">
        <f>HYPERLINK("https://twitter.com/PaulSzoldra/status/1250485556489801728","Source")</f>
        <v>Source</v>
      </c>
      <c r="J27" s="66"/>
      <c r="K27" s="49" t="s">
        <v>78</v>
      </c>
      <c r="L27" s="35">
        <v>4769.0</v>
      </c>
      <c r="M27" s="35">
        <v>16.0</v>
      </c>
      <c r="N27" s="29"/>
    </row>
    <row r="28" ht="27.75" customHeight="1">
      <c r="A28" s="52" t="s">
        <v>79</v>
      </c>
      <c r="B28" s="54">
        <v>4241.0</v>
      </c>
      <c r="C28" s="38">
        <f t="shared" si="1"/>
        <v>288</v>
      </c>
      <c r="D28" s="68">
        <v>75.0</v>
      </c>
      <c r="E28" s="63">
        <f t="shared" si="2"/>
        <v>2</v>
      </c>
      <c r="F28" s="42">
        <f t="shared" si="3"/>
        <v>0.01768450837</v>
      </c>
      <c r="G28" s="44" t="s">
        <v>26</v>
      </c>
      <c r="H28" s="69" t="s">
        <v>26</v>
      </c>
      <c r="I28" s="64" t="str">
        <f>HYPERLINK("https://alpublichealth.maps.arcgis.com/apps/opsdashboard/index.html#/6d2771faa9da4a2786a509d82c8cf0f7","Source")</f>
        <v>Source</v>
      </c>
      <c r="J28" s="67"/>
      <c r="K28" s="49" t="s">
        <v>32</v>
      </c>
      <c r="L28" s="54">
        <v>3953.0</v>
      </c>
      <c r="M28" s="68">
        <v>73.0</v>
      </c>
      <c r="N28" s="49"/>
    </row>
    <row r="29" ht="27.75" customHeight="1">
      <c r="A29" s="52" t="s">
        <v>80</v>
      </c>
      <c r="B29" s="54">
        <v>3962.0</v>
      </c>
      <c r="C29" s="38">
        <f t="shared" si="1"/>
        <v>156</v>
      </c>
      <c r="D29" s="68">
        <v>142.0</v>
      </c>
      <c r="E29" s="63">
        <f t="shared" si="2"/>
        <v>11</v>
      </c>
      <c r="F29" s="42">
        <f t="shared" si="3"/>
        <v>0.0358404846</v>
      </c>
      <c r="G29" s="44" t="s">
        <v>26</v>
      </c>
      <c r="H29" s="69" t="s">
        <v>26</v>
      </c>
      <c r="I29" s="64" t="str">
        <f>HYPERLINK("https://www.azdhs.gov/preparedness/epidemiology-disease-control/infectious-disease-epidemiology/index.php#novel-coronavirus-home","Source")</f>
        <v>Source</v>
      </c>
      <c r="J29" s="66"/>
      <c r="K29" s="49" t="s">
        <v>19</v>
      </c>
      <c r="L29" s="54">
        <v>3806.0</v>
      </c>
      <c r="M29" s="68">
        <v>131.0</v>
      </c>
      <c r="N29" s="29"/>
    </row>
    <row r="30" ht="27.75" customHeight="1">
      <c r="A30" s="52" t="s">
        <v>82</v>
      </c>
      <c r="B30" s="54">
        <v>3721.0</v>
      </c>
      <c r="C30" s="38">
        <f t="shared" si="1"/>
        <v>166</v>
      </c>
      <c r="D30" s="68">
        <v>182.0</v>
      </c>
      <c r="E30" s="63">
        <f t="shared" si="2"/>
        <v>12</v>
      </c>
      <c r="F30" s="59">
        <f t="shared" si="3"/>
        <v>0.04891158291</v>
      </c>
      <c r="G30" s="44" t="s">
        <v>26</v>
      </c>
      <c r="H30" s="69">
        <v>16.0</v>
      </c>
      <c r="I30" s="64" t="str">
        <f>HYPERLINK("https://www.dhs.wisconsin.gov/outbreaks/index.htm","Source")</f>
        <v>Source</v>
      </c>
      <c r="J30" s="66"/>
      <c r="K30" s="29"/>
      <c r="L30" s="54">
        <v>3555.0</v>
      </c>
      <c r="M30" s="68">
        <v>170.0</v>
      </c>
      <c r="N30" s="29"/>
    </row>
    <row r="31" ht="30.0" customHeight="1">
      <c r="A31" s="33" t="s">
        <v>84</v>
      </c>
      <c r="B31" s="35">
        <v>3656.0</v>
      </c>
      <c r="C31" s="38">
        <f t="shared" si="1"/>
        <v>103</v>
      </c>
      <c r="D31" s="35">
        <v>107.0</v>
      </c>
      <c r="E31" s="40">
        <f t="shared" si="2"/>
        <v>10</v>
      </c>
      <c r="F31" s="42">
        <f t="shared" si="3"/>
        <v>0.02926695842</v>
      </c>
      <c r="G31" s="44" t="s">
        <v>26</v>
      </c>
      <c r="H31" s="69" t="s">
        <v>26</v>
      </c>
      <c r="I31" s="51" t="str">
        <f>HYPERLINK("https://scdhec.gov/infectious-diseases/viruses/coronavirus-disease-2019-covid-19/testing-sc-data-covid-19","Source")</f>
        <v>Source</v>
      </c>
      <c r="J31" s="66"/>
      <c r="K31" s="49" t="s">
        <v>19</v>
      </c>
      <c r="L31" s="35">
        <v>3553.0</v>
      </c>
      <c r="M31" s="35">
        <v>97.0</v>
      </c>
      <c r="N31" s="49"/>
    </row>
    <row r="32" ht="27.75" customHeight="1">
      <c r="A32" s="52" t="s">
        <v>86</v>
      </c>
      <c r="B32" s="54">
        <v>3529.0</v>
      </c>
      <c r="C32" s="38">
        <f t="shared" si="1"/>
        <v>278</v>
      </c>
      <c r="D32" s="68">
        <v>87.0</v>
      </c>
      <c r="E32" s="63">
        <f t="shared" si="2"/>
        <v>7</v>
      </c>
      <c r="F32" s="59">
        <f t="shared" si="3"/>
        <v>0.02465287617</v>
      </c>
      <c r="G32" s="69">
        <v>54.0</v>
      </c>
      <c r="H32" s="69" t="s">
        <v>26</v>
      </c>
      <c r="I32" s="64" t="str">
        <f>HYPERLINK("https://ri-department-of-health-covid-19-data-rihealth.hub.arcgis.com/","Source")</f>
        <v>Source</v>
      </c>
      <c r="J32" s="66"/>
      <c r="K32" s="29"/>
      <c r="L32" s="54">
        <v>3251.0</v>
      </c>
      <c r="M32" s="68">
        <v>80.0</v>
      </c>
      <c r="N32" s="29"/>
    </row>
    <row r="33" ht="27.75" customHeight="1">
      <c r="A33" s="52" t="s">
        <v>87</v>
      </c>
      <c r="B33" s="54">
        <v>3360.0</v>
      </c>
      <c r="C33" s="38">
        <f t="shared" si="1"/>
        <v>273</v>
      </c>
      <c r="D33" s="68">
        <v>122.0</v>
      </c>
      <c r="E33" s="63">
        <f t="shared" si="2"/>
        <v>11</v>
      </c>
      <c r="F33" s="59">
        <f t="shared" si="3"/>
        <v>0.03630952381</v>
      </c>
      <c r="G33" s="44" t="s">
        <v>26</v>
      </c>
      <c r="H33" s="69" t="s">
        <v>26</v>
      </c>
      <c r="I33" s="64" t="str">
        <f>HYPERLINK("https://msdh.ms.gov/msdhsite/_static/14,21882,420,873.html","Source")</f>
        <v>Source</v>
      </c>
      <c r="J33" s="66"/>
      <c r="K33" s="49" t="s">
        <v>19</v>
      </c>
      <c r="L33" s="54">
        <v>3087.0</v>
      </c>
      <c r="M33" s="68">
        <v>111.0</v>
      </c>
      <c r="N33" s="49"/>
    </row>
    <row r="34" ht="27.75" customHeight="1">
      <c r="A34" s="52" t="s">
        <v>89</v>
      </c>
      <c r="B34" s="54">
        <v>3214.0</v>
      </c>
      <c r="C34" s="38">
        <f t="shared" si="1"/>
        <v>70</v>
      </c>
      <c r="D34" s="68">
        <v>137.0</v>
      </c>
      <c r="E34" s="63">
        <f t="shared" si="2"/>
        <v>7</v>
      </c>
      <c r="F34" s="59">
        <f t="shared" si="3"/>
        <v>0.0426260112</v>
      </c>
      <c r="G34" s="44" t="s">
        <v>26</v>
      </c>
      <c r="H34" s="69">
        <v>26.0</v>
      </c>
      <c r="I34" s="64" t="str">
        <f>HYPERLINK("https://thenevadaindependent.com/article/live-blog-no-more-coronavirus-cases-in-washoe-reported-as-health-officials-identify-test-close-contacts","Source")</f>
        <v>Source</v>
      </c>
      <c r="J34" s="67"/>
      <c r="K34" s="49" t="s">
        <v>47</v>
      </c>
      <c r="L34" s="54">
        <v>3144.0</v>
      </c>
      <c r="M34" s="68">
        <v>130.0</v>
      </c>
      <c r="N34" s="49"/>
    </row>
    <row r="35" ht="30.0" customHeight="1">
      <c r="A35" s="33" t="s">
        <v>95</v>
      </c>
      <c r="B35" s="35">
        <v>2542.0</v>
      </c>
      <c r="C35" s="38">
        <f t="shared" si="1"/>
        <v>130</v>
      </c>
      <c r="D35" s="35">
        <v>20.0</v>
      </c>
      <c r="E35" s="40">
        <f t="shared" si="2"/>
        <v>1</v>
      </c>
      <c r="F35" s="42">
        <f t="shared" si="3"/>
        <v>0.007867820614</v>
      </c>
      <c r="G35" s="44" t="s">
        <v>26</v>
      </c>
      <c r="H35" s="69" t="s">
        <v>26</v>
      </c>
      <c r="I35" s="51" t="str">
        <f>HYPERLINK("https://coronavirus.utah.gov/case-counts/","Source")</f>
        <v>Source</v>
      </c>
      <c r="J35" s="66"/>
      <c r="K35" s="29"/>
      <c r="L35" s="35">
        <v>2412.0</v>
      </c>
      <c r="M35" s="35">
        <v>19.0</v>
      </c>
      <c r="N35" s="29"/>
    </row>
    <row r="36" ht="27.75" customHeight="1">
      <c r="A36" s="52" t="s">
        <v>98</v>
      </c>
      <c r="B36" s="54">
        <v>2291.0</v>
      </c>
      <c r="C36" s="38">
        <f t="shared" si="1"/>
        <v>81</v>
      </c>
      <c r="D36" s="68">
        <v>122.0</v>
      </c>
      <c r="E36" s="63">
        <f t="shared" si="2"/>
        <v>7</v>
      </c>
      <c r="F36" s="42">
        <f t="shared" si="3"/>
        <v>0.05325185509</v>
      </c>
      <c r="G36" s="69" t="s">
        <v>26</v>
      </c>
      <c r="H36" s="69" t="s">
        <v>26</v>
      </c>
      <c r="I36" s="64" t="str">
        <f>HYPERLINK("https://govstatus.egov.com/kycovid19","Source")</f>
        <v>Source</v>
      </c>
      <c r="J36" s="66"/>
      <c r="K36" s="29"/>
      <c r="L36" s="54">
        <v>2210.0</v>
      </c>
      <c r="M36" s="68">
        <v>115.0</v>
      </c>
      <c r="N36" s="29"/>
    </row>
    <row r="37" ht="30.0" customHeight="1">
      <c r="A37" s="33" t="s">
        <v>100</v>
      </c>
      <c r="B37" s="35">
        <v>2263.0</v>
      </c>
      <c r="C37" s="38">
        <f t="shared" si="1"/>
        <v>79</v>
      </c>
      <c r="D37" s="35">
        <v>123.0</v>
      </c>
      <c r="E37" s="40">
        <f t="shared" si="2"/>
        <v>15</v>
      </c>
      <c r="F37" s="59">
        <f t="shared" si="3"/>
        <v>0.05435262925</v>
      </c>
      <c r="G37" s="69" t="s">
        <v>26</v>
      </c>
      <c r="H37" s="48" t="s">
        <v>26</v>
      </c>
      <c r="I37" s="51" t="str">
        <f>HYPERLINK("https://coronavirus.health.ok.gov/","Source")</f>
        <v>Source</v>
      </c>
      <c r="J37" s="66"/>
      <c r="K37" s="49" t="s">
        <v>19</v>
      </c>
      <c r="L37" s="35">
        <v>2184.0</v>
      </c>
      <c r="M37" s="35">
        <v>108.0</v>
      </c>
      <c r="N37" s="29"/>
    </row>
    <row r="38" ht="27.75" customHeight="1">
      <c r="A38" s="52" t="s">
        <v>105</v>
      </c>
      <c r="B38" s="54">
        <v>2197.0</v>
      </c>
      <c r="C38" s="38">
        <f t="shared" si="1"/>
        <v>139</v>
      </c>
      <c r="D38" s="68">
        <v>72.0</v>
      </c>
      <c r="E38" s="63">
        <f t="shared" si="2"/>
        <v>5</v>
      </c>
      <c r="F38" s="42">
        <f t="shared" si="3"/>
        <v>0.03277196177</v>
      </c>
      <c r="G38" s="69" t="s">
        <v>26</v>
      </c>
      <c r="H38" s="69">
        <v>530.0</v>
      </c>
      <c r="I38" s="64" t="str">
        <f>HYPERLINK("https://coronavirus.dc.gov/page/coronavirus-data","Source")</f>
        <v>Source</v>
      </c>
      <c r="J38" s="66"/>
      <c r="K38" s="49" t="s">
        <v>19</v>
      </c>
      <c r="L38" s="54">
        <v>2058.0</v>
      </c>
      <c r="M38" s="68">
        <v>67.0</v>
      </c>
      <c r="N38" s="49"/>
    </row>
    <row r="39" ht="27.75" customHeight="1">
      <c r="A39" s="52" t="s">
        <v>108</v>
      </c>
      <c r="B39" s="54">
        <v>2014.0</v>
      </c>
      <c r="C39" s="38">
        <f t="shared" si="1"/>
        <v>88</v>
      </c>
      <c r="D39" s="68">
        <v>46.0</v>
      </c>
      <c r="E39" s="63">
        <f t="shared" si="2"/>
        <v>3</v>
      </c>
      <c r="F39" s="59">
        <f t="shared" si="3"/>
        <v>0.02284011917</v>
      </c>
      <c r="G39" s="69" t="s">
        <v>26</v>
      </c>
      <c r="H39" s="69">
        <v>354.0</v>
      </c>
      <c r="I39" s="64" t="str">
        <f>HYPERLINK("https://coronavirus.delaware.gov/","Source")</f>
        <v>Source</v>
      </c>
      <c r="J39" s="66"/>
      <c r="K39" s="29"/>
      <c r="L39" s="54">
        <v>1926.0</v>
      </c>
      <c r="M39" s="68">
        <v>43.0</v>
      </c>
      <c r="N39" s="29"/>
    </row>
    <row r="40" ht="27.75" customHeight="1">
      <c r="A40" s="52" t="s">
        <v>111</v>
      </c>
      <c r="B40" s="54">
        <v>1995.0</v>
      </c>
      <c r="C40" s="38">
        <f t="shared" si="1"/>
        <v>96</v>
      </c>
      <c r="D40" s="68">
        <v>53.0</v>
      </c>
      <c r="E40" s="63">
        <f t="shared" si="2"/>
        <v>4</v>
      </c>
      <c r="F40" s="42">
        <f t="shared" si="3"/>
        <v>0.02656641604</v>
      </c>
      <c r="G40" s="69" t="s">
        <v>26</v>
      </c>
      <c r="H40" s="69">
        <v>790.0</v>
      </c>
      <c r="I40" s="64" t="str">
        <f>HYPERLINK("https://www.kcci.com/article/spike-in-iowa-s-covid-19-cases-reported-along-with-6-deaths/32144859","Source")</f>
        <v>Source</v>
      </c>
      <c r="J40" s="66"/>
      <c r="K40" s="49" t="s">
        <v>19</v>
      </c>
      <c r="L40" s="54">
        <v>1899.0</v>
      </c>
      <c r="M40" s="68">
        <v>49.0</v>
      </c>
      <c r="N40" s="29"/>
    </row>
    <row r="41" ht="30.0" customHeight="1">
      <c r="A41" s="33" t="s">
        <v>113</v>
      </c>
      <c r="B41" s="35">
        <v>1809.0</v>
      </c>
      <c r="C41" s="38">
        <f t="shared" si="1"/>
        <v>114</v>
      </c>
      <c r="D41" s="35">
        <v>87.0</v>
      </c>
      <c r="E41" s="40">
        <f t="shared" si="2"/>
        <v>8</v>
      </c>
      <c r="F41" s="59">
        <f t="shared" si="3"/>
        <v>0.04809286899</v>
      </c>
      <c r="G41" s="44">
        <v>75.0</v>
      </c>
      <c r="H41" s="48">
        <v>940.0</v>
      </c>
      <c r="I41" s="51" t="str">
        <f>HYPERLINK("https://www.health.state.mn.us/diseases/coronavirus/situation.html","Source")</f>
        <v>Source</v>
      </c>
      <c r="J41" s="66"/>
      <c r="K41" s="29"/>
      <c r="L41" s="35">
        <v>1695.0</v>
      </c>
      <c r="M41" s="35">
        <v>79.0</v>
      </c>
      <c r="N41" s="29"/>
    </row>
    <row r="42" ht="27.75" customHeight="1">
      <c r="A42" s="52" t="s">
        <v>116</v>
      </c>
      <c r="B42" s="54">
        <v>1663.0</v>
      </c>
      <c r="C42" s="38">
        <f t="shared" si="1"/>
        <v>30</v>
      </c>
      <c r="D42" s="68">
        <v>58.0</v>
      </c>
      <c r="E42" s="63">
        <f t="shared" si="2"/>
        <v>3</v>
      </c>
      <c r="F42" s="59">
        <f t="shared" si="3"/>
        <v>0.0348767288</v>
      </c>
      <c r="G42" s="44" t="s">
        <v>26</v>
      </c>
      <c r="H42" s="69" t="s">
        <v>26</v>
      </c>
      <c r="I42" s="64" t="str">
        <f>HYPERLINK("https://govstatus.egov.com/OR-OHA-COVID-19","Source")</f>
        <v>Source</v>
      </c>
      <c r="J42" s="66"/>
      <c r="K42" s="49" t="s">
        <v>19</v>
      </c>
      <c r="L42" s="54">
        <v>1633.0</v>
      </c>
      <c r="M42" s="68">
        <v>55.0</v>
      </c>
      <c r="N42" s="49"/>
    </row>
    <row r="43" ht="27.75" customHeight="1">
      <c r="A43" s="52" t="s">
        <v>119</v>
      </c>
      <c r="B43" s="54">
        <v>1599.0</v>
      </c>
      <c r="C43" s="38">
        <f t="shared" si="1"/>
        <v>101</v>
      </c>
      <c r="D43" s="68">
        <v>34.0</v>
      </c>
      <c r="E43" s="63">
        <f t="shared" si="2"/>
        <v>2</v>
      </c>
      <c r="F43" s="59">
        <f t="shared" si="3"/>
        <v>0.02126328956</v>
      </c>
      <c r="G43" s="69" t="s">
        <v>26</v>
      </c>
      <c r="H43" s="69">
        <v>509.0</v>
      </c>
      <c r="I43" s="64" t="str">
        <f>HYPERLINK("https://adem.maps.arcgis.com/apps/opsdashboard/index.html#/f533ac8a8b6040e5896b05b47b17a647","Source")</f>
        <v>Source</v>
      </c>
      <c r="J43" s="67"/>
      <c r="K43" s="49" t="s">
        <v>120</v>
      </c>
      <c r="L43" s="54">
        <v>1498.0</v>
      </c>
      <c r="M43" s="68">
        <v>32.0</v>
      </c>
      <c r="N43" s="49"/>
    </row>
    <row r="44" ht="30.0" customHeight="1">
      <c r="A44" s="33" t="s">
        <v>122</v>
      </c>
      <c r="B44" s="35">
        <v>1505.0</v>
      </c>
      <c r="C44" s="38">
        <f t="shared" si="1"/>
        <v>65</v>
      </c>
      <c r="D44" s="35">
        <v>76.0</v>
      </c>
      <c r="E44" s="40">
        <f t="shared" si="2"/>
        <v>7</v>
      </c>
      <c r="F44" s="42">
        <f t="shared" si="3"/>
        <v>0.05049833887</v>
      </c>
      <c r="G44" s="69" t="s">
        <v>26</v>
      </c>
      <c r="H44" s="69" t="s">
        <v>26</v>
      </c>
      <c r="I44" s="51" t="str">
        <f>HYPERLINK("https://public.tableau.com/profile/kdhe.epidemiology#!/vizhome/COVID-19Data_15851817634470/KSCOVID-19CaseData","Source")</f>
        <v>Source</v>
      </c>
      <c r="J44" s="67"/>
      <c r="K44" s="29"/>
      <c r="L44" s="35">
        <v>1440.0</v>
      </c>
      <c r="M44" s="35">
        <v>69.0</v>
      </c>
      <c r="N44" s="29"/>
    </row>
    <row r="45" ht="27.75" customHeight="1">
      <c r="A45" s="52" t="s">
        <v>124</v>
      </c>
      <c r="B45" s="54">
        <v>1484.0</v>
      </c>
      <c r="C45" s="38">
        <f t="shared" si="1"/>
        <v>77</v>
      </c>
      <c r="D45" s="68">
        <v>36.0</v>
      </c>
      <c r="E45" s="63">
        <f t="shared" si="2"/>
        <v>0</v>
      </c>
      <c r="F45" s="59">
        <f t="shared" si="3"/>
        <v>0.02425876011</v>
      </c>
      <c r="G45" s="69" t="s">
        <v>26</v>
      </c>
      <c r="H45" s="69">
        <v>353.0</v>
      </c>
      <c r="I45" s="64" t="str">
        <f>HYPERLINK("https://cvprovider.nmhealth.org/public-dashboard.html","Source")</f>
        <v>Source</v>
      </c>
      <c r="J45" s="66"/>
      <c r="K45" s="49" t="s">
        <v>19</v>
      </c>
      <c r="L45" s="54">
        <v>1407.0</v>
      </c>
      <c r="M45" s="68">
        <v>36.0</v>
      </c>
      <c r="N45" s="49"/>
    </row>
    <row r="46" ht="27.75" customHeight="1">
      <c r="A46" s="52" t="s">
        <v>126</v>
      </c>
      <c r="B46" s="54">
        <v>1587.0</v>
      </c>
      <c r="C46" s="38">
        <f t="shared" si="1"/>
        <v>123</v>
      </c>
      <c r="D46" s="68">
        <v>41.0</v>
      </c>
      <c r="E46" s="63">
        <f t="shared" si="2"/>
        <v>2</v>
      </c>
      <c r="F46" s="42">
        <f t="shared" si="3"/>
        <v>0.02583490863</v>
      </c>
      <c r="G46" s="69">
        <v>43.0</v>
      </c>
      <c r="H46" s="69" t="s">
        <v>26</v>
      </c>
      <c r="I46" s="64" t="str">
        <f>HYPERLINK("https://public.tableau.com/profile/idaho.division.of.public.health#!/vizhome/DPHIdahoCOVID-19Dashboard_V2/Story1","Source")</f>
        <v>Source</v>
      </c>
      <c r="J46" s="67"/>
      <c r="K46" s="49" t="s">
        <v>128</v>
      </c>
      <c r="L46" s="54">
        <v>1464.0</v>
      </c>
      <c r="M46" s="68">
        <v>39.0</v>
      </c>
      <c r="N46" s="29"/>
    </row>
    <row r="47" ht="27.75" customHeight="1">
      <c r="A47" s="52" t="s">
        <v>129</v>
      </c>
      <c r="B47" s="54">
        <v>1168.0</v>
      </c>
      <c r="C47" s="38">
        <f t="shared" si="1"/>
        <v>180</v>
      </c>
      <c r="D47" s="68">
        <v>6.0</v>
      </c>
      <c r="E47" s="63">
        <f t="shared" si="2"/>
        <v>0</v>
      </c>
      <c r="F47" s="59">
        <f t="shared" si="3"/>
        <v>0.005136986301</v>
      </c>
      <c r="G47" s="69" t="s">
        <v>26</v>
      </c>
      <c r="H47" s="69">
        <v>329.0</v>
      </c>
      <c r="I47" s="64" t="str">
        <f>HYPERLINK("https://doh.sd.gov/news/coronavirus.aspx","Source")</f>
        <v>Source</v>
      </c>
      <c r="J47" s="66"/>
      <c r="K47" s="29"/>
      <c r="L47" s="54">
        <v>988.0</v>
      </c>
      <c r="M47" s="68">
        <v>6.0</v>
      </c>
      <c r="N47" s="29"/>
    </row>
    <row r="48" ht="30.0" customHeight="1">
      <c r="A48" s="33" t="s">
        <v>131</v>
      </c>
      <c r="B48" s="35">
        <v>1139.0</v>
      </c>
      <c r="C48" s="38">
        <f t="shared" si="1"/>
        <v>48</v>
      </c>
      <c r="D48" s="61">
        <v>32.0</v>
      </c>
      <c r="E48" s="63">
        <f t="shared" si="2"/>
        <v>5</v>
      </c>
      <c r="F48" s="42">
        <f t="shared" si="3"/>
        <v>0.02809482002</v>
      </c>
      <c r="G48" s="69" t="s">
        <v>26</v>
      </c>
      <c r="H48" s="69">
        <v>365.0</v>
      </c>
      <c r="I48" s="51" t="str">
        <f>HYPERLINK("https://www.nh.gov/covid19/","Source")</f>
        <v>Source</v>
      </c>
      <c r="J48" s="66"/>
      <c r="K48" s="49" t="s">
        <v>19</v>
      </c>
      <c r="L48" s="35">
        <v>1091.0</v>
      </c>
      <c r="M48" s="61">
        <v>27.0</v>
      </c>
      <c r="N48" s="29"/>
    </row>
    <row r="49" ht="27.75" customHeight="1">
      <c r="A49" s="52" t="s">
        <v>133</v>
      </c>
      <c r="B49" s="54">
        <v>974.0</v>
      </c>
      <c r="C49" s="38">
        <f t="shared" si="1"/>
        <v>51</v>
      </c>
      <c r="D49" s="68">
        <v>51.0</v>
      </c>
      <c r="E49" s="63">
        <f t="shared" si="2"/>
        <v>6</v>
      </c>
      <c r="F49" s="59">
        <f t="shared" si="3"/>
        <v>0.0523613963</v>
      </c>
      <c r="G49" s="69" t="s">
        <v>26</v>
      </c>
      <c r="H49" s="69" t="s">
        <v>26</v>
      </c>
      <c r="I49" s="64" t="str">
        <f>HYPERLINK("http://www.salud.gov.pr/Pages/coronavirus.aspx","Source")</f>
        <v>Source</v>
      </c>
      <c r="J49" s="66"/>
      <c r="K49" s="49" t="s">
        <v>19</v>
      </c>
      <c r="L49" s="54">
        <v>923.0</v>
      </c>
      <c r="M49" s="68">
        <v>45.0</v>
      </c>
      <c r="N49" s="49"/>
    </row>
    <row r="50" ht="27.75" customHeight="1">
      <c r="A50" s="52" t="s">
        <v>136</v>
      </c>
      <c r="B50" s="54">
        <v>952.0</v>
      </c>
      <c r="C50" s="38">
        <f t="shared" si="1"/>
        <v>51</v>
      </c>
      <c r="D50" s="68">
        <v>21.0</v>
      </c>
      <c r="E50" s="63">
        <f t="shared" si="2"/>
        <v>1</v>
      </c>
      <c r="F50" s="59">
        <f t="shared" si="3"/>
        <v>0.02205882353</v>
      </c>
      <c r="G50" s="69" t="s">
        <v>26</v>
      </c>
      <c r="H50" s="69" t="s">
        <v>26</v>
      </c>
      <c r="I50" s="64" t="str">
        <f>HYPERLINK("https://ktiv.com/2020/04/14/nebraska-covid-19-cases-rise-to-901-two-new-deaths-reported/","Source")</f>
        <v>Source</v>
      </c>
      <c r="J50" s="66"/>
      <c r="K50" s="49" t="s">
        <v>40</v>
      </c>
      <c r="L50" s="54">
        <v>901.0</v>
      </c>
      <c r="M50" s="68">
        <v>20.0</v>
      </c>
      <c r="N50" s="29"/>
    </row>
    <row r="51" ht="27.75" customHeight="1">
      <c r="A51" s="52" t="s">
        <v>138</v>
      </c>
      <c r="B51" s="54">
        <v>770.0</v>
      </c>
      <c r="C51" s="38">
        <f t="shared" si="1"/>
        <v>36</v>
      </c>
      <c r="D51" s="68">
        <v>24.0</v>
      </c>
      <c r="E51" s="63">
        <f t="shared" si="2"/>
        <v>4</v>
      </c>
      <c r="F51" s="42">
        <f t="shared" si="3"/>
        <v>0.03116883117</v>
      </c>
      <c r="G51" s="69" t="s">
        <v>26</v>
      </c>
      <c r="H51" s="69">
        <v>305.0</v>
      </c>
      <c r="I51" s="64" t="str">
        <f>HYPERLINK("https://www.maine.gov/dhhs/mecdc/infectious-disease/epi/airborne/coronavirus.shtml","Source")</f>
        <v>Source</v>
      </c>
      <c r="J51" s="66"/>
      <c r="K51" s="49" t="s">
        <v>19</v>
      </c>
      <c r="L51" s="54">
        <v>734.0</v>
      </c>
      <c r="M51" s="68">
        <v>20.0</v>
      </c>
      <c r="N51" s="29"/>
    </row>
    <row r="52" ht="30.0" customHeight="1">
      <c r="A52" s="33" t="s">
        <v>140</v>
      </c>
      <c r="B52" s="35">
        <v>759.0</v>
      </c>
      <c r="C52" s="38">
        <f t="shared" si="1"/>
        <v>7</v>
      </c>
      <c r="D52" s="35">
        <v>30.0</v>
      </c>
      <c r="E52" s="40">
        <f t="shared" si="2"/>
        <v>1</v>
      </c>
      <c r="F52" s="42">
        <f t="shared" si="3"/>
        <v>0.0395256917</v>
      </c>
      <c r="G52" s="69" t="s">
        <v>26</v>
      </c>
      <c r="H52" s="69" t="s">
        <v>26</v>
      </c>
      <c r="I52" s="51" t="str">
        <f>HYPERLINK("https://vcgi.maps.arcgis.com/apps/opsdashboard/index.html#/6128a0bc9ae14e98a686b635001ef7a7","Source")</f>
        <v>Source</v>
      </c>
      <c r="J52" s="66"/>
      <c r="K52" s="29"/>
      <c r="L52" s="35">
        <v>752.0</v>
      </c>
      <c r="M52" s="35">
        <v>29.0</v>
      </c>
      <c r="N52" s="29"/>
    </row>
    <row r="53" ht="27.75" customHeight="1">
      <c r="A53" s="52" t="s">
        <v>142</v>
      </c>
      <c r="B53" s="54">
        <v>718.0</v>
      </c>
      <c r="C53" s="38">
        <f t="shared" si="1"/>
        <v>24</v>
      </c>
      <c r="D53" s="68">
        <v>12.0</v>
      </c>
      <c r="E53" s="63">
        <f t="shared" si="2"/>
        <v>2</v>
      </c>
      <c r="F53" s="59">
        <f t="shared" si="3"/>
        <v>0.01671309192</v>
      </c>
      <c r="G53" s="69" t="s">
        <v>26</v>
      </c>
      <c r="H53" s="69" t="s">
        <v>26</v>
      </c>
      <c r="I53" s="64" t="str">
        <f>HYPERLINK("https://dhhr.wv.gov/COVID-19/Pages/default.aspx","Source")</f>
        <v>Source</v>
      </c>
      <c r="J53" s="29"/>
      <c r="K53" s="49" t="s">
        <v>19</v>
      </c>
      <c r="L53" s="54">
        <v>694.0</v>
      </c>
      <c r="M53" s="68">
        <v>10.0</v>
      </c>
      <c r="N53" s="49"/>
    </row>
    <row r="54" ht="27.75" customHeight="1">
      <c r="A54" s="52" t="s">
        <v>144</v>
      </c>
      <c r="B54" s="54">
        <v>694.0</v>
      </c>
      <c r="C54" s="38">
        <f t="shared" si="1"/>
        <v>2</v>
      </c>
      <c r="D54" s="68">
        <v>14.0</v>
      </c>
      <c r="E54" s="63">
        <f t="shared" si="2"/>
        <v>0</v>
      </c>
      <c r="F54" s="42">
        <f t="shared" si="3"/>
        <v>0.02017291066</v>
      </c>
      <c r="G54" s="69" t="s">
        <v>26</v>
      </c>
      <c r="H54" s="69">
        <v>33.0</v>
      </c>
      <c r="I54" s="64" t="str">
        <f>HYPERLINK("https://www.bop.gov/coronavirus/","Source")</f>
        <v>Source</v>
      </c>
      <c r="J54" s="66"/>
      <c r="K54" s="49" t="s">
        <v>19</v>
      </c>
      <c r="L54" s="54">
        <v>692.0</v>
      </c>
      <c r="M54" s="68">
        <v>14.0</v>
      </c>
      <c r="N54" s="49"/>
    </row>
    <row r="55" ht="27.75" customHeight="1">
      <c r="A55" s="52" t="s">
        <v>146</v>
      </c>
      <c r="B55" s="54">
        <v>530.0</v>
      </c>
      <c r="C55" s="38">
        <f t="shared" si="1"/>
        <v>13</v>
      </c>
      <c r="D55" s="68">
        <v>9.0</v>
      </c>
      <c r="E55" s="63">
        <f t="shared" si="2"/>
        <v>0</v>
      </c>
      <c r="F55" s="42">
        <f t="shared" si="3"/>
        <v>0.01698113208</v>
      </c>
      <c r="G55" s="69" t="s">
        <v>26</v>
      </c>
      <c r="H55" s="69">
        <v>359.0</v>
      </c>
      <c r="I55" s="64" t="str">
        <f>HYPERLINK("https://health.hawaii.gov/coronavirusdisease2019/","Source")</f>
        <v>Source</v>
      </c>
      <c r="J55" s="66"/>
      <c r="K55" s="29"/>
      <c r="L55" s="54">
        <v>517.0</v>
      </c>
      <c r="M55" s="68">
        <v>9.0</v>
      </c>
      <c r="N55" s="29"/>
    </row>
    <row r="56" ht="27.75" customHeight="1">
      <c r="A56" s="52" t="s">
        <v>149</v>
      </c>
      <c r="B56" s="54">
        <v>404.0</v>
      </c>
      <c r="C56" s="38">
        <f t="shared" si="1"/>
        <v>5</v>
      </c>
      <c r="D56" s="68">
        <v>7.0</v>
      </c>
      <c r="E56" s="63">
        <f t="shared" si="2"/>
        <v>0</v>
      </c>
      <c r="F56" s="42">
        <f t="shared" si="3"/>
        <v>0.01732673267</v>
      </c>
      <c r="G56" s="69" t="s">
        <v>26</v>
      </c>
      <c r="H56" s="69">
        <v>209.0</v>
      </c>
      <c r="I56" s="64" t="str">
        <f>HYPERLINK("https://montana.maps.arcgis.com/apps/MapSeries/index.html?appid=7c34f3412536439491adcc2103421d4b","Source")</f>
        <v>Source</v>
      </c>
      <c r="J56" s="29"/>
      <c r="K56" s="49" t="s">
        <v>151</v>
      </c>
      <c r="L56" s="54">
        <v>399.0</v>
      </c>
      <c r="M56" s="68">
        <v>7.0</v>
      </c>
      <c r="N56" s="49"/>
    </row>
    <row r="57" ht="27.75" customHeight="1">
      <c r="A57" s="52" t="s">
        <v>152</v>
      </c>
      <c r="B57" s="54">
        <v>393.0</v>
      </c>
      <c r="C57" s="38">
        <f t="shared" si="1"/>
        <v>10</v>
      </c>
      <c r="D57" s="68">
        <v>2.0</v>
      </c>
      <c r="E57" s="63">
        <f t="shared" si="2"/>
        <v>1</v>
      </c>
      <c r="F57" s="59">
        <f t="shared" si="3"/>
        <v>0.005089058524</v>
      </c>
      <c r="G57" s="69" t="s">
        <v>26</v>
      </c>
      <c r="H57" s="69">
        <v>176.0</v>
      </c>
      <c r="I57" s="64" t="str">
        <f>HYPERLINK("https://health.wyo.gov/publichealth/infectious-disease-epidemiology-unit/disease/novel-coronavirus/covid-19-map-and-statistics/","Source")</f>
        <v>Source</v>
      </c>
      <c r="J57" s="66"/>
      <c r="K57" s="29"/>
      <c r="L57" s="54">
        <v>383.0</v>
      </c>
      <c r="M57" s="68">
        <v>1.0</v>
      </c>
      <c r="N57" s="29"/>
    </row>
    <row r="58" ht="27.75" customHeight="1">
      <c r="A58" s="52" t="s">
        <v>154</v>
      </c>
      <c r="B58" s="54">
        <v>365.0</v>
      </c>
      <c r="C58" s="38">
        <f t="shared" si="1"/>
        <v>24</v>
      </c>
      <c r="D58" s="68">
        <v>9.0</v>
      </c>
      <c r="E58" s="63">
        <f t="shared" si="2"/>
        <v>0</v>
      </c>
      <c r="F58" s="42">
        <f t="shared" si="3"/>
        <v>0.02465753425</v>
      </c>
      <c r="G58" s="69" t="s">
        <v>26</v>
      </c>
      <c r="H58" s="69">
        <v>142.0</v>
      </c>
      <c r="I58" s="64" t="str">
        <f>HYPERLINK("https://www.health.nd.gov/diseases-conditions/coronavirus/north-dakota-coronavirus-cases","Source")</f>
        <v>Source</v>
      </c>
      <c r="J58" s="66"/>
      <c r="K58" s="49" t="s">
        <v>19</v>
      </c>
      <c r="L58" s="54">
        <v>341.0</v>
      </c>
      <c r="M58" s="68">
        <v>9.0</v>
      </c>
      <c r="N58" s="49"/>
    </row>
    <row r="59" ht="27.75" customHeight="1">
      <c r="A59" s="52" t="s">
        <v>158</v>
      </c>
      <c r="B59" s="54">
        <v>293.0</v>
      </c>
      <c r="C59" s="38">
        <f t="shared" si="1"/>
        <v>8</v>
      </c>
      <c r="D59" s="68">
        <v>9.0</v>
      </c>
      <c r="E59" s="63">
        <f t="shared" si="2"/>
        <v>0</v>
      </c>
      <c r="F59" s="42">
        <f t="shared" si="3"/>
        <v>0.03071672355</v>
      </c>
      <c r="G59" s="69" t="s">
        <v>26</v>
      </c>
      <c r="H59" s="69">
        <v>106.0</v>
      </c>
      <c r="I59" s="64" t="str">
        <f>HYPERLINK("https://www.arcgis.com/apps/opsdashboard/index.html#/83c63cfec8b24397bdf359f49b11f218","Source")</f>
        <v>Source</v>
      </c>
      <c r="J59" s="66"/>
      <c r="K59" s="49" t="s">
        <v>19</v>
      </c>
      <c r="L59" s="54">
        <v>285.0</v>
      </c>
      <c r="M59" s="68">
        <v>9.0</v>
      </c>
      <c r="N59" s="29"/>
    </row>
    <row r="60" ht="27.75" customHeight="1">
      <c r="A60" s="52" t="s">
        <v>160</v>
      </c>
      <c r="B60" s="54">
        <v>135.0</v>
      </c>
      <c r="C60" s="38">
        <f t="shared" si="1"/>
        <v>0</v>
      </c>
      <c r="D60" s="68">
        <v>5.0</v>
      </c>
      <c r="E60" s="63">
        <f t="shared" si="2"/>
        <v>0</v>
      </c>
      <c r="F60" s="59">
        <f t="shared" si="3"/>
        <v>0.03703703704</v>
      </c>
      <c r="G60" s="69" t="s">
        <v>26</v>
      </c>
      <c r="H60" s="69">
        <v>73.0</v>
      </c>
      <c r="I60" s="64" t="str">
        <f>HYPERLINK("https://ghs.guam.gov/jic-release-no-73-one-tests-positive-covid-19-guam","Source")</f>
        <v>Source</v>
      </c>
      <c r="J60" s="66"/>
      <c r="K60" s="29"/>
      <c r="L60" s="54">
        <v>135.0</v>
      </c>
      <c r="M60" s="68">
        <v>5.0</v>
      </c>
      <c r="N60" s="29"/>
    </row>
    <row r="61" ht="27.75" customHeight="1">
      <c r="A61" s="52" t="s">
        <v>163</v>
      </c>
      <c r="B61" s="54">
        <v>103.0</v>
      </c>
      <c r="C61" s="38">
        <f t="shared" si="1"/>
        <v>0</v>
      </c>
      <c r="D61" s="68">
        <v>3.0</v>
      </c>
      <c r="E61" s="63">
        <f t="shared" si="2"/>
        <v>0</v>
      </c>
      <c r="F61" s="42">
        <f t="shared" si="3"/>
        <v>0.02912621359</v>
      </c>
      <c r="G61" s="69" t="s">
        <v>26</v>
      </c>
      <c r="H61" s="69" t="s">
        <v>26</v>
      </c>
      <c r="I61" s="64" t="str">
        <f>HYPERLINK("https://www.mercurynews.com/2020/04/06/coronavirus-after-weeks-of-quarantine-and-3-dead-grand-princess-sets-sail-again/","Source")</f>
        <v>Source</v>
      </c>
      <c r="J61" s="29"/>
      <c r="K61" s="29"/>
      <c r="L61" s="54">
        <v>103.0</v>
      </c>
      <c r="M61" s="68">
        <v>3.0</v>
      </c>
      <c r="N61" s="29"/>
    </row>
    <row r="62" ht="27.75" customHeight="1">
      <c r="A62" s="52" t="s">
        <v>166</v>
      </c>
      <c r="B62" s="54">
        <v>51.0</v>
      </c>
      <c r="C62" s="38">
        <f t="shared" si="1"/>
        <v>0</v>
      </c>
      <c r="D62" s="68">
        <v>1.0</v>
      </c>
      <c r="E62" s="63">
        <f t="shared" si="2"/>
        <v>0</v>
      </c>
      <c r="F62" s="59">
        <f t="shared" si="3"/>
        <v>0.01960784314</v>
      </c>
      <c r="G62" s="69" t="s">
        <v>26</v>
      </c>
      <c r="H62" s="69">
        <v>44.0</v>
      </c>
      <c r="I62" s="64" t="str">
        <f>HYPERLINK("https://doh.vi.gov/","Source")</f>
        <v>Source</v>
      </c>
      <c r="J62" s="66"/>
      <c r="K62" s="29"/>
      <c r="L62" s="54">
        <v>51.0</v>
      </c>
      <c r="M62" s="68">
        <v>1.0</v>
      </c>
      <c r="N62" s="29"/>
    </row>
    <row r="63" ht="33.0" customHeight="1">
      <c r="A63" s="52" t="s">
        <v>168</v>
      </c>
      <c r="B63" s="54">
        <v>46.0</v>
      </c>
      <c r="C63" s="38">
        <f t="shared" si="1"/>
        <v>0</v>
      </c>
      <c r="D63" s="68">
        <v>0.0</v>
      </c>
      <c r="E63" s="63">
        <f t="shared" si="2"/>
        <v>0</v>
      </c>
      <c r="F63" s="42">
        <f t="shared" si="3"/>
        <v>0</v>
      </c>
      <c r="G63" s="69" t="s">
        <v>26</v>
      </c>
      <c r="H63" s="69">
        <v>2.0</v>
      </c>
      <c r="I63" s="64" t="str">
        <f>HYPERLINK("https://www.cdc.gov/coronavirus/2019-ncov/cases-in-us.html","Source")</f>
        <v>Source</v>
      </c>
      <c r="J63" s="29"/>
      <c r="K63" s="29"/>
      <c r="L63" s="54">
        <v>46.0</v>
      </c>
      <c r="M63" s="68">
        <v>0.0</v>
      </c>
      <c r="N63" s="29"/>
    </row>
    <row r="64" ht="27.75" customHeight="1">
      <c r="A64" s="52" t="s">
        <v>171</v>
      </c>
      <c r="B64" s="54">
        <v>13.0</v>
      </c>
      <c r="C64" s="38">
        <f t="shared" si="1"/>
        <v>0</v>
      </c>
      <c r="D64" s="68">
        <v>2.0</v>
      </c>
      <c r="E64" s="63">
        <f t="shared" si="2"/>
        <v>0</v>
      </c>
      <c r="F64" s="59">
        <f t="shared" si="3"/>
        <v>0.1538461538</v>
      </c>
      <c r="G64" s="69" t="s">
        <v>26</v>
      </c>
      <c r="H64" s="69" t="s">
        <v>26</v>
      </c>
      <c r="I64" s="64" t="str">
        <f>HYPERLINK("https://guampdn.com/story/news/local/2020/03/28/saipan-confirms-two-covid-19-positive-cases/2932326001/","Source")</f>
        <v>Source</v>
      </c>
      <c r="J64" s="29"/>
      <c r="K64" s="29"/>
      <c r="L64" s="54">
        <v>13.0</v>
      </c>
      <c r="M64" s="68">
        <v>2.0</v>
      </c>
      <c r="N64" s="29"/>
    </row>
    <row r="65" ht="27.75" customHeight="1">
      <c r="A65" s="52" t="s">
        <v>174</v>
      </c>
      <c r="B65" s="54">
        <v>3.0</v>
      </c>
      <c r="C65" s="38">
        <f t="shared" si="1"/>
        <v>0</v>
      </c>
      <c r="D65" s="68">
        <v>0.0</v>
      </c>
      <c r="E65" s="63">
        <f t="shared" si="2"/>
        <v>0</v>
      </c>
      <c r="F65" s="42">
        <f t="shared" si="3"/>
        <v>0</v>
      </c>
      <c r="G65" s="69" t="s">
        <v>26</v>
      </c>
      <c r="H65" s="69" t="s">
        <v>26</v>
      </c>
      <c r="I65" s="100" t="s">
        <v>26</v>
      </c>
      <c r="J65" s="29"/>
      <c r="K65" s="29"/>
      <c r="L65" s="54">
        <v>3.0</v>
      </c>
      <c r="M65" s="68">
        <v>0.0</v>
      </c>
      <c r="N65" s="29"/>
    </row>
    <row r="66" ht="27.75" customHeight="1">
      <c r="A66" s="52" t="s">
        <v>178</v>
      </c>
      <c r="B66" s="54">
        <v>0.0</v>
      </c>
      <c r="C66" s="38">
        <f t="shared" si="1"/>
        <v>0</v>
      </c>
      <c r="D66" s="68">
        <v>0.0</v>
      </c>
      <c r="E66" s="63">
        <f t="shared" si="2"/>
        <v>0</v>
      </c>
      <c r="F66" s="101" t="s">
        <v>53</v>
      </c>
      <c r="G66" s="69" t="s">
        <v>26</v>
      </c>
      <c r="H66" s="69" t="s">
        <v>26</v>
      </c>
      <c r="I66" s="76" t="s">
        <v>26</v>
      </c>
      <c r="J66" s="29"/>
      <c r="K66" s="29"/>
      <c r="L66" s="54">
        <v>0.0</v>
      </c>
      <c r="M66" s="68">
        <v>0.0</v>
      </c>
      <c r="N66" s="29"/>
    </row>
    <row r="67" ht="15.75" customHeight="1">
      <c r="A67" s="102" t="s">
        <v>181</v>
      </c>
      <c r="B67" s="103">
        <v>717.0</v>
      </c>
      <c r="C67" s="103"/>
      <c r="D67" s="105">
        <v>2.0</v>
      </c>
      <c r="E67" s="105"/>
      <c r="F67" s="106"/>
      <c r="G67" s="106"/>
      <c r="H67" s="107"/>
      <c r="I67" s="108"/>
      <c r="J67" s="57"/>
      <c r="K67" s="57"/>
      <c r="L67" s="103">
        <v>717.0</v>
      </c>
      <c r="M67" s="105">
        <v>2.0</v>
      </c>
      <c r="N67" s="57"/>
    </row>
    <row r="68" ht="30.0" customHeight="1">
      <c r="A68" s="109" t="s">
        <v>184</v>
      </c>
      <c r="B68" s="110">
        <f>SUM(B6:B67)</f>
        <v>644560</v>
      </c>
      <c r="C68" s="111">
        <f>SUM(C6:C66)</f>
        <v>30144</v>
      </c>
      <c r="D68" s="110">
        <f>SUM(D6:D67)</f>
        <v>32429</v>
      </c>
      <c r="E68" s="112">
        <f>SUM(E6:E66)</f>
        <v>2532</v>
      </c>
      <c r="F68" s="113">
        <f>DIVIDE(B3,A3)</f>
        <v>0.05031184064</v>
      </c>
      <c r="G68" s="114">
        <f t="shared" ref="G68:H68" si="4">SUM(G6:G65)</f>
        <v>7758</v>
      </c>
      <c r="H68" s="115">
        <f t="shared" si="4"/>
        <v>36444</v>
      </c>
      <c r="I68" s="116"/>
      <c r="J68" s="29"/>
      <c r="K68" s="29"/>
      <c r="L68" s="110">
        <f t="shared" ref="L68:M68" si="5">SUM(L6:L67)</f>
        <v>614416</v>
      </c>
      <c r="M68" s="110">
        <f t="shared" si="5"/>
        <v>29897</v>
      </c>
      <c r="N68" s="29"/>
    </row>
    <row r="69">
      <c r="A69" s="117"/>
      <c r="B69" s="118" t="s">
        <v>7</v>
      </c>
      <c r="C69" s="118" t="s">
        <v>9</v>
      </c>
      <c r="D69" s="118" t="s">
        <v>10</v>
      </c>
      <c r="E69" s="119" t="s">
        <v>11</v>
      </c>
      <c r="F69" s="119" t="s">
        <v>191</v>
      </c>
      <c r="G69" s="119" t="s">
        <v>13</v>
      </c>
      <c r="H69" s="119" t="s">
        <v>14</v>
      </c>
      <c r="I69" s="118" t="s">
        <v>15</v>
      </c>
      <c r="J69" s="9"/>
      <c r="K69" s="9"/>
      <c r="L69" s="118" t="s">
        <v>7</v>
      </c>
      <c r="M69" s="118" t="s">
        <v>10</v>
      </c>
      <c r="N69" s="9"/>
    </row>
    <row r="70">
      <c r="A70" s="86"/>
      <c r="B70" s="87"/>
      <c r="C70" s="87"/>
      <c r="D70" s="87"/>
      <c r="E70" s="87"/>
      <c r="F70" s="87"/>
      <c r="G70" s="87"/>
      <c r="H70" s="87"/>
      <c r="I70" s="89"/>
      <c r="J70" s="9"/>
      <c r="K70" s="9"/>
      <c r="L70" s="87"/>
      <c r="M70" s="87"/>
      <c r="N70" s="9"/>
    </row>
  </sheetData>
  <mergeCells count="2">
    <mergeCell ref="A1:H1"/>
    <mergeCell ref="E2:G2"/>
  </mergeCells>
  <drawing r:id="rId1"/>
  <tableParts count="3"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0"/>
    <col customWidth="1" min="2" max="2" width="11.14"/>
    <col customWidth="1" min="3" max="3" width="9.43"/>
    <col customWidth="1" min="4" max="4" width="9.0"/>
    <col customWidth="1" min="5" max="5" width="8.43"/>
    <col customWidth="1" min="6" max="7" width="9.71"/>
    <col customWidth="1" min="8" max="8" width="12.43"/>
    <col customWidth="1" min="9" max="9" width="11.29"/>
    <col customWidth="1" min="10" max="10" width="0.86"/>
    <col customWidth="1" min="12" max="12" width="11.14"/>
    <col customWidth="1" min="13" max="13" width="9.0"/>
  </cols>
  <sheetData>
    <row r="1" ht="12.75" customHeight="1">
      <c r="A1" s="1"/>
      <c r="J1" s="3"/>
      <c r="K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4" t="s">
        <v>1</v>
      </c>
      <c r="B2" s="4" t="s">
        <v>2</v>
      </c>
      <c r="C2" s="5" t="s">
        <v>3</v>
      </c>
      <c r="D2" s="4"/>
      <c r="E2" s="8" t="s">
        <v>4</v>
      </c>
      <c r="I2" s="7"/>
      <c r="J2" s="9"/>
      <c r="K2" s="9"/>
      <c r="L2" s="4" t="s">
        <v>2</v>
      </c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13">
        <f>SUM(B17, B18)</f>
        <v>6440</v>
      </c>
      <c r="B3" s="13">
        <f>SUM(D17, D18)</f>
        <v>63</v>
      </c>
      <c r="C3" s="14">
        <f>SUM(H17, H18)</f>
        <v>2186</v>
      </c>
      <c r="D3" s="13"/>
      <c r="E3" s="16">
        <f>MINUS(A3,B3 + C3)</f>
        <v>4191</v>
      </c>
      <c r="F3" s="16"/>
      <c r="G3" s="16"/>
      <c r="H3" s="5"/>
      <c r="I3" s="7"/>
      <c r="J3" s="9"/>
      <c r="K3" s="9"/>
      <c r="L3" s="13">
        <f>SUM(N17, N18)</f>
        <v>0</v>
      </c>
      <c r="M3" s="1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18"/>
      <c r="B4" s="7"/>
      <c r="C4" s="7"/>
      <c r="D4" s="7"/>
      <c r="E4" s="7"/>
      <c r="F4" s="6"/>
      <c r="G4" s="6"/>
      <c r="H4" s="6"/>
      <c r="I4" s="7"/>
      <c r="J4" s="9"/>
      <c r="K4" s="9"/>
      <c r="L4" s="7"/>
      <c r="M4" s="7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30.0" customHeight="1">
      <c r="A5" s="21" t="s">
        <v>8</v>
      </c>
      <c r="B5" s="23" t="s">
        <v>7</v>
      </c>
      <c r="C5" s="25" t="s">
        <v>9</v>
      </c>
      <c r="D5" s="23" t="s">
        <v>10</v>
      </c>
      <c r="E5" s="26" t="s">
        <v>11</v>
      </c>
      <c r="F5" s="26" t="s">
        <v>12</v>
      </c>
      <c r="G5" s="27" t="s">
        <v>13</v>
      </c>
      <c r="H5" s="27" t="s">
        <v>14</v>
      </c>
      <c r="I5" s="23" t="s">
        <v>15</v>
      </c>
      <c r="J5" s="29"/>
      <c r="K5" s="29"/>
      <c r="L5" s="23" t="s">
        <v>7</v>
      </c>
      <c r="M5" s="23" t="s">
        <v>10</v>
      </c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</row>
    <row r="6" ht="30.0" customHeight="1">
      <c r="A6" s="33" t="s">
        <v>16</v>
      </c>
      <c r="B6" s="35">
        <v>2886.0</v>
      </c>
      <c r="C6" s="38">
        <f t="shared" ref="C6:C15" si="1">MINUS(B6,L6)</f>
        <v>16</v>
      </c>
      <c r="D6" s="35">
        <v>25.0</v>
      </c>
      <c r="E6" s="40">
        <f t="shared" ref="E6:E13" si="2">MINUS(D6,M6)</f>
        <v>0</v>
      </c>
      <c r="F6" s="42">
        <f t="shared" ref="F6:F13" si="3">DIVIDE(D6, B6)</f>
        <v>0.008662508663</v>
      </c>
      <c r="G6" s="44">
        <v>40.0</v>
      </c>
      <c r="H6" s="48">
        <v>4.0</v>
      </c>
      <c r="I6" s="51" t="str">
        <f>HYPERLINK("https://www.health.nsw.gov.au/news/Pages/20200406_00.aspx","Source")</f>
        <v>Source</v>
      </c>
      <c r="J6" s="57"/>
      <c r="K6" s="29"/>
      <c r="L6" s="35">
        <v>2870.0</v>
      </c>
      <c r="M6" s="35">
        <v>25.0</v>
      </c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</row>
    <row r="7" ht="30.0" customHeight="1">
      <c r="A7" s="33" t="s">
        <v>21</v>
      </c>
      <c r="B7" s="35">
        <v>1299.0</v>
      </c>
      <c r="C7" s="38">
        <f t="shared" si="1"/>
        <v>8</v>
      </c>
      <c r="D7" s="61">
        <v>14.0</v>
      </c>
      <c r="E7" s="63">
        <f t="shared" si="2"/>
        <v>0</v>
      </c>
      <c r="F7" s="65">
        <f t="shared" si="3"/>
        <v>0.01077752117</v>
      </c>
      <c r="G7" s="48">
        <v>11.0</v>
      </c>
      <c r="H7" s="44">
        <v>1118.0</v>
      </c>
      <c r="I7" s="51" t="str">
        <f>HYPERLINK("https://www.dhhs.vic.gov.au/coronavirus-update-victoria-6-april-2020","Source")</f>
        <v>Source</v>
      </c>
      <c r="J7" s="57"/>
      <c r="K7" s="29"/>
      <c r="L7" s="35">
        <v>1291.0</v>
      </c>
      <c r="M7" s="61">
        <v>14.0</v>
      </c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</row>
    <row r="8" ht="30.0" customHeight="1">
      <c r="A8" s="34" t="s">
        <v>25</v>
      </c>
      <c r="B8" s="36">
        <v>999.0</v>
      </c>
      <c r="C8" s="38">
        <f t="shared" si="1"/>
        <v>1</v>
      </c>
      <c r="D8" s="70">
        <v>5.0</v>
      </c>
      <c r="E8" s="63">
        <f t="shared" si="2"/>
        <v>0</v>
      </c>
      <c r="F8" s="42">
        <f t="shared" si="3"/>
        <v>0.005005005005</v>
      </c>
      <c r="G8" s="48" t="s">
        <v>26</v>
      </c>
      <c r="H8" s="71">
        <v>442.0</v>
      </c>
      <c r="I8" s="46" t="str">
        <f>HYPERLINK("https://www.health.qld.gov.au/news-events/doh-media-releases/releases/queensland-novel-coronavirus-covid-19-update-2020-04-06","Source")</f>
        <v>Source</v>
      </c>
      <c r="J8" s="57"/>
      <c r="K8" s="29"/>
      <c r="L8" s="36">
        <v>998.0</v>
      </c>
      <c r="M8" s="70">
        <v>5.0</v>
      </c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</row>
    <row r="9" ht="30.0" customHeight="1">
      <c r="A9" s="33" t="s">
        <v>29</v>
      </c>
      <c r="B9" s="35">
        <v>527.0</v>
      </c>
      <c r="C9" s="38">
        <f t="shared" si="1"/>
        <v>0</v>
      </c>
      <c r="D9" s="61">
        <v>6.0</v>
      </c>
      <c r="E9" s="63">
        <f t="shared" si="2"/>
        <v>0</v>
      </c>
      <c r="F9" s="42">
        <f t="shared" si="3"/>
        <v>0.01138519924</v>
      </c>
      <c r="G9" s="48">
        <v>18.0</v>
      </c>
      <c r="H9" s="48">
        <v>251.0</v>
      </c>
      <c r="I9" s="51" t="str">
        <f>HYPERLINK("https://ww2.health.wa.gov.au/Media-releases/2020/COVID19-update---11-April-2020","Source")</f>
        <v>Source</v>
      </c>
      <c r="J9" s="57"/>
      <c r="K9" s="29"/>
      <c r="L9" s="35">
        <v>527.0</v>
      </c>
      <c r="M9" s="61">
        <v>6.0</v>
      </c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</row>
    <row r="10" ht="30.0" customHeight="1">
      <c r="A10" s="33" t="s">
        <v>35</v>
      </c>
      <c r="B10" s="35">
        <v>433.0</v>
      </c>
      <c r="C10" s="38">
        <f t="shared" si="1"/>
        <v>0</v>
      </c>
      <c r="D10" s="61">
        <v>4.0</v>
      </c>
      <c r="E10" s="63">
        <f t="shared" si="2"/>
        <v>0</v>
      </c>
      <c r="F10" s="65">
        <f t="shared" si="3"/>
        <v>0.009237875289</v>
      </c>
      <c r="G10" s="48">
        <v>10.0</v>
      </c>
      <c r="H10" s="48">
        <v>240.0</v>
      </c>
      <c r="I10" s="51" t="str">
        <f>HYPERLINK("https://www.sahealth.sa.gov.au/wps/wcm/connect/public+content/sa+health+internet/health+topics/health+topics+a+-+z/covid+2019/latest+updates/confirmed+and+suspected+cases+of+covid-19+in+south+australia","Source")</f>
        <v>Source</v>
      </c>
      <c r="J10" s="57"/>
      <c r="K10" s="29"/>
      <c r="L10" s="35">
        <v>433.0</v>
      </c>
      <c r="M10" s="61">
        <v>4.0</v>
      </c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</row>
    <row r="11" ht="30.0" customHeight="1">
      <c r="A11" s="33" t="s">
        <v>38</v>
      </c>
      <c r="B11" s="35">
        <v>165.0</v>
      </c>
      <c r="C11" s="38">
        <f t="shared" si="1"/>
        <v>0</v>
      </c>
      <c r="D11" s="61">
        <v>6.0</v>
      </c>
      <c r="E11" s="63">
        <f t="shared" si="2"/>
        <v>0</v>
      </c>
      <c r="F11" s="42">
        <f t="shared" si="3"/>
        <v>0.03636363636</v>
      </c>
      <c r="G11" s="48" t="s">
        <v>26</v>
      </c>
      <c r="H11" s="48">
        <v>53.0</v>
      </c>
      <c r="I11" s="51" t="str">
        <f>HYPERLINK("https://twitter.com/abchobart/status/1248184081776627713","Source")</f>
        <v>Source</v>
      </c>
      <c r="J11" s="57"/>
      <c r="K11" s="29"/>
      <c r="L11" s="35">
        <v>165.0</v>
      </c>
      <c r="M11" s="61">
        <v>6.0</v>
      </c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</row>
    <row r="12" ht="30.0" customHeight="1">
      <c r="A12" s="33" t="s">
        <v>43</v>
      </c>
      <c r="B12" s="35">
        <v>103.0</v>
      </c>
      <c r="C12" s="38">
        <f t="shared" si="1"/>
        <v>0</v>
      </c>
      <c r="D12" s="61">
        <v>3.0</v>
      </c>
      <c r="E12" s="63">
        <f t="shared" si="2"/>
        <v>1</v>
      </c>
      <c r="F12" s="65">
        <f t="shared" si="3"/>
        <v>0.02912621359</v>
      </c>
      <c r="G12" s="48" t="s">
        <v>26</v>
      </c>
      <c r="H12" s="48">
        <v>72.0</v>
      </c>
      <c r="I12" s="51" t="str">
        <f>HYPERLINK("https://www.covid19.act.gov.au/news-articles/covid-19-update-6-april-0-new-cases","Source")</f>
        <v>Source</v>
      </c>
      <c r="J12" s="57"/>
      <c r="K12" s="29"/>
      <c r="L12" s="35">
        <v>103.0</v>
      </c>
      <c r="M12" s="61">
        <v>2.0</v>
      </c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</row>
    <row r="13" ht="30.0" customHeight="1">
      <c r="A13" s="33" t="s">
        <v>46</v>
      </c>
      <c r="B13" s="35">
        <v>28.0</v>
      </c>
      <c r="C13" s="38">
        <f t="shared" si="1"/>
        <v>0</v>
      </c>
      <c r="D13" s="61">
        <v>0.0</v>
      </c>
      <c r="E13" s="63">
        <f t="shared" si="2"/>
        <v>0</v>
      </c>
      <c r="F13" s="65">
        <f t="shared" si="3"/>
        <v>0</v>
      </c>
      <c r="G13" s="48" t="s">
        <v>26</v>
      </c>
      <c r="H13" s="48">
        <v>6.0</v>
      </c>
      <c r="I13" s="51" t="str">
        <f>HYPERLINK("http://mediareleases.nt.gov.au/mediaRelease/33157","Source")</f>
        <v>Source</v>
      </c>
      <c r="J13" s="57"/>
      <c r="K13" s="29"/>
      <c r="L13" s="35">
        <v>28.0</v>
      </c>
      <c r="M13" s="61">
        <v>0.0</v>
      </c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</row>
    <row r="14" ht="30.0" customHeight="1">
      <c r="A14" s="33" t="s">
        <v>50</v>
      </c>
      <c r="B14" s="35">
        <v>0.0</v>
      </c>
      <c r="C14" s="38">
        <f t="shared" si="1"/>
        <v>0</v>
      </c>
      <c r="D14" s="61">
        <v>0.0</v>
      </c>
      <c r="E14" s="40">
        <f t="shared" ref="E14:E15" si="4">MINUS(D14,L14)</f>
        <v>0</v>
      </c>
      <c r="F14" s="74" t="s">
        <v>53</v>
      </c>
      <c r="G14" s="48">
        <v>0.0</v>
      </c>
      <c r="H14" s="48">
        <v>0.0</v>
      </c>
      <c r="I14" s="75"/>
      <c r="J14" s="29"/>
      <c r="K14" s="29"/>
      <c r="L14" s="35">
        <v>0.0</v>
      </c>
      <c r="M14" s="61">
        <v>0.0</v>
      </c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</row>
    <row r="15" ht="30.0" customHeight="1">
      <c r="A15" s="33" t="s">
        <v>56</v>
      </c>
      <c r="B15" s="35">
        <v>0.0</v>
      </c>
      <c r="C15" s="38">
        <f t="shared" si="1"/>
        <v>0</v>
      </c>
      <c r="D15" s="61">
        <v>0.0</v>
      </c>
      <c r="E15" s="40">
        <f t="shared" si="4"/>
        <v>0</v>
      </c>
      <c r="F15" s="77" t="s">
        <v>53</v>
      </c>
      <c r="G15" s="48">
        <v>0.0</v>
      </c>
      <c r="H15" s="48">
        <v>0.0</v>
      </c>
      <c r="I15" s="75"/>
      <c r="J15" s="29"/>
      <c r="K15" s="29"/>
      <c r="L15" s="35">
        <v>0.0</v>
      </c>
      <c r="M15" s="61">
        <v>0.0</v>
      </c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</row>
    <row r="16" ht="12.75" customHeight="1">
      <c r="A16" s="78"/>
      <c r="B16" s="79"/>
      <c r="C16" s="78"/>
      <c r="D16" s="80"/>
      <c r="E16" s="78"/>
      <c r="F16" s="81"/>
      <c r="G16" s="81"/>
      <c r="H16" s="81"/>
      <c r="I16" s="82"/>
      <c r="J16" s="29"/>
      <c r="K16" s="29"/>
      <c r="L16" s="79"/>
      <c r="M16" s="80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</row>
    <row r="17" ht="30.0" customHeight="1">
      <c r="A17" s="83" t="s">
        <v>61</v>
      </c>
      <c r="B17" s="84">
        <f>SUM(B6:B15)</f>
        <v>6440</v>
      </c>
      <c r="C17" s="38">
        <f>MINUS(B17,L17)</f>
        <v>25</v>
      </c>
      <c r="D17" s="84">
        <f>SUM(D6:D15)</f>
        <v>63</v>
      </c>
      <c r="E17" s="40">
        <f>MINUS(D17,M17)</f>
        <v>1</v>
      </c>
      <c r="F17" s="42">
        <f>DIVIDE(D17, B17)</f>
        <v>0.009782608696</v>
      </c>
      <c r="G17" s="84">
        <f t="shared" ref="G17:H17" si="5">SUM(G6:G15)</f>
        <v>79</v>
      </c>
      <c r="H17" s="84">
        <f t="shared" si="5"/>
        <v>2186</v>
      </c>
      <c r="I17" s="85"/>
      <c r="J17" s="29"/>
      <c r="K17" s="29"/>
      <c r="L17" s="84">
        <f t="shared" ref="L17:M17" si="6">SUM(L6:L15)</f>
        <v>6415</v>
      </c>
      <c r="M17" s="84">
        <f t="shared" si="6"/>
        <v>62</v>
      </c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</row>
    <row r="18">
      <c r="A18" s="86"/>
      <c r="B18" s="87"/>
      <c r="C18" s="87"/>
      <c r="D18" s="87"/>
      <c r="E18" s="87"/>
      <c r="F18" s="88"/>
      <c r="G18" s="88"/>
      <c r="H18" s="87"/>
      <c r="I18" s="89"/>
      <c r="J18" s="9"/>
      <c r="K18" s="9"/>
      <c r="L18" s="87"/>
      <c r="M18" s="87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>
      <c r="A19" s="91"/>
      <c r="B19" s="92"/>
      <c r="C19" s="92"/>
      <c r="D19" s="10"/>
      <c r="E19" s="10"/>
      <c r="F19" s="10"/>
      <c r="G19" s="10"/>
      <c r="H19" s="10"/>
      <c r="I19" s="3"/>
      <c r="J19" s="9"/>
      <c r="K19" s="9"/>
      <c r="L19" s="92"/>
      <c r="M19" s="10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>
      <c r="A20" s="93"/>
      <c r="B20" s="10"/>
      <c r="C20" s="10"/>
      <c r="D20" s="10"/>
      <c r="E20" s="10"/>
      <c r="F20" s="10"/>
      <c r="G20" s="10"/>
      <c r="H20" s="10"/>
      <c r="I20" s="3"/>
      <c r="J20" s="3"/>
      <c r="K20" s="3"/>
      <c r="L20" s="10"/>
      <c r="M20" s="10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>
      <c r="A21" s="93"/>
      <c r="B21" s="10"/>
      <c r="C21" s="10"/>
      <c r="D21" s="10"/>
      <c r="E21" s="10"/>
      <c r="F21" s="10"/>
      <c r="G21" s="10"/>
      <c r="H21" s="10"/>
      <c r="I21" s="3"/>
      <c r="J21" s="3"/>
      <c r="K21" s="3"/>
      <c r="L21" s="10"/>
      <c r="M21" s="10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</sheetData>
  <mergeCells count="2">
    <mergeCell ref="A1:I1"/>
    <mergeCell ref="E2:H2"/>
  </mergeCells>
  <drawing r:id="rId1"/>
  <tableParts count="2"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0"/>
    <col customWidth="1" min="2" max="2" width="11.14"/>
    <col customWidth="1" min="3" max="3" width="9.43"/>
    <col customWidth="1" min="4" max="4" width="9.0"/>
    <col customWidth="1" min="5" max="5" width="9.86"/>
    <col customWidth="1" min="6" max="6" width="9.71"/>
    <col customWidth="1" min="7" max="7" width="12.43"/>
    <col customWidth="1" min="8" max="8" width="11.29"/>
    <col customWidth="1" min="9" max="9" width="0.86"/>
    <col customWidth="1" min="11" max="11" width="11.14"/>
    <col customWidth="1" min="12" max="12" width="9.0"/>
  </cols>
  <sheetData>
    <row r="1" ht="12.75" customHeight="1">
      <c r="A1" s="1"/>
      <c r="I1" s="3"/>
      <c r="J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>
      <c r="A2" s="4" t="s">
        <v>1</v>
      </c>
      <c r="B2" s="4" t="s">
        <v>2</v>
      </c>
      <c r="C2" s="5" t="s">
        <v>3</v>
      </c>
      <c r="D2" s="4"/>
      <c r="E2" s="8" t="s">
        <v>4</v>
      </c>
      <c r="H2" s="7"/>
      <c r="I2" s="9"/>
      <c r="J2" s="9"/>
      <c r="K2" s="4"/>
      <c r="L2" s="4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>
      <c r="A3" s="13">
        <f>SUM(B17, B18)</f>
        <v>180</v>
      </c>
      <c r="B3" s="13">
        <f>SUM(D17, D18)</f>
        <v>219</v>
      </c>
      <c r="C3" s="14">
        <f>SUM(G17, G18)</f>
        <v>0</v>
      </c>
      <c r="D3" s="13"/>
      <c r="E3" s="16">
        <f>MINUS(A3,B3 + C3)</f>
        <v>-39</v>
      </c>
      <c r="F3" s="16"/>
      <c r="G3" s="5"/>
      <c r="H3" s="7"/>
      <c r="I3" s="9"/>
      <c r="J3" s="9"/>
      <c r="K3" s="13"/>
      <c r="L3" s="1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>
      <c r="A4" s="18"/>
      <c r="B4" s="7"/>
      <c r="C4" s="7"/>
      <c r="D4" s="7"/>
      <c r="E4" s="7"/>
      <c r="F4" s="6"/>
      <c r="G4" s="6"/>
      <c r="H4" s="7"/>
      <c r="I4" s="9"/>
      <c r="J4" s="9"/>
      <c r="K4" s="7"/>
      <c r="L4" s="7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ht="30.0" customHeight="1">
      <c r="A5" s="21" t="s">
        <v>90</v>
      </c>
      <c r="B5" s="23" t="s">
        <v>7</v>
      </c>
      <c r="C5" s="23" t="s">
        <v>10</v>
      </c>
      <c r="D5" s="23" t="s">
        <v>92</v>
      </c>
      <c r="E5" s="26" t="s">
        <v>93</v>
      </c>
      <c r="F5" s="26" t="s">
        <v>12</v>
      </c>
      <c r="G5" s="27" t="s">
        <v>14</v>
      </c>
      <c r="H5" s="23" t="s">
        <v>15</v>
      </c>
      <c r="I5" s="29"/>
      <c r="J5" s="29"/>
      <c r="K5" s="23" t="s">
        <v>7</v>
      </c>
      <c r="L5" s="23" t="s">
        <v>10</v>
      </c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</row>
    <row r="6" ht="30.0" customHeight="1">
      <c r="A6" s="33" t="s">
        <v>94</v>
      </c>
      <c r="B6" s="35">
        <v>0.0</v>
      </c>
      <c r="C6" s="35">
        <v>0.0</v>
      </c>
      <c r="D6" s="35">
        <v>0.0</v>
      </c>
      <c r="E6" s="42" t="str">
        <f t="shared" ref="E6:F6" si="1">DIVIDE(C6, A6)</f>
        <v>#VALUE!</v>
      </c>
      <c r="F6" s="42" t="str">
        <f t="shared" si="1"/>
        <v>#DIV/0!</v>
      </c>
      <c r="G6" s="44" t="s">
        <v>26</v>
      </c>
      <c r="H6" s="44" t="s">
        <v>26</v>
      </c>
      <c r="I6" s="57"/>
      <c r="J6" s="29"/>
      <c r="K6" s="35">
        <v>0.0</v>
      </c>
      <c r="L6" s="35">
        <v>0.0</v>
      </c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</row>
    <row r="7" ht="30.0" customHeight="1">
      <c r="A7" s="33" t="s">
        <v>97</v>
      </c>
      <c r="B7" s="35">
        <v>128.0</v>
      </c>
      <c r="C7" s="61">
        <v>0.0</v>
      </c>
      <c r="D7" s="61">
        <v>219.0</v>
      </c>
      <c r="E7" s="65" t="str">
        <f t="shared" ref="E7:F7" si="2">DIVIDE(C7, A7)</f>
        <v>#VALUE!</v>
      </c>
      <c r="F7" s="65">
        <f t="shared" si="2"/>
        <v>1.7109375</v>
      </c>
      <c r="G7" s="44" t="s">
        <v>26</v>
      </c>
      <c r="H7" s="97" t="str">
        <f>HYPERLINK("https://web.archive.org/web/20200409070153/https://www.auroraexpeditions.com.au/asg80-update/","Source")</f>
        <v>Source</v>
      </c>
      <c r="I7" s="57"/>
      <c r="J7" s="29"/>
      <c r="K7" s="35">
        <v>0.0</v>
      </c>
      <c r="L7" s="61">
        <v>0.0</v>
      </c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</row>
    <row r="8" ht="30.0" customHeight="1">
      <c r="A8" s="34" t="s">
        <v>103</v>
      </c>
      <c r="B8" s="36" t="s">
        <v>104</v>
      </c>
      <c r="C8" s="70">
        <v>1.0</v>
      </c>
      <c r="D8" s="70" t="s">
        <v>104</v>
      </c>
      <c r="E8" s="42" t="str">
        <f t="shared" ref="E8:F8" si="3">DIVIDE(C8, A8)</f>
        <v>#VALUE!</v>
      </c>
      <c r="F8" s="42" t="str">
        <f t="shared" si="3"/>
        <v>#VALUE!</v>
      </c>
      <c r="G8" s="44" t="s">
        <v>26</v>
      </c>
      <c r="H8" s="97" t="str">
        <f>HYPERLINK("https://wsvn.com/news/local/miami-dade/crew-member-of-cruise-ship-with-virus-cases-dies-in-florida/?utm_medium=social&amp;utm_source=twitter_wsvn","Source")</f>
        <v>Source</v>
      </c>
      <c r="I8" s="57"/>
      <c r="J8" s="29"/>
      <c r="K8" s="36">
        <v>0.0</v>
      </c>
      <c r="L8" s="70">
        <v>0.0</v>
      </c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</row>
    <row r="9" ht="30.0" customHeight="1">
      <c r="A9" s="33" t="s">
        <v>107</v>
      </c>
      <c r="B9" s="35">
        <v>52.0</v>
      </c>
      <c r="C9" s="61">
        <v>0.0</v>
      </c>
      <c r="D9" s="61" t="s">
        <v>26</v>
      </c>
      <c r="E9" s="42" t="str">
        <f t="shared" ref="E9:F9" si="4">DIVIDE(C9, A9)</f>
        <v>#VALUE!</v>
      </c>
      <c r="F9" s="42" t="str">
        <f t="shared" si="4"/>
        <v>#VALUE!</v>
      </c>
      <c r="G9" s="44" t="s">
        <v>26</v>
      </c>
      <c r="H9" s="44" t="s">
        <v>110</v>
      </c>
      <c r="I9" s="57"/>
      <c r="J9" s="29"/>
      <c r="K9" s="35">
        <v>0.0</v>
      </c>
      <c r="L9" s="61">
        <v>0.0</v>
      </c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</row>
    <row r="10" ht="30.0" customHeight="1">
      <c r="A10" s="33" t="s">
        <v>94</v>
      </c>
      <c r="B10" s="35">
        <v>0.0</v>
      </c>
      <c r="C10" s="61">
        <v>0.0</v>
      </c>
      <c r="D10" s="61">
        <v>0.0</v>
      </c>
      <c r="E10" s="65" t="str">
        <f t="shared" ref="E10:F10" si="5">DIVIDE(C10, A10)</f>
        <v>#VALUE!</v>
      </c>
      <c r="F10" s="65" t="str">
        <f t="shared" si="5"/>
        <v>#DIV/0!</v>
      </c>
      <c r="G10" s="44" t="s">
        <v>26</v>
      </c>
      <c r="H10" s="97" t="str">
        <f>HYPERLINK("https://twitter.com/MOH_TT/status/1249067598978977799","N/A")</f>
        <v>N/A</v>
      </c>
      <c r="I10" s="57"/>
      <c r="J10" s="29"/>
      <c r="K10" s="35">
        <v>0.0</v>
      </c>
      <c r="L10" s="61">
        <v>0.0</v>
      </c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</row>
    <row r="11" ht="30.0" customHeight="1">
      <c r="A11" s="33" t="s">
        <v>94</v>
      </c>
      <c r="B11" s="35">
        <v>0.0</v>
      </c>
      <c r="C11" s="61">
        <v>0.0</v>
      </c>
      <c r="D11" s="61">
        <v>0.0</v>
      </c>
      <c r="E11" s="42" t="str">
        <f t="shared" ref="E11:F11" si="6">DIVIDE(C11, A11)</f>
        <v>#VALUE!</v>
      </c>
      <c r="F11" s="42" t="str">
        <f t="shared" si="6"/>
        <v>#DIV/0!</v>
      </c>
      <c r="G11" s="44" t="s">
        <v>26</v>
      </c>
      <c r="H11" s="44" t="s">
        <v>26</v>
      </c>
      <c r="I11" s="57"/>
      <c r="J11" s="29"/>
      <c r="K11" s="35">
        <v>0.0</v>
      </c>
      <c r="L11" s="61">
        <v>0.0</v>
      </c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</row>
    <row r="12" ht="30.0" customHeight="1">
      <c r="A12" s="33" t="s">
        <v>94</v>
      </c>
      <c r="B12" s="35">
        <v>0.0</v>
      </c>
      <c r="C12" s="61">
        <v>0.0</v>
      </c>
      <c r="D12" s="61">
        <v>0.0</v>
      </c>
      <c r="E12" s="65" t="str">
        <f t="shared" ref="E12:F12" si="7">DIVIDE(C12, A12)</f>
        <v>#VALUE!</v>
      </c>
      <c r="F12" s="65" t="str">
        <f t="shared" si="7"/>
        <v>#DIV/0!</v>
      </c>
      <c r="G12" s="44" t="s">
        <v>26</v>
      </c>
      <c r="H12" s="44" t="s">
        <v>26</v>
      </c>
      <c r="I12" s="57"/>
      <c r="J12" s="29"/>
      <c r="K12" s="35">
        <v>0.0</v>
      </c>
      <c r="L12" s="61">
        <v>0.0</v>
      </c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</row>
    <row r="13" ht="30.0" customHeight="1">
      <c r="A13" s="33" t="s">
        <v>94</v>
      </c>
      <c r="B13" s="35">
        <v>0.0</v>
      </c>
      <c r="C13" s="61">
        <v>0.0</v>
      </c>
      <c r="D13" s="61">
        <v>0.0</v>
      </c>
      <c r="E13" s="65" t="str">
        <f t="shared" ref="E13:F13" si="8">DIVIDE(C13, A13)</f>
        <v>#VALUE!</v>
      </c>
      <c r="F13" s="65" t="str">
        <f t="shared" si="8"/>
        <v>#DIV/0!</v>
      </c>
      <c r="G13" s="44" t="s">
        <v>26</v>
      </c>
      <c r="H13" s="44" t="s">
        <v>26</v>
      </c>
      <c r="I13" s="57"/>
      <c r="J13" s="29"/>
      <c r="K13" s="35">
        <v>0.0</v>
      </c>
      <c r="L13" s="61">
        <v>0.0</v>
      </c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</row>
    <row r="14" ht="30.0" customHeight="1">
      <c r="A14" s="33" t="s">
        <v>94</v>
      </c>
      <c r="B14" s="35">
        <v>0.0</v>
      </c>
      <c r="C14" s="61">
        <v>0.0</v>
      </c>
      <c r="D14" s="61">
        <v>0.0</v>
      </c>
      <c r="E14" s="74" t="s">
        <v>53</v>
      </c>
      <c r="F14" s="74" t="s">
        <v>53</v>
      </c>
      <c r="G14" s="44" t="s">
        <v>26</v>
      </c>
      <c r="H14" s="44" t="s">
        <v>26</v>
      </c>
      <c r="I14" s="29"/>
      <c r="J14" s="29"/>
      <c r="K14" s="35">
        <v>0.0</v>
      </c>
      <c r="L14" s="61">
        <v>0.0</v>
      </c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</row>
    <row r="15" ht="30.0" customHeight="1">
      <c r="A15" s="33" t="s">
        <v>94</v>
      </c>
      <c r="B15" s="35">
        <v>0.0</v>
      </c>
      <c r="C15" s="61">
        <v>0.0</v>
      </c>
      <c r="D15" s="61">
        <v>0.0</v>
      </c>
      <c r="E15" s="77" t="s">
        <v>53</v>
      </c>
      <c r="F15" s="77" t="s">
        <v>53</v>
      </c>
      <c r="G15" s="44" t="s">
        <v>26</v>
      </c>
      <c r="H15" s="44" t="s">
        <v>26</v>
      </c>
      <c r="I15" s="29"/>
      <c r="J15" s="29"/>
      <c r="K15" s="35">
        <v>0.0</v>
      </c>
      <c r="L15" s="61">
        <v>0.0</v>
      </c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</row>
    <row r="16" ht="12.75" customHeight="1">
      <c r="A16" s="78"/>
      <c r="B16" s="79"/>
      <c r="C16" s="80"/>
      <c r="D16" s="80"/>
      <c r="E16" s="81"/>
      <c r="F16" s="81"/>
      <c r="G16" s="81"/>
      <c r="H16" s="82"/>
      <c r="I16" s="29"/>
      <c r="J16" s="29"/>
      <c r="K16" s="79"/>
      <c r="L16" s="80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</row>
    <row r="17" ht="30.0" customHeight="1">
      <c r="A17" s="83" t="s">
        <v>61</v>
      </c>
      <c r="B17" s="84">
        <f t="shared" ref="B17:D17" si="9">SUM(B6:B15)</f>
        <v>180</v>
      </c>
      <c r="C17" s="84">
        <f t="shared" si="9"/>
        <v>1</v>
      </c>
      <c r="D17" s="84">
        <f t="shared" si="9"/>
        <v>219</v>
      </c>
      <c r="E17" s="42" t="str">
        <f t="shared" ref="E17:F17" si="10">DIVIDE(C17, A17)</f>
        <v>#VALUE!</v>
      </c>
      <c r="F17" s="42">
        <f t="shared" si="10"/>
        <v>1.216666667</v>
      </c>
      <c r="G17" s="84">
        <f>SUM(G6:G15)</f>
        <v>0</v>
      </c>
      <c r="H17" s="85"/>
      <c r="I17" s="29"/>
      <c r="J17" s="29"/>
      <c r="K17" s="84">
        <f t="shared" ref="K17:L17" si="11">SUM(K6:K15)</f>
        <v>0</v>
      </c>
      <c r="L17" s="84">
        <f t="shared" si="11"/>
        <v>0</v>
      </c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</row>
    <row r="18">
      <c r="A18" s="86"/>
      <c r="B18" s="87"/>
      <c r="C18" s="87"/>
      <c r="D18" s="87"/>
      <c r="E18" s="87"/>
      <c r="F18" s="88"/>
      <c r="G18" s="87"/>
      <c r="H18" s="89"/>
      <c r="I18" s="9"/>
      <c r="J18" s="9"/>
      <c r="K18" s="87"/>
      <c r="L18" s="87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>
      <c r="A19" s="91"/>
      <c r="B19" s="92"/>
      <c r="C19" s="92"/>
      <c r="D19" s="10"/>
      <c r="E19" s="10"/>
      <c r="F19" s="10"/>
      <c r="G19" s="10"/>
      <c r="H19" s="3"/>
      <c r="I19" s="9"/>
      <c r="J19" s="9"/>
      <c r="K19" s="92"/>
      <c r="L19" s="10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>
      <c r="A20" s="93"/>
      <c r="B20" s="10"/>
      <c r="C20" s="10"/>
      <c r="D20" s="10"/>
      <c r="E20" s="10"/>
      <c r="F20" s="10"/>
      <c r="G20" s="10"/>
      <c r="H20" s="3"/>
      <c r="I20" s="3"/>
      <c r="J20" s="3"/>
      <c r="K20" s="10"/>
      <c r="L20" s="10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>
      <c r="A21" s="93"/>
      <c r="B21" s="10"/>
      <c r="C21" s="10"/>
      <c r="D21" s="10"/>
      <c r="E21" s="10"/>
      <c r="F21" s="10"/>
      <c r="G21" s="10"/>
      <c r="H21" s="3"/>
      <c r="I21" s="3"/>
      <c r="J21" s="3"/>
      <c r="K21" s="10"/>
      <c r="L21" s="10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</sheetData>
  <mergeCells count="2">
    <mergeCell ref="A1:H1"/>
    <mergeCell ref="E2:G2"/>
  </mergeCells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0.57"/>
    <col customWidth="1" min="2" max="2" width="10.86"/>
    <col customWidth="1" min="3" max="3" width="9.43"/>
    <col customWidth="1" min="4" max="5" width="8.43"/>
    <col customWidth="1" min="6" max="7" width="9.71"/>
    <col customWidth="1" min="8" max="8" width="12.43"/>
    <col customWidth="1" min="9" max="9" width="11.29"/>
    <col customWidth="1" min="10" max="10" width="0.71"/>
    <col customWidth="1" min="12" max="12" width="10.86"/>
    <col customWidth="1" min="13" max="13" width="8.43"/>
  </cols>
  <sheetData>
    <row r="1" ht="12.75" customHeight="1">
      <c r="A1" s="1"/>
      <c r="J1" s="3"/>
      <c r="K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</v>
      </c>
      <c r="B2" s="4" t="s">
        <v>2</v>
      </c>
      <c r="C2" s="5" t="s">
        <v>3</v>
      </c>
      <c r="D2" s="4"/>
      <c r="E2" s="8" t="s">
        <v>4</v>
      </c>
      <c r="I2" s="7"/>
      <c r="J2" s="9"/>
      <c r="K2" s="3"/>
      <c r="L2" s="4" t="s">
        <v>2</v>
      </c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3">
        <f>SUM(B20, B21)</f>
        <v>28099</v>
      </c>
      <c r="B3" s="13">
        <f>SUM(D20, D21)</f>
        <v>1004</v>
      </c>
      <c r="C3" s="14">
        <f>SUM(H20, H21)</f>
        <v>8343</v>
      </c>
      <c r="D3" s="13"/>
      <c r="E3" s="16">
        <f>MINUS(A3,B3 + C3)</f>
        <v>18752</v>
      </c>
      <c r="F3" s="16"/>
      <c r="G3" s="16"/>
      <c r="H3" s="5"/>
      <c r="I3" s="7"/>
      <c r="J3" s="9"/>
      <c r="K3" s="3"/>
      <c r="L3" s="13">
        <f>SUM(N20, N21)</f>
        <v>0</v>
      </c>
      <c r="M3" s="1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8"/>
      <c r="B4" s="7"/>
      <c r="C4" s="7"/>
      <c r="D4" s="7"/>
      <c r="E4" s="7"/>
      <c r="F4" s="6"/>
      <c r="G4" s="6"/>
      <c r="H4" s="6"/>
      <c r="I4" s="7"/>
      <c r="J4" s="9"/>
      <c r="K4" s="3"/>
      <c r="L4" s="7"/>
      <c r="M4" s="7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30.0" customHeight="1">
      <c r="A5" s="21" t="s">
        <v>147</v>
      </c>
      <c r="B5" s="23" t="s">
        <v>7</v>
      </c>
      <c r="C5" s="25" t="s">
        <v>9</v>
      </c>
      <c r="D5" s="23" t="s">
        <v>10</v>
      </c>
      <c r="E5" s="26" t="s">
        <v>11</v>
      </c>
      <c r="F5" s="26" t="s">
        <v>12</v>
      </c>
      <c r="G5" s="27" t="s">
        <v>13</v>
      </c>
      <c r="H5" s="27" t="s">
        <v>14</v>
      </c>
      <c r="I5" s="23" t="s">
        <v>15</v>
      </c>
      <c r="J5" s="29"/>
      <c r="K5" s="29"/>
      <c r="L5" s="23" t="s">
        <v>7</v>
      </c>
      <c r="M5" s="23" t="s">
        <v>10</v>
      </c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ht="30.0" customHeight="1">
      <c r="A6" s="33" t="s">
        <v>150</v>
      </c>
      <c r="B6" s="35">
        <v>14860.0</v>
      </c>
      <c r="C6" s="38">
        <f t="shared" ref="C6:C20" si="1">MINUS(B6,L6)</f>
        <v>612</v>
      </c>
      <c r="D6" s="61">
        <v>487.0</v>
      </c>
      <c r="E6" s="63">
        <f t="shared" ref="E6:E20" si="2">MINUS(D6,M6)</f>
        <v>52</v>
      </c>
      <c r="F6" s="42">
        <f t="shared" ref="F6:F18" si="3">DIVIDE(D6, B6)</f>
        <v>0.03277254374</v>
      </c>
      <c r="G6" s="48" t="s">
        <v>26</v>
      </c>
      <c r="H6" s="44">
        <v>1982.0</v>
      </c>
      <c r="I6" s="51" t="str">
        <f>HYPERLINK("https://twitter.com/sante_qc/status/1250473906705698818","Source")</f>
        <v>Source</v>
      </c>
      <c r="J6" s="66"/>
      <c r="K6" s="49" t="s">
        <v>19</v>
      </c>
      <c r="L6" s="35">
        <v>14248.0</v>
      </c>
      <c r="M6" s="61">
        <v>435.0</v>
      </c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ht="30.0" customHeight="1">
      <c r="A7" s="34" t="s">
        <v>156</v>
      </c>
      <c r="B7" s="36">
        <v>8447.0</v>
      </c>
      <c r="C7" s="38">
        <f t="shared" si="1"/>
        <v>494</v>
      </c>
      <c r="D7" s="70">
        <v>385.0</v>
      </c>
      <c r="E7" s="63">
        <f t="shared" si="2"/>
        <v>51</v>
      </c>
      <c r="F7" s="59">
        <f t="shared" si="3"/>
        <v>0.04557831183</v>
      </c>
      <c r="G7" s="48">
        <v>255.0</v>
      </c>
      <c r="H7" s="43">
        <v>3902.0</v>
      </c>
      <c r="I7" s="46" t="str">
        <f>HYPERLINK("https://www.ontario.ca/page/2019-novel-coronavirus","Source")</f>
        <v>Source</v>
      </c>
      <c r="J7" s="66"/>
      <c r="K7" s="49" t="s">
        <v>19</v>
      </c>
      <c r="L7" s="36">
        <v>7953.0</v>
      </c>
      <c r="M7" s="70">
        <v>334.0</v>
      </c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ht="30.0" customHeight="1">
      <c r="A8" s="33" t="s">
        <v>159</v>
      </c>
      <c r="B8" s="35">
        <v>1870.0</v>
      </c>
      <c r="C8" s="38">
        <f t="shared" si="1"/>
        <v>0</v>
      </c>
      <c r="D8" s="61">
        <v>48.0</v>
      </c>
      <c r="E8" s="63">
        <f t="shared" si="2"/>
        <v>0</v>
      </c>
      <c r="F8" s="59">
        <f t="shared" si="3"/>
        <v>0.0256684492</v>
      </c>
      <c r="G8" s="48" t="s">
        <v>26</v>
      </c>
      <c r="H8" s="48">
        <v>914.0</v>
      </c>
      <c r="I8" s="51" t="str">
        <f>HYPERLINK("https://www.alberta.ca/coronavirus-info-for-albertans.aspx","Source")</f>
        <v>Source</v>
      </c>
      <c r="J8" s="29"/>
      <c r="K8" s="49" t="s">
        <v>19</v>
      </c>
      <c r="L8" s="35">
        <v>1870.0</v>
      </c>
      <c r="M8" s="61">
        <v>48.0</v>
      </c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ht="30.0" customHeight="1">
      <c r="A9" s="33" t="s">
        <v>162</v>
      </c>
      <c r="B9" s="35">
        <v>1490.0</v>
      </c>
      <c r="C9" s="38">
        <f t="shared" si="1"/>
        <v>0</v>
      </c>
      <c r="D9" s="35">
        <v>69.0</v>
      </c>
      <c r="E9" s="40">
        <f t="shared" si="2"/>
        <v>0</v>
      </c>
      <c r="F9" s="42">
        <f t="shared" si="3"/>
        <v>0.04630872483</v>
      </c>
      <c r="G9" s="44" t="s">
        <v>26</v>
      </c>
      <c r="H9" s="48">
        <v>926.0</v>
      </c>
      <c r="I9" s="51" t="str">
        <f>HYPERLINK("http://www.bccdc.ca/about/news-stories/stories/2020/information-on-novel-coronavirus","Source")</f>
        <v>Source</v>
      </c>
      <c r="J9" s="29"/>
      <c r="K9" s="49" t="s">
        <v>19</v>
      </c>
      <c r="L9" s="35">
        <v>1490.0</v>
      </c>
      <c r="M9" s="35">
        <v>69.0</v>
      </c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ht="30.0" customHeight="1">
      <c r="A10" s="33" t="s">
        <v>165</v>
      </c>
      <c r="B10" s="35">
        <v>474.0</v>
      </c>
      <c r="C10" s="38">
        <f t="shared" si="1"/>
        <v>0</v>
      </c>
      <c r="D10" s="61">
        <v>3.0</v>
      </c>
      <c r="E10" s="63">
        <f t="shared" si="2"/>
        <v>0</v>
      </c>
      <c r="F10" s="42">
        <f t="shared" si="3"/>
        <v>0.006329113924</v>
      </c>
      <c r="G10" s="48" t="s">
        <v>26</v>
      </c>
      <c r="H10" s="48">
        <v>101.0</v>
      </c>
      <c r="I10" s="51" t="str">
        <f>HYPERLINK("https://novascotia.ca/coronavirus/data/","Source")</f>
        <v>Source</v>
      </c>
      <c r="J10" s="29"/>
      <c r="K10" s="49" t="s">
        <v>19</v>
      </c>
      <c r="L10" s="35">
        <v>474.0</v>
      </c>
      <c r="M10" s="61">
        <v>3.0</v>
      </c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ht="30.0" customHeight="1">
      <c r="A11" s="33" t="s">
        <v>169</v>
      </c>
      <c r="B11" s="35">
        <v>300.0</v>
      </c>
      <c r="C11" s="38">
        <f t="shared" si="1"/>
        <v>0</v>
      </c>
      <c r="D11" s="61">
        <v>4.0</v>
      </c>
      <c r="E11" s="63">
        <f t="shared" si="2"/>
        <v>0</v>
      </c>
      <c r="F11" s="42">
        <f t="shared" si="3"/>
        <v>0.01333333333</v>
      </c>
      <c r="G11" s="48">
        <v>8.0</v>
      </c>
      <c r="H11" s="48">
        <v>178.0</v>
      </c>
      <c r="I11" s="51" t="str">
        <f>HYPERLINK("https://www.saskatchewan.ca/government/health-care-administration-and-provider-resources/treatment-procedures-and-guidelines/emerging-public-health-issues/2019-novel-coronavirus/cases-and-risk-of-covid-19-in-saskatchewan","Source")</f>
        <v>Source</v>
      </c>
      <c r="J11" s="29"/>
      <c r="K11" s="49" t="s">
        <v>19</v>
      </c>
      <c r="L11" s="35">
        <v>300.0</v>
      </c>
      <c r="M11" s="61">
        <v>4.0</v>
      </c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ht="30.0" customHeight="1">
      <c r="A12" s="33" t="s">
        <v>173</v>
      </c>
      <c r="B12" s="35">
        <v>246.0</v>
      </c>
      <c r="C12" s="38">
        <f t="shared" si="1"/>
        <v>0</v>
      </c>
      <c r="D12" s="61">
        <v>5.0</v>
      </c>
      <c r="E12" s="63">
        <f t="shared" si="2"/>
        <v>1</v>
      </c>
      <c r="F12" s="42">
        <f t="shared" si="3"/>
        <v>0.02032520325</v>
      </c>
      <c r="G12" s="48">
        <v>4.0</v>
      </c>
      <c r="H12" s="48">
        <v>99.0</v>
      </c>
      <c r="I12" s="51" t="str">
        <f>HYPERLINK("https://www.gov.mb.ca/covid19/updates/index.html","Source")</f>
        <v>Source</v>
      </c>
      <c r="J12" s="66"/>
      <c r="K12" s="49" t="s">
        <v>19</v>
      </c>
      <c r="L12" s="35">
        <v>246.0</v>
      </c>
      <c r="M12" s="61">
        <v>4.0</v>
      </c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ht="30.0" customHeight="1">
      <c r="A13" s="33" t="s">
        <v>176</v>
      </c>
      <c r="B13" s="35">
        <v>244.0</v>
      </c>
      <c r="C13" s="38">
        <f t="shared" si="1"/>
        <v>0</v>
      </c>
      <c r="D13" s="61">
        <v>3.0</v>
      </c>
      <c r="E13" s="63">
        <f t="shared" si="2"/>
        <v>0</v>
      </c>
      <c r="F13" s="59">
        <f t="shared" si="3"/>
        <v>0.01229508197</v>
      </c>
      <c r="G13" s="48" t="s">
        <v>26</v>
      </c>
      <c r="H13" s="48">
        <v>133.0</v>
      </c>
      <c r="I13" s="51" t="str">
        <f>HYPERLINK("https://covid-19-newfoundland-and-labrador-gnl.hub.arcgis.com/","Source")</f>
        <v>Source</v>
      </c>
      <c r="J13" s="29"/>
      <c r="K13" s="49" t="s">
        <v>19</v>
      </c>
      <c r="L13" s="35">
        <v>244.0</v>
      </c>
      <c r="M13" s="61">
        <v>3.0</v>
      </c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ht="30.0" customHeight="1">
      <c r="A14" s="33" t="s">
        <v>179</v>
      </c>
      <c r="B14" s="35">
        <v>117.0</v>
      </c>
      <c r="C14" s="38">
        <f t="shared" si="1"/>
        <v>1</v>
      </c>
      <c r="D14" s="61">
        <v>0.0</v>
      </c>
      <c r="E14" s="63">
        <f t="shared" si="2"/>
        <v>0</v>
      </c>
      <c r="F14" s="59">
        <f t="shared" si="3"/>
        <v>0</v>
      </c>
      <c r="G14" s="48">
        <v>3.0</v>
      </c>
      <c r="H14" s="48">
        <v>77.0</v>
      </c>
      <c r="I14" s="51" t="str">
        <f>HYPERLINK("https://www2.gnb.ca/content/gnb/en/departments/ocmoh/cdc/content/respiratory_diseases/coronavirus.html","Source")</f>
        <v>Source</v>
      </c>
      <c r="J14" s="66"/>
      <c r="K14" s="49" t="s">
        <v>19</v>
      </c>
      <c r="L14" s="35">
        <v>116.0</v>
      </c>
      <c r="M14" s="61">
        <v>0.0</v>
      </c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ht="30.0" customHeight="1">
      <c r="A15" s="33" t="s">
        <v>182</v>
      </c>
      <c r="B15" s="35">
        <v>25.0</v>
      </c>
      <c r="C15" s="38">
        <f t="shared" si="1"/>
        <v>0</v>
      </c>
      <c r="D15" s="61">
        <v>0.0</v>
      </c>
      <c r="E15" s="63">
        <f t="shared" si="2"/>
        <v>0</v>
      </c>
      <c r="F15" s="42">
        <f t="shared" si="3"/>
        <v>0</v>
      </c>
      <c r="G15" s="48" t="s">
        <v>26</v>
      </c>
      <c r="H15" s="48">
        <v>23.0</v>
      </c>
      <c r="I15" s="51" t="str">
        <f>HYPERLINK("https://www.princeedwardisland.ca/en/topic/covid-19","Source")</f>
        <v>Source</v>
      </c>
      <c r="J15" s="29"/>
      <c r="K15" s="49" t="s">
        <v>19</v>
      </c>
      <c r="L15" s="35">
        <v>25.0</v>
      </c>
      <c r="M15" s="61">
        <v>0.0</v>
      </c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ht="30.0" customHeight="1">
      <c r="A16" s="33" t="s">
        <v>185</v>
      </c>
      <c r="B16" s="35">
        <v>13.0</v>
      </c>
      <c r="C16" s="38">
        <f t="shared" si="1"/>
        <v>0</v>
      </c>
      <c r="D16" s="61">
        <v>0.0</v>
      </c>
      <c r="E16" s="63">
        <f t="shared" si="2"/>
        <v>0</v>
      </c>
      <c r="F16" s="59">
        <f t="shared" si="3"/>
        <v>0</v>
      </c>
      <c r="G16" s="48" t="s">
        <v>26</v>
      </c>
      <c r="H16" s="48" t="s">
        <v>26</v>
      </c>
      <c r="I16" s="51" t="str">
        <f>HYPERLINK("https://www.canada.ca/en/public-health/services/diseases/2019-novel-coronavirus-infection.html#a1","Source")</f>
        <v>Source</v>
      </c>
      <c r="J16" s="29"/>
      <c r="K16" s="29"/>
      <c r="L16" s="35">
        <v>13.0</v>
      </c>
      <c r="M16" s="61">
        <v>0.0</v>
      </c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ht="30.0" customHeight="1">
      <c r="A17" s="33" t="s">
        <v>187</v>
      </c>
      <c r="B17" s="35">
        <v>8.0</v>
      </c>
      <c r="C17" s="38">
        <f t="shared" si="1"/>
        <v>0</v>
      </c>
      <c r="D17" s="61">
        <v>0.0</v>
      </c>
      <c r="E17" s="63">
        <f t="shared" si="2"/>
        <v>0</v>
      </c>
      <c r="F17" s="59">
        <f t="shared" si="3"/>
        <v>0</v>
      </c>
      <c r="G17" s="48" t="s">
        <v>26</v>
      </c>
      <c r="H17" s="48">
        <v>6.0</v>
      </c>
      <c r="I17" s="51" t="str">
        <f>HYPERLINK("https://yukon.ca/covid-19","Source")</f>
        <v>Source</v>
      </c>
      <c r="J17" s="29"/>
      <c r="K17" s="29"/>
      <c r="L17" s="35">
        <v>8.0</v>
      </c>
      <c r="M17" s="61">
        <v>0.0</v>
      </c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ht="30.0" customHeight="1">
      <c r="A18" s="33" t="s">
        <v>189</v>
      </c>
      <c r="B18" s="35">
        <v>5.0</v>
      </c>
      <c r="C18" s="38">
        <f t="shared" si="1"/>
        <v>0</v>
      </c>
      <c r="D18" s="61">
        <v>0.0</v>
      </c>
      <c r="E18" s="63">
        <f t="shared" si="2"/>
        <v>0</v>
      </c>
      <c r="F18" s="42">
        <f t="shared" si="3"/>
        <v>0</v>
      </c>
      <c r="G18" s="48" t="s">
        <v>26</v>
      </c>
      <c r="H18" s="48">
        <v>2.0</v>
      </c>
      <c r="I18" s="51" t="str">
        <f>HYPERLINK("https://www.cbc.ca/news/canada/north/nwt-first-case-covid19-1.5505701","Source")</f>
        <v>Source</v>
      </c>
      <c r="J18" s="29"/>
      <c r="K18" s="29"/>
      <c r="L18" s="35">
        <v>5.0</v>
      </c>
      <c r="M18" s="61">
        <v>0.0</v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ht="30.0" customHeight="1">
      <c r="A19" s="33" t="s">
        <v>192</v>
      </c>
      <c r="B19" s="35">
        <v>0.0</v>
      </c>
      <c r="C19" s="38">
        <f t="shared" si="1"/>
        <v>0</v>
      </c>
      <c r="D19" s="61">
        <v>0.0</v>
      </c>
      <c r="E19" s="63">
        <f t="shared" si="2"/>
        <v>0</v>
      </c>
      <c r="F19" s="101" t="s">
        <v>53</v>
      </c>
      <c r="G19" s="48" t="s">
        <v>53</v>
      </c>
      <c r="H19" s="48" t="s">
        <v>53</v>
      </c>
      <c r="I19" s="51" t="str">
        <f>HYPERLINK("https://www.gov.nu.ca/health/information/covid-19-novel-coronavirus","Source")</f>
        <v>Source</v>
      </c>
      <c r="J19" s="29"/>
      <c r="K19" s="29"/>
      <c r="L19" s="35">
        <v>0.0</v>
      </c>
      <c r="M19" s="61">
        <v>0.0</v>
      </c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ht="30.0" customHeight="1">
      <c r="A20" s="83" t="s">
        <v>61</v>
      </c>
      <c r="B20" s="84">
        <f>SUM(B6:B19)</f>
        <v>28099</v>
      </c>
      <c r="C20" s="38">
        <f t="shared" si="1"/>
        <v>1107</v>
      </c>
      <c r="D20" s="84">
        <f>SUM(D6:D19)</f>
        <v>1004</v>
      </c>
      <c r="E20" s="40">
        <f t="shared" si="2"/>
        <v>104</v>
      </c>
      <c r="F20" s="42">
        <f>DIVIDE(D20, B20)</f>
        <v>0.03573080893</v>
      </c>
      <c r="G20" s="84">
        <f t="shared" ref="G20:H20" si="4">SUM(G6:G19)</f>
        <v>270</v>
      </c>
      <c r="H20" s="84">
        <f t="shared" si="4"/>
        <v>8343</v>
      </c>
      <c r="I20" s="85"/>
      <c r="J20" s="29"/>
      <c r="K20" s="29"/>
      <c r="L20" s="84">
        <f t="shared" ref="L20:M20" si="5">SUM(L6:L19)</f>
        <v>26992</v>
      </c>
      <c r="M20" s="84">
        <f t="shared" si="5"/>
        <v>900</v>
      </c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>
      <c r="A21" s="93"/>
      <c r="B21" s="10"/>
      <c r="C21" s="10"/>
      <c r="D21" s="10"/>
      <c r="E21" s="10"/>
      <c r="F21" s="10"/>
      <c r="G21" s="10"/>
      <c r="H21" s="10"/>
      <c r="I21" s="3"/>
      <c r="J21" s="9"/>
      <c r="K21" s="9"/>
      <c r="L21" s="10"/>
      <c r="M21" s="10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91"/>
      <c r="B22" s="92"/>
      <c r="C22" s="92"/>
      <c r="D22" s="10"/>
      <c r="E22" s="10"/>
      <c r="F22" s="10"/>
      <c r="G22" s="10"/>
      <c r="H22" s="10"/>
      <c r="I22" s="3"/>
      <c r="J22" s="9"/>
      <c r="K22" s="9"/>
      <c r="L22" s="92"/>
      <c r="M22" s="10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93"/>
      <c r="B23" s="10"/>
      <c r="C23" s="10"/>
      <c r="D23" s="10"/>
      <c r="E23" s="10"/>
      <c r="F23" s="10"/>
      <c r="G23" s="10"/>
      <c r="H23" s="10"/>
      <c r="I23" s="3"/>
      <c r="J23" s="9"/>
      <c r="K23" s="9"/>
      <c r="L23" s="10"/>
      <c r="M23" s="10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93"/>
      <c r="B24" s="10"/>
      <c r="C24" s="10"/>
      <c r="D24" s="10"/>
      <c r="E24" s="10"/>
      <c r="F24" s="10"/>
      <c r="G24" s="10"/>
      <c r="H24" s="10"/>
      <c r="I24" s="3"/>
      <c r="J24" s="9"/>
      <c r="K24" s="3"/>
      <c r="L24" s="10"/>
      <c r="M24" s="10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mergeCells count="2">
    <mergeCell ref="A1:I1"/>
    <mergeCell ref="E2:H2"/>
  </mergeCells>
  <drawing r:id="rId1"/>
  <tableParts count="2"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1.29"/>
    <col customWidth="1" min="8" max="8" width="0.57"/>
  </cols>
  <sheetData>
    <row r="1" ht="27.75" customHeight="1">
      <c r="A1" s="1"/>
      <c r="H1" s="3"/>
      <c r="I1" s="3"/>
    </row>
    <row r="2">
      <c r="A2" s="4" t="s">
        <v>1</v>
      </c>
      <c r="B2" s="4" t="s">
        <v>2</v>
      </c>
      <c r="D2" s="5" t="s">
        <v>3</v>
      </c>
      <c r="F2" s="8" t="s">
        <v>200</v>
      </c>
      <c r="I2" s="3"/>
    </row>
    <row r="3">
      <c r="A3" s="13">
        <f t="shared" ref="A3:B3" si="1">SUM(B15, B16)</f>
        <v>84489</v>
      </c>
      <c r="B3" s="13">
        <f t="shared" si="1"/>
        <v>3342</v>
      </c>
      <c r="D3" s="14">
        <f>SUM(F15, F16)</f>
        <v>78987</v>
      </c>
      <c r="F3" s="16">
        <f>MINUS(A3,B3 + D3)</f>
        <v>2160</v>
      </c>
      <c r="G3" s="16"/>
      <c r="H3" s="5"/>
      <c r="I3" s="3"/>
    </row>
    <row r="4">
      <c r="A4" s="18"/>
      <c r="B4" s="7"/>
      <c r="C4" s="7"/>
      <c r="D4" s="6"/>
      <c r="E4" s="6"/>
      <c r="F4" s="6"/>
      <c r="G4" s="7"/>
      <c r="H4" s="9"/>
      <c r="I4" s="9"/>
    </row>
    <row r="5" ht="30.0" customHeight="1">
      <c r="A5" s="120" t="s">
        <v>202</v>
      </c>
      <c r="B5" s="121" t="s">
        <v>7</v>
      </c>
      <c r="C5" s="121" t="s">
        <v>10</v>
      </c>
      <c r="D5" s="122" t="s">
        <v>204</v>
      </c>
      <c r="E5" s="122" t="s">
        <v>205</v>
      </c>
      <c r="F5" s="122" t="s">
        <v>14</v>
      </c>
      <c r="G5" s="121"/>
      <c r="H5" s="29"/>
      <c r="I5" s="29"/>
    </row>
    <row r="6" ht="30.0" customHeight="1">
      <c r="A6" s="78" t="s">
        <v>206</v>
      </c>
      <c r="B6" s="79">
        <v>67803.0</v>
      </c>
      <c r="C6" s="79">
        <v>3222.0</v>
      </c>
      <c r="D6" s="123">
        <v>57.0</v>
      </c>
      <c r="E6" s="81" t="s">
        <v>26</v>
      </c>
      <c r="F6" s="123">
        <v>64402.0</v>
      </c>
      <c r="G6" s="124" t="str">
        <f>HYPERLINK("http://www.nhc.gov.cn/yjb/s7860/202004/35d096269e2848cdb4d3cb38e4c6bd1b.shtml","Source")</f>
        <v>Source</v>
      </c>
      <c r="H6" s="125"/>
      <c r="I6" s="29"/>
    </row>
    <row r="7" ht="30.0" customHeight="1">
      <c r="A7" s="126" t="s">
        <v>209</v>
      </c>
      <c r="B7" s="127">
        <v>1467.0</v>
      </c>
      <c r="C7" s="128">
        <v>8.0</v>
      </c>
      <c r="D7" s="129">
        <v>2.0</v>
      </c>
      <c r="E7" s="129">
        <v>4.0</v>
      </c>
      <c r="F7" s="131">
        <v>1357.0</v>
      </c>
      <c r="G7" s="133" t="str">
        <f>HYPERLINK("http://wsjkw.gd.gov.cn/zwyw_yqxx/content/post_2963066.html","Source")</f>
        <v>Source</v>
      </c>
      <c r="H7" s="29"/>
      <c r="I7" s="29"/>
    </row>
    <row r="8" ht="30.0" customHeight="1">
      <c r="A8" s="78" t="s">
        <v>213</v>
      </c>
      <c r="B8" s="79">
        <v>1276.0</v>
      </c>
      <c r="C8" s="80">
        <v>22.0</v>
      </c>
      <c r="D8" s="81">
        <v>0.0</v>
      </c>
      <c r="E8" s="81">
        <v>0.0</v>
      </c>
      <c r="F8" s="123">
        <v>1251.0</v>
      </c>
      <c r="G8" s="124" t="str">
        <f>HYPERLINK("https://m.weibo.cn/detail/4488452735550800","Source")</f>
        <v>Source</v>
      </c>
      <c r="H8" s="125"/>
      <c r="I8" s="29"/>
    </row>
    <row r="9" ht="30.0" customHeight="1">
      <c r="A9" s="78" t="s">
        <v>214</v>
      </c>
      <c r="B9" s="79">
        <v>1257.0</v>
      </c>
      <c r="C9" s="80">
        <v>1.0</v>
      </c>
      <c r="D9" s="81" t="s">
        <v>26</v>
      </c>
      <c r="E9" s="81" t="s">
        <v>26</v>
      </c>
      <c r="F9" s="123">
        <v>1226.0</v>
      </c>
      <c r="G9" s="140" t="str">
        <f>HYPERLINK("http://www.bjnews.com.cn/feature/2020/03/31/711060.html","Source")</f>
        <v>Source</v>
      </c>
      <c r="H9" s="29"/>
      <c r="I9" s="29"/>
    </row>
    <row r="10" ht="30.0" customHeight="1">
      <c r="A10" s="78" t="s">
        <v>217</v>
      </c>
      <c r="B10" s="79">
        <v>1018.0</v>
      </c>
      <c r="C10" s="80">
        <v>4.0</v>
      </c>
      <c r="D10" s="81">
        <v>0.0</v>
      </c>
      <c r="E10" s="81">
        <v>0.0</v>
      </c>
      <c r="F10" s="123">
        <v>1014.0</v>
      </c>
      <c r="G10" s="124" t="str">
        <f>HYPERLINK("http://wjw.hunan.gov.cn/wjw/xxgk/gzdt/zyxw_1/202003/t20200331_11867420.html","Source")</f>
        <v>Source</v>
      </c>
      <c r="H10" s="29"/>
      <c r="I10" s="29"/>
    </row>
    <row r="11" ht="30.0" customHeight="1">
      <c r="A11" s="78" t="s">
        <v>218</v>
      </c>
      <c r="B11" s="79">
        <v>580.0</v>
      </c>
      <c r="C11" s="80">
        <v>8.0</v>
      </c>
      <c r="D11" s="81" t="s">
        <v>26</v>
      </c>
      <c r="E11" s="81" t="s">
        <v>26</v>
      </c>
      <c r="F11" s="81">
        <v>418.0</v>
      </c>
      <c r="G11" s="140" t="str">
        <f>HYPERLINK("http://wjw.beijing.gov.cn/xwzx_20031/wnxw/202004/t20200401_1771919.html","Source")</f>
        <v>Source</v>
      </c>
      <c r="H11" s="29"/>
      <c r="I11" s="29"/>
    </row>
    <row r="12" ht="30.0" customHeight="1">
      <c r="A12" s="78" t="s">
        <v>221</v>
      </c>
      <c r="B12" s="79">
        <v>516.0</v>
      </c>
      <c r="C12" s="80">
        <v>7.0</v>
      </c>
      <c r="D12" s="81">
        <v>0.0</v>
      </c>
      <c r="E12" s="81">
        <v>5.0</v>
      </c>
      <c r="F12" s="81">
        <v>341.0</v>
      </c>
      <c r="G12" s="124" t="str">
        <f>HYPERLINK("http://wsjkw.sh.gov.cn/xwfb/20200401/50133c67b43d4c91a884d6de41dfce23.html","Source")</f>
        <v>Source</v>
      </c>
      <c r="H12" s="29"/>
      <c r="I12" s="29"/>
    </row>
    <row r="13" ht="30.0" customHeight="1">
      <c r="A13" s="78" t="s">
        <v>223</v>
      </c>
      <c r="B13" s="79">
        <v>8378.0</v>
      </c>
      <c r="C13" s="80">
        <v>70.0</v>
      </c>
      <c r="D13" s="81" t="s">
        <v>224</v>
      </c>
      <c r="E13" s="81" t="s">
        <v>26</v>
      </c>
      <c r="F13" s="123">
        <v>7807.0</v>
      </c>
      <c r="G13" s="124" t="str">
        <f>HYPERLINK("http://www.nhc.gov.cn/yjb/s7860/202004/35d096269e2848cdb4d3cb38e4c6bd1b.shtml","Source")</f>
        <v>Source</v>
      </c>
      <c r="H13" s="125"/>
      <c r="I13" s="29"/>
    </row>
    <row r="14" ht="30.0" customHeight="1">
      <c r="A14" s="78" t="s">
        <v>227</v>
      </c>
      <c r="B14" s="79">
        <v>2194.0</v>
      </c>
      <c r="C14" s="80">
        <v>0.0</v>
      </c>
      <c r="D14" s="81">
        <v>0.0</v>
      </c>
      <c r="E14" s="81">
        <v>0.0</v>
      </c>
      <c r="F14" s="123">
        <v>1171.0</v>
      </c>
      <c r="G14" s="82"/>
      <c r="H14" s="125"/>
      <c r="I14" s="29"/>
    </row>
    <row r="15" ht="30.0" customHeight="1">
      <c r="A15" s="86" t="s">
        <v>61</v>
      </c>
      <c r="B15" s="150">
        <f t="shared" ref="B15:C15" si="2">SUM(B6:B14)</f>
        <v>84489</v>
      </c>
      <c r="C15" s="150">
        <f t="shared" si="2"/>
        <v>3342</v>
      </c>
      <c r="D15" s="150">
        <v>113.0</v>
      </c>
      <c r="E15" s="150"/>
      <c r="F15" s="150">
        <f>SUM(F6:F14)</f>
        <v>78987</v>
      </c>
      <c r="G15" s="89"/>
      <c r="H15" s="29"/>
      <c r="I15" s="29"/>
    </row>
    <row r="16">
      <c r="A16" s="86"/>
      <c r="B16" s="87"/>
      <c r="C16" s="87"/>
      <c r="D16" s="88"/>
      <c r="E16" s="154"/>
      <c r="F16" s="87"/>
      <c r="G16" s="89"/>
      <c r="H16" s="9"/>
      <c r="I16" s="9"/>
    </row>
    <row r="17">
      <c r="A17" s="91"/>
      <c r="B17" s="92"/>
      <c r="C17" s="10"/>
      <c r="D17" s="10"/>
      <c r="E17" s="10"/>
      <c r="F17" s="10"/>
      <c r="G17" s="3"/>
      <c r="H17" s="3"/>
      <c r="I17" s="3"/>
    </row>
    <row r="18">
      <c r="A18" s="93"/>
      <c r="B18" s="10"/>
      <c r="C18" s="10"/>
      <c r="D18" s="10"/>
      <c r="E18" s="10"/>
      <c r="F18" s="10"/>
      <c r="G18" s="3"/>
      <c r="H18" s="3"/>
      <c r="I18" s="3"/>
    </row>
    <row r="19">
      <c r="A19" s="93"/>
      <c r="B19" s="10"/>
      <c r="C19" s="10"/>
      <c r="D19" s="10"/>
      <c r="E19" s="10"/>
      <c r="F19" s="10"/>
      <c r="G19" s="3"/>
      <c r="H19" s="3"/>
      <c r="I19" s="3"/>
    </row>
  </sheetData>
  <mergeCells count="6">
    <mergeCell ref="A1:G1"/>
    <mergeCell ref="B2:C2"/>
    <mergeCell ref="D2:E2"/>
    <mergeCell ref="F2:H2"/>
    <mergeCell ref="B3:C3"/>
    <mergeCell ref="D3:E3"/>
  </mergeCells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0"/>
    <col customWidth="1" min="2" max="2" width="17.57"/>
  </cols>
  <sheetData>
    <row r="1">
      <c r="A1" s="130"/>
      <c r="B1" s="31"/>
      <c r="C1" s="31"/>
      <c r="D1" s="31"/>
      <c r="E1" s="31"/>
      <c r="F1" s="31"/>
      <c r="G1" s="31"/>
      <c r="H1" s="31"/>
      <c r="I1" s="31"/>
      <c r="J1" s="31"/>
      <c r="K1" s="31"/>
    </row>
    <row r="2">
      <c r="A2" s="132" t="s">
        <v>211</v>
      </c>
      <c r="B2" s="134"/>
      <c r="C2" s="135"/>
      <c r="D2" s="135"/>
      <c r="E2" s="136"/>
      <c r="F2" s="137" t="s">
        <v>54</v>
      </c>
      <c r="G2" s="138" t="s">
        <v>7</v>
      </c>
      <c r="H2" s="138" t="s">
        <v>10</v>
      </c>
      <c r="I2" s="138" t="s">
        <v>14</v>
      </c>
      <c r="J2" s="137"/>
      <c r="K2" s="137"/>
    </row>
    <row r="3">
      <c r="A3" s="139" t="s">
        <v>216</v>
      </c>
      <c r="B3" s="134"/>
      <c r="C3" s="141">
        <v>18.0</v>
      </c>
      <c r="D3" s="142" t="str">
        <f>HYPERLINK("https://tass.com/world/1141003","Source")</f>
        <v>Source</v>
      </c>
      <c r="E3" s="136"/>
      <c r="F3" s="143" t="s">
        <v>219</v>
      </c>
      <c r="G3" s="144">
        <v>39.0</v>
      </c>
      <c r="H3" s="144">
        <v>0.0</v>
      </c>
      <c r="I3" s="144"/>
      <c r="J3" s="145"/>
      <c r="K3" s="146"/>
    </row>
    <row r="4">
      <c r="A4" s="139" t="s">
        <v>222</v>
      </c>
      <c r="B4" s="134"/>
      <c r="C4" s="141">
        <v>16.0</v>
      </c>
      <c r="D4" s="147" t="str">
        <f>HYPERLINK("https://ria.ru/20200414/1570039823.html","Source")</f>
        <v>Source</v>
      </c>
      <c r="E4" s="136"/>
      <c r="F4" s="143" t="s">
        <v>226</v>
      </c>
      <c r="G4" s="144">
        <v>8.0</v>
      </c>
      <c r="H4" s="144">
        <v>0.0</v>
      </c>
      <c r="I4" s="144"/>
      <c r="J4" s="145"/>
      <c r="K4" s="146"/>
    </row>
    <row r="5">
      <c r="A5" s="139" t="s">
        <v>228</v>
      </c>
      <c r="B5" s="134"/>
      <c r="C5" s="141">
        <v>3.0</v>
      </c>
      <c r="D5" s="147" t="str">
        <f>HYPERLINK("http://apsnypress.info/news/opershtab-v-respublike-3-podtverzhdennykh-sluchaya-zabolevaniya-koronavirusom/","Source")</f>
        <v>Source</v>
      </c>
      <c r="E5" s="148"/>
      <c r="F5" s="149" t="s">
        <v>229</v>
      </c>
      <c r="G5" s="151">
        <v>353.0</v>
      </c>
      <c r="H5" s="152">
        <v>32.0</v>
      </c>
      <c r="I5" s="153" t="s">
        <v>26</v>
      </c>
      <c r="J5" s="155" t="str">
        <f>HYPERLINK("https://www.bfhd.wa.gov/cms/One.aspx?portalId=10766056&amp;pageId=16584954","Source")</f>
        <v>Source</v>
      </c>
      <c r="K5" s="11"/>
    </row>
    <row r="6">
      <c r="A6" s="156" t="s">
        <v>232</v>
      </c>
      <c r="B6" s="134"/>
      <c r="C6" s="141">
        <v>6.0</v>
      </c>
      <c r="D6" s="157" t="str">
        <f>HYPERLINK("https://www.tert.am/en/news/2020/04/13/corona-artsakh/3261919","Source")</f>
        <v>Source</v>
      </c>
      <c r="E6" s="31"/>
      <c r="F6" s="158" t="s">
        <v>233</v>
      </c>
      <c r="G6" s="151">
        <v>59.0</v>
      </c>
      <c r="H6" s="152">
        <v>5.0</v>
      </c>
      <c r="I6" s="153"/>
      <c r="J6" s="155"/>
      <c r="K6" s="11"/>
    </row>
    <row r="7">
      <c r="A7" s="159" t="s">
        <v>61</v>
      </c>
      <c r="B7" s="134"/>
      <c r="C7" s="10">
        <f>SUM(C3:C6)</f>
        <v>43</v>
      </c>
      <c r="D7" s="134"/>
      <c r="E7" s="31"/>
      <c r="F7" s="158" t="s">
        <v>235</v>
      </c>
      <c r="G7" s="151">
        <v>13.0</v>
      </c>
      <c r="H7" s="152">
        <v>0.0</v>
      </c>
      <c r="I7" s="153"/>
      <c r="J7" s="155"/>
      <c r="K7" s="11"/>
    </row>
    <row r="8">
      <c r="A8" s="135"/>
      <c r="B8" s="134"/>
      <c r="C8" s="134"/>
      <c r="D8" s="134"/>
      <c r="E8" s="31"/>
      <c r="F8" s="158" t="s">
        <v>236</v>
      </c>
      <c r="G8" s="151">
        <v>232.0</v>
      </c>
      <c r="H8" s="152">
        <v>14.0</v>
      </c>
      <c r="I8" s="153"/>
      <c r="J8" s="155"/>
      <c r="K8" s="11"/>
    </row>
    <row r="9">
      <c r="A9" s="132" t="s">
        <v>237</v>
      </c>
      <c r="B9" s="135"/>
      <c r="C9" s="135"/>
      <c r="D9" s="134"/>
      <c r="E9" s="31"/>
      <c r="F9" s="158" t="s">
        <v>239</v>
      </c>
      <c r="G9" s="151">
        <v>1.0</v>
      </c>
      <c r="H9" s="152">
        <v>0.0</v>
      </c>
      <c r="I9" s="153"/>
      <c r="J9" s="155"/>
      <c r="K9" s="11"/>
    </row>
    <row r="10">
      <c r="A10" s="139" t="s">
        <v>240</v>
      </c>
      <c r="B10" s="142" t="str">
        <f>HYPERLINK("https://en.wikipedia.org/wiki/2020_coronavirus_pandemic_in_R%C3%A9union","Link")</f>
        <v>Link</v>
      </c>
      <c r="C10" s="142" t="str">
        <f>HYPERLINK("http://www.reunion.gouv.fr/point-de-situation-du-06-04-2020-5-nouveaux-cas-a6489.html","Link")</f>
        <v>Link</v>
      </c>
      <c r="D10" s="134"/>
      <c r="E10" s="31"/>
      <c r="F10" s="143" t="s">
        <v>241</v>
      </c>
      <c r="G10" s="144">
        <v>25.0</v>
      </c>
      <c r="H10" s="144">
        <v>0.0</v>
      </c>
      <c r="I10" s="144"/>
      <c r="J10" s="145"/>
      <c r="K10" s="146"/>
    </row>
    <row r="11">
      <c r="A11" s="156" t="s">
        <v>243</v>
      </c>
      <c r="B11" s="142" t="str">
        <f>HYPERLINK("https://en.wikipedia.org/wiki/2020_coronavirus_pandemic_in_Saint_Pierre_and_Miquelon","Link")</f>
        <v>Link</v>
      </c>
      <c r="C11" s="139"/>
      <c r="D11" s="134"/>
      <c r="E11" s="31"/>
      <c r="F11" s="143" t="s">
        <v>244</v>
      </c>
      <c r="G11" s="144">
        <v>34.0</v>
      </c>
      <c r="H11" s="144">
        <v>1.0</v>
      </c>
      <c r="I11" s="144"/>
      <c r="J11" s="145"/>
      <c r="K11" s="146"/>
    </row>
    <row r="12">
      <c r="A12" s="139" t="s">
        <v>245</v>
      </c>
      <c r="B12" s="142" t="str">
        <f>HYPERLINK("https://en.wikipedia.org/wiki/2020_coronavirus_pandemic_in_the_Guantanamo_Bay_Naval_Base","Link")</f>
        <v>Link</v>
      </c>
      <c r="C12" s="161" t="str">
        <f>HYPERLINK("https://www.navy.mil/submit/display.asp?story_id=112454","Link")</f>
        <v>Link</v>
      </c>
      <c r="D12" s="134"/>
      <c r="E12" s="31"/>
      <c r="F12" s="143" t="s">
        <v>247</v>
      </c>
      <c r="G12" s="144">
        <v>1.0</v>
      </c>
      <c r="H12" s="144">
        <v>0.0</v>
      </c>
      <c r="I12" s="144"/>
      <c r="J12" s="145"/>
      <c r="K12" s="146"/>
    </row>
    <row r="13">
      <c r="A13" s="139" t="s">
        <v>248</v>
      </c>
      <c r="B13" s="142" t="str">
        <f>HYPERLINK("https://en.wikipedia.org/wiki/2020_coronavirus_pandemic_in_Sint_Eustatius","Link")</f>
        <v>Link</v>
      </c>
      <c r="C13" s="134"/>
      <c r="D13" s="134"/>
      <c r="E13" s="165"/>
      <c r="F13" s="149" t="s">
        <v>253</v>
      </c>
      <c r="G13" s="151">
        <v>190.0</v>
      </c>
      <c r="H13" s="152">
        <v>4.0</v>
      </c>
      <c r="I13" s="153" t="s">
        <v>26</v>
      </c>
      <c r="J13" s="155" t="str">
        <f>HYPERLINK("https://www.bfhd.wa.gov/cms/One.aspx?portalId=10766056&amp;pageId=16584954","Source")</f>
        <v>Source</v>
      </c>
      <c r="K13" s="153"/>
    </row>
    <row r="14">
      <c r="A14" s="139" t="s">
        <v>256</v>
      </c>
      <c r="B14" s="142" t="str">
        <f>HYPERLINK("https://en.wikipedia.org/wiki/2020_coronavirus_pandemic_in_Somaliland","Link")</f>
        <v>Link</v>
      </c>
      <c r="C14" s="134"/>
      <c r="D14" s="134"/>
      <c r="E14" s="31"/>
      <c r="F14" s="143" t="s">
        <v>259</v>
      </c>
      <c r="G14" s="144">
        <v>0.0</v>
      </c>
      <c r="H14" s="144">
        <v>0.0</v>
      </c>
      <c r="I14" s="144"/>
      <c r="J14" s="145"/>
      <c r="K14" s="146"/>
    </row>
    <row r="15">
      <c r="A15" s="156" t="s">
        <v>260</v>
      </c>
      <c r="B15" s="142" t="str">
        <f>HYPERLINK("https://en.wikipedia.org/wiki/2020_coronavirus_pandemic_in_S%C3%A3o_Tom%C3%A9_and_Pr%C3%ADncipe","Link")</f>
        <v>Link</v>
      </c>
      <c r="C15" s="134"/>
      <c r="D15" s="134"/>
      <c r="E15" s="165"/>
      <c r="F15" s="168" t="s">
        <v>261</v>
      </c>
      <c r="G15" s="169">
        <v>157.0</v>
      </c>
      <c r="H15" s="170">
        <v>2.0</v>
      </c>
      <c r="I15" s="169">
        <v>28.0</v>
      </c>
      <c r="J15" s="155" t="str">
        <f>HYPERLINK("http://granthealth.org/updates-for-covid-19-in-grant-county/","Source")</f>
        <v>Source</v>
      </c>
      <c r="K15" s="171"/>
    </row>
    <row r="16">
      <c r="A16" s="139" t="s">
        <v>263</v>
      </c>
      <c r="B16" s="142" t="str">
        <f>HYPERLINK("https://en.wikipedia.org/wiki/2020_coronavirus_pandemic_in_the_%C3%85land_Islands","Link")</f>
        <v>Link</v>
      </c>
      <c r="C16" s="134"/>
      <c r="D16" s="134"/>
      <c r="E16" s="31"/>
      <c r="F16" s="158" t="s">
        <v>264</v>
      </c>
      <c r="G16" s="151">
        <v>12.0</v>
      </c>
      <c r="H16" s="151">
        <v>0.0</v>
      </c>
      <c r="I16" s="151"/>
      <c r="J16" s="155"/>
      <c r="K16" s="146"/>
    </row>
    <row r="17">
      <c r="A17" s="156" t="s">
        <v>265</v>
      </c>
      <c r="B17" s="142" t="str">
        <f>HYPERLINK("https://en.wikipedia.org/wiki/2020_coronavirus_pandemic_in_Akrotiri_and_Dhekelia","Link")</f>
        <v>Link</v>
      </c>
      <c r="C17" s="134"/>
      <c r="D17" s="134"/>
      <c r="E17" s="165"/>
      <c r="F17" s="149" t="s">
        <v>266</v>
      </c>
      <c r="G17" s="151">
        <v>163.0</v>
      </c>
      <c r="H17" s="152">
        <v>8.0</v>
      </c>
      <c r="I17" s="153" t="s">
        <v>26</v>
      </c>
      <c r="J17" s="155" t="str">
        <f>HYPERLINK("https://www.islandcountywa.gov/Health/Pages/COVID-19.aspx","Source")</f>
        <v>Source</v>
      </c>
      <c r="K17" s="153"/>
    </row>
    <row r="18">
      <c r="A18" s="139" t="s">
        <v>268</v>
      </c>
      <c r="B18" s="142" t="str">
        <f>HYPERLINK("https://en.wikipedia.org/wiki/2020_coronavirus_pandemic_in_the_Collectivity_of_Saint_Martin","Link")</f>
        <v>Link</v>
      </c>
      <c r="C18" s="135"/>
      <c r="D18" s="134"/>
      <c r="E18" s="31"/>
      <c r="F18" s="158" t="s">
        <v>269</v>
      </c>
      <c r="G18" s="151">
        <v>28.0</v>
      </c>
      <c r="H18" s="152">
        <v>0.0</v>
      </c>
      <c r="I18" s="153"/>
      <c r="J18" s="155"/>
      <c r="K18" s="153"/>
    </row>
    <row r="19">
      <c r="A19" s="139" t="s">
        <v>270</v>
      </c>
      <c r="B19" s="142" t="str">
        <f>HYPERLINK("https://en.wikipedia.org/wiki/2020_coronavirus_pandemic_in_French_Guiana","Link")</f>
        <v>Link</v>
      </c>
      <c r="C19" s="161" t="str">
        <f>HYPERLINK("http://www.guyane.gouv.fr/Politiques-publiques/Sante/Coronavirus-Covid-19/COVID-INFO","Link")</f>
        <v>Link</v>
      </c>
      <c r="D19" s="134"/>
      <c r="E19" s="165"/>
      <c r="F19" s="149" t="s">
        <v>271</v>
      </c>
      <c r="G19" s="151">
        <v>4697.0</v>
      </c>
      <c r="H19" s="152">
        <v>312.0</v>
      </c>
      <c r="I19" s="153" t="s">
        <v>26</v>
      </c>
      <c r="J19" s="155" t="str">
        <f>HYPERLINK("https://kingcounty.gov/depts/health/communicable-diseases/disease-control/novel-coronavirus.aspx","Source")</f>
        <v>Source</v>
      </c>
      <c r="K19" s="153"/>
    </row>
    <row r="20">
      <c r="A20" s="139" t="s">
        <v>273</v>
      </c>
      <c r="B20" s="142" t="str">
        <f>HYPERLINK("https://en.wikipedia.org/wiki/2020_coronavirus_pandemic_in_Guadeloupe","Link")</f>
        <v>Link</v>
      </c>
      <c r="C20" s="134"/>
      <c r="D20" s="134"/>
      <c r="E20" s="31"/>
      <c r="F20" s="158" t="s">
        <v>274</v>
      </c>
      <c r="G20" s="151">
        <v>131.0</v>
      </c>
      <c r="H20" s="152">
        <v>1.0</v>
      </c>
      <c r="I20" s="153"/>
      <c r="J20" s="155"/>
      <c r="K20" s="153"/>
    </row>
    <row r="21">
      <c r="A21" s="139" t="s">
        <v>275</v>
      </c>
      <c r="B21" s="142" t="str">
        <f>HYPERLINK("https://en.wikipedia.org/wiki/2020_coronavirus_pandemic_in_Martinique","Link")</f>
        <v>Link</v>
      </c>
      <c r="C21" s="135"/>
      <c r="D21" s="134"/>
      <c r="E21" s="165"/>
      <c r="F21" s="149" t="s">
        <v>276</v>
      </c>
      <c r="G21" s="152">
        <v>16.0</v>
      </c>
      <c r="H21" s="152">
        <v>0.0</v>
      </c>
      <c r="I21" s="152">
        <v>11.0</v>
      </c>
      <c r="J21" s="155" t="str">
        <f>HYPERLINK("https://kimatv.com/news/local/12-total-cases-of-covid-19-confirmed-in-kittitas-county","Source")</f>
        <v>Source</v>
      </c>
      <c r="K21" s="172" t="str">
        <f>HYPERLINK("https://kitcogis.maps.arcgis.com/apps/opsdashboard/index.html#/8d4896b6fe7b4805a7251a1284b051fb","Source")</f>
        <v>Source</v>
      </c>
    </row>
    <row r="22">
      <c r="A22" s="3" t="s">
        <v>278</v>
      </c>
      <c r="B22" s="161" t="str">
        <f>HYPERLINK("https://en.wikipedia.org/wiki/2020_coronavirus_pandemic_in_Mayotte","Link")</f>
        <v>Link</v>
      </c>
      <c r="C22" s="161" t="str">
        <f>HYPERLINK("http://www.mayotte.gouv.fr/Politiques-publiques/Sante/CORONAVIRUS-COVID-19/Point-de-situation/Coronavirus-COVID-19-a-Mayotte-186-cas-confirmes-au-total","Link")</f>
        <v>Link</v>
      </c>
      <c r="D22" s="134"/>
      <c r="F22" s="158" t="s">
        <v>279</v>
      </c>
      <c r="G22" s="152">
        <v>14.0</v>
      </c>
      <c r="H22" s="152">
        <v>2.0</v>
      </c>
      <c r="I22" s="152"/>
      <c r="J22" s="155"/>
      <c r="K22" s="173"/>
    </row>
    <row r="23">
      <c r="A23" s="174" t="s">
        <v>281</v>
      </c>
      <c r="B23" s="175" t="str">
        <f>HYPERLINK("https://twitter.com/NNPrezNez","Link")</f>
        <v>Link</v>
      </c>
      <c r="C23" s="175" t="str">
        <f>HYPERLINK("https://navajo-nation-coronavirus-response-ndoh-nec.hub.arcgis.com/","Link")</f>
        <v>Link</v>
      </c>
      <c r="D23" s="175" t="str">
        <f>HYPERLINK("https://twitter.com/navajohealth","Link")</f>
        <v>Link</v>
      </c>
      <c r="F23" s="158" t="s">
        <v>282</v>
      </c>
      <c r="G23" s="152">
        <v>19.0</v>
      </c>
      <c r="H23" s="152">
        <v>2.0</v>
      </c>
      <c r="I23" s="152"/>
      <c r="J23" s="155"/>
      <c r="K23" s="173"/>
    </row>
    <row r="24">
      <c r="A24" s="20" t="s">
        <v>284</v>
      </c>
      <c r="B24" s="175" t="str">
        <f>HYPERLINK("https://www.ihs.gov/coronavirus/?CFID=181292988&amp;CFTOKEN=50674899","Link")</f>
        <v>Link</v>
      </c>
      <c r="C24" s="175" t="str">
        <f>HYPERLINK("https://www.nec.navajo-nsn.gov/","Link")</f>
        <v>Link</v>
      </c>
      <c r="D24" s="176"/>
      <c r="F24" s="158" t="s">
        <v>285</v>
      </c>
      <c r="G24" s="152">
        <v>2.0</v>
      </c>
      <c r="H24" s="152">
        <v>0.0</v>
      </c>
      <c r="I24" s="152"/>
      <c r="J24" s="155"/>
      <c r="K24" s="173"/>
    </row>
    <row r="25">
      <c r="A25" s="176"/>
      <c r="B25" s="177"/>
      <c r="C25" s="176"/>
      <c r="D25" s="176"/>
      <c r="F25" s="158" t="s">
        <v>286</v>
      </c>
      <c r="G25" s="152">
        <v>20.0</v>
      </c>
      <c r="H25" s="152">
        <v>0.0</v>
      </c>
      <c r="I25" s="152"/>
      <c r="J25" s="155"/>
      <c r="K25" s="173"/>
    </row>
    <row r="26">
      <c r="A26" s="176"/>
      <c r="B26" s="178"/>
      <c r="C26" s="176"/>
      <c r="D26" s="176"/>
      <c r="F26" s="158" t="s">
        <v>287</v>
      </c>
      <c r="G26" s="151">
        <v>15.0</v>
      </c>
      <c r="H26" s="151">
        <v>0.0</v>
      </c>
      <c r="I26" s="151"/>
      <c r="J26" s="155"/>
      <c r="K26" s="146"/>
    </row>
    <row r="27">
      <c r="A27" s="180" t="s">
        <v>288</v>
      </c>
      <c r="B27" s="177" t="s">
        <v>290</v>
      </c>
      <c r="C27" s="176"/>
      <c r="D27" s="176"/>
      <c r="F27" s="158" t="s">
        <v>291</v>
      </c>
      <c r="G27" s="151">
        <v>1.0</v>
      </c>
      <c r="H27" s="151">
        <v>0.0</v>
      </c>
      <c r="I27" s="151"/>
      <c r="J27" s="155"/>
      <c r="K27" s="146"/>
    </row>
    <row r="28">
      <c r="A28" s="176" t="s">
        <v>55</v>
      </c>
      <c r="B28" s="177"/>
      <c r="C28" s="176"/>
      <c r="D28" s="176"/>
      <c r="F28" s="158" t="s">
        <v>292</v>
      </c>
      <c r="G28" s="151">
        <v>1.0</v>
      </c>
      <c r="H28" s="151">
        <v>0.0</v>
      </c>
      <c r="I28" s="151"/>
      <c r="J28" s="155"/>
      <c r="K28" s="146"/>
    </row>
    <row r="29">
      <c r="A29" s="176" t="s">
        <v>33</v>
      </c>
      <c r="B29" s="178" t="str">
        <f>HYPERLINK("https://twitter.com/DHSCgovuk","Link")</f>
        <v>Link</v>
      </c>
      <c r="C29" s="176"/>
      <c r="D29" s="176"/>
      <c r="E29" s="181"/>
      <c r="F29" s="149" t="s">
        <v>293</v>
      </c>
      <c r="G29" s="151">
        <v>1022.0</v>
      </c>
      <c r="H29" s="152">
        <v>28.0</v>
      </c>
      <c r="I29" s="153" t="s">
        <v>26</v>
      </c>
      <c r="J29" s="155" t="str">
        <f>HYPERLINK("https://twitter.com/TPCHD","Source")</f>
        <v>Source</v>
      </c>
      <c r="K29" s="155" t="str">
        <f>HYPERLINK("https://www.tpchd.org/healthy-people/diseases/covid-19-pierce-county-cases","Source")</f>
        <v>Source</v>
      </c>
    </row>
    <row r="30">
      <c r="A30" s="176" t="s">
        <v>20</v>
      </c>
      <c r="B30" s="177"/>
      <c r="C30" s="176"/>
      <c r="D30" s="176"/>
      <c r="F30" s="158" t="s">
        <v>295</v>
      </c>
      <c r="G30" s="152">
        <v>13.0</v>
      </c>
      <c r="H30" s="152">
        <v>0.0</v>
      </c>
      <c r="I30" s="153"/>
      <c r="J30" s="155"/>
      <c r="K30" s="155"/>
    </row>
    <row r="31">
      <c r="A31" s="176" t="s">
        <v>30</v>
      </c>
      <c r="B31" s="177"/>
      <c r="C31" s="176"/>
      <c r="D31" s="176"/>
      <c r="F31" s="158" t="s">
        <v>296</v>
      </c>
      <c r="G31" s="152">
        <v>207.0</v>
      </c>
      <c r="H31" s="152">
        <v>6.0</v>
      </c>
      <c r="I31" s="153"/>
      <c r="J31" s="155"/>
      <c r="K31" s="155"/>
    </row>
    <row r="32">
      <c r="A32" s="176" t="s">
        <v>41</v>
      </c>
      <c r="B32" s="177"/>
      <c r="C32" s="176"/>
      <c r="D32" s="176"/>
      <c r="F32" s="158" t="s">
        <v>297</v>
      </c>
      <c r="G32" s="152">
        <v>3.0</v>
      </c>
      <c r="H32" s="152">
        <v>0.0</v>
      </c>
      <c r="I32" s="153"/>
      <c r="J32" s="155"/>
      <c r="K32" s="155"/>
    </row>
    <row r="33">
      <c r="A33" s="176" t="s">
        <v>23</v>
      </c>
      <c r="B33" s="177"/>
      <c r="C33" s="176"/>
      <c r="D33" s="176"/>
      <c r="E33" s="181"/>
      <c r="F33" s="149" t="s">
        <v>299</v>
      </c>
      <c r="G33" s="151">
        <v>2124.0</v>
      </c>
      <c r="H33" s="151">
        <v>81.0</v>
      </c>
      <c r="I33" s="151">
        <v>1362.0</v>
      </c>
      <c r="J33" s="155" t="str">
        <f>HYPERLINK("https://www.snohd.org/499/COVID-19-Case-Count-Info","Source")</f>
        <v>Source</v>
      </c>
      <c r="K33" s="146"/>
    </row>
    <row r="34">
      <c r="A34" s="176" t="s">
        <v>34</v>
      </c>
      <c r="B34" s="176"/>
      <c r="C34" s="176"/>
      <c r="D34" s="176"/>
      <c r="E34" s="181"/>
      <c r="F34" s="149" t="s">
        <v>300</v>
      </c>
      <c r="G34" s="151">
        <v>286.0</v>
      </c>
      <c r="H34" s="152">
        <v>17.0</v>
      </c>
      <c r="I34" s="153" t="s">
        <v>26</v>
      </c>
      <c r="J34" s="155" t="str">
        <f>HYPERLINK("https://srhd.org/covid19","Source")</f>
        <v>Source</v>
      </c>
      <c r="K34" s="153"/>
    </row>
    <row r="35">
      <c r="A35" s="176" t="s">
        <v>39</v>
      </c>
      <c r="B35" s="176"/>
      <c r="C35" s="176"/>
      <c r="D35" s="176"/>
      <c r="F35" s="158" t="s">
        <v>301</v>
      </c>
      <c r="G35" s="152">
        <v>7.0</v>
      </c>
      <c r="H35" s="152">
        <v>1.0</v>
      </c>
      <c r="I35" s="153"/>
      <c r="J35" s="155"/>
      <c r="K35" s="171"/>
    </row>
    <row r="36">
      <c r="A36" s="176" t="s">
        <v>302</v>
      </c>
      <c r="B36" s="182" t="s">
        <v>304</v>
      </c>
      <c r="C36" s="176"/>
      <c r="D36" s="176"/>
      <c r="F36" s="158" t="s">
        <v>305</v>
      </c>
      <c r="G36" s="152">
        <v>82.0</v>
      </c>
      <c r="H36" s="152">
        <v>1.0</v>
      </c>
      <c r="I36" s="153"/>
      <c r="J36" s="155"/>
      <c r="K36" s="171"/>
    </row>
    <row r="37">
      <c r="A37" s="176"/>
      <c r="B37" s="176"/>
      <c r="F37" s="158" t="s">
        <v>306</v>
      </c>
      <c r="G37" s="152">
        <v>2.0</v>
      </c>
      <c r="H37" s="152">
        <v>0.0</v>
      </c>
      <c r="I37" s="153"/>
      <c r="J37" s="155"/>
      <c r="K37" s="171"/>
    </row>
    <row r="38">
      <c r="A38" s="176"/>
      <c r="B38" s="176"/>
      <c r="F38" s="158" t="s">
        <v>307</v>
      </c>
      <c r="G38" s="152">
        <v>24.0</v>
      </c>
      <c r="H38" s="152">
        <v>0.0</v>
      </c>
      <c r="I38" s="153"/>
      <c r="J38" s="155"/>
      <c r="K38" s="171"/>
    </row>
    <row r="39">
      <c r="E39" s="181"/>
      <c r="F39" s="149" t="s">
        <v>308</v>
      </c>
      <c r="G39" s="152">
        <v>269.0</v>
      </c>
      <c r="H39" s="152">
        <v>25.0</v>
      </c>
      <c r="I39" s="153" t="s">
        <v>26</v>
      </c>
      <c r="J39" s="155" t="str">
        <f>HYPERLINK("https://www.whatcomcounty.us/3329/Novel-Coronavirus-COVID-19#case","Source")</f>
        <v>Source</v>
      </c>
      <c r="K39" s="171"/>
    </row>
    <row r="40">
      <c r="A40" s="160" t="s">
        <v>18</v>
      </c>
      <c r="B40" s="162" t="s">
        <v>7</v>
      </c>
      <c r="C40" s="162" t="s">
        <v>10</v>
      </c>
      <c r="F40" s="158" t="s">
        <v>309</v>
      </c>
      <c r="G40" s="152">
        <v>11.0</v>
      </c>
      <c r="H40" s="152">
        <v>0.0</v>
      </c>
      <c r="I40" s="153"/>
      <c r="J40" s="155"/>
      <c r="K40" s="171"/>
    </row>
    <row r="41">
      <c r="A41" s="163" t="s">
        <v>249</v>
      </c>
      <c r="B41" s="164">
        <v>24653.0</v>
      </c>
      <c r="C41" s="164">
        <v>1640.0</v>
      </c>
      <c r="E41" s="181"/>
      <c r="F41" s="149" t="s">
        <v>311</v>
      </c>
      <c r="G41" s="152">
        <v>674.0</v>
      </c>
      <c r="H41" s="152">
        <v>29.0</v>
      </c>
      <c r="I41" s="153" t="s">
        <v>26</v>
      </c>
      <c r="J41" s="155" t="str">
        <f>HYPERLINK("https://www.yakimacounty.us/2323/COVID-19","Source")</f>
        <v>Source</v>
      </c>
      <c r="K41" s="183"/>
    </row>
    <row r="42">
      <c r="A42" s="163" t="s">
        <v>251</v>
      </c>
      <c r="B42" s="164">
        <v>31969.0</v>
      </c>
      <c r="C42" s="164">
        <v>2462.0</v>
      </c>
      <c r="F42" s="158" t="s">
        <v>312</v>
      </c>
      <c r="G42" s="151">
        <v>280.0</v>
      </c>
      <c r="H42" s="152">
        <v>0.0</v>
      </c>
      <c r="I42" s="153" t="s">
        <v>26</v>
      </c>
      <c r="J42" s="155" t="str">
        <f>HYPERLINK("https://www.doh.wa.gov/Emergencies/Coronavirus","Source")</f>
        <v>Source</v>
      </c>
      <c r="K42" s="171"/>
    </row>
    <row r="43">
      <c r="A43" s="163" t="s">
        <v>252</v>
      </c>
      <c r="B43" s="164">
        <v>16617.0</v>
      </c>
      <c r="C43" s="164">
        <v>1541.0</v>
      </c>
      <c r="F43" s="149" t="s">
        <v>257</v>
      </c>
      <c r="G43" s="184">
        <f t="shared" ref="G43:I43" si="1">SUM(G3:G42)</f>
        <v>11235</v>
      </c>
      <c r="H43" s="184">
        <f t="shared" si="1"/>
        <v>571</v>
      </c>
      <c r="I43" s="184">
        <f t="shared" si="1"/>
        <v>1401</v>
      </c>
      <c r="J43" s="153"/>
      <c r="K43" s="153"/>
    </row>
    <row r="44">
      <c r="A44" s="163" t="s">
        <v>254</v>
      </c>
      <c r="B44" s="164">
        <v>36765.0</v>
      </c>
      <c r="C44" s="164">
        <v>2189.0</v>
      </c>
      <c r="F44" s="149"/>
      <c r="G44" s="184"/>
      <c r="H44" s="184"/>
      <c r="I44" s="185"/>
      <c r="J44" s="153"/>
      <c r="K44" s="153"/>
    </row>
    <row r="45">
      <c r="A45" s="163" t="s">
        <v>255</v>
      </c>
      <c r="B45" s="164">
        <v>8298.0</v>
      </c>
      <c r="C45" s="166">
        <v>389.0</v>
      </c>
      <c r="F45" s="149"/>
      <c r="G45" s="184"/>
      <c r="H45" s="184"/>
      <c r="I45" s="185"/>
      <c r="J45" s="153"/>
      <c r="K45" s="153"/>
    </row>
    <row r="46">
      <c r="A46" s="186" t="s">
        <v>315</v>
      </c>
      <c r="B46" s="187">
        <f t="shared" ref="B46:C46" si="2">SUM(B41:B45)</f>
        <v>118302</v>
      </c>
      <c r="C46" s="187">
        <f t="shared" si="2"/>
        <v>8221</v>
      </c>
      <c r="F46" s="149"/>
      <c r="G46" s="184"/>
      <c r="H46" s="184"/>
      <c r="I46" s="185"/>
      <c r="J46" s="153"/>
      <c r="K46" s="153"/>
    </row>
    <row r="47">
      <c r="A47" s="188" t="s">
        <v>317</v>
      </c>
      <c r="B47" s="189" t="s">
        <v>53</v>
      </c>
      <c r="C47" s="190">
        <v>4059.0</v>
      </c>
      <c r="F47" s="149"/>
      <c r="G47" s="184"/>
      <c r="H47" s="184"/>
      <c r="I47" s="185"/>
      <c r="J47" s="153"/>
      <c r="K47" s="153"/>
    </row>
    <row r="48">
      <c r="A48" s="163" t="s">
        <v>318</v>
      </c>
      <c r="B48" s="164">
        <v>95477.0</v>
      </c>
      <c r="C48" s="164">
        <v>3365.0</v>
      </c>
      <c r="F48" s="149"/>
      <c r="G48" s="184"/>
      <c r="H48" s="184"/>
      <c r="I48" s="185"/>
      <c r="J48" s="153"/>
      <c r="K48" s="153"/>
    </row>
    <row r="49">
      <c r="A49" s="186" t="s">
        <v>319</v>
      </c>
      <c r="B49" s="191">
        <f t="shared" ref="B49:C49" si="3">SUM(B46:B48)</f>
        <v>213779</v>
      </c>
      <c r="C49" s="191">
        <f t="shared" si="3"/>
        <v>15645</v>
      </c>
      <c r="F49" s="149"/>
      <c r="G49" s="184"/>
      <c r="H49" s="184"/>
      <c r="I49" s="185"/>
      <c r="J49" s="153"/>
      <c r="K49" s="153"/>
    </row>
    <row r="50">
      <c r="B50" s="167"/>
      <c r="C50" s="167"/>
      <c r="F50" s="149"/>
      <c r="G50" s="184"/>
      <c r="H50" s="184"/>
      <c r="I50" s="185"/>
      <c r="J50" s="153"/>
      <c r="K50" s="153"/>
    </row>
    <row r="51">
      <c r="B51" s="164"/>
      <c r="C51" s="164"/>
      <c r="F51" s="149"/>
      <c r="G51" s="184"/>
      <c r="H51" s="184"/>
      <c r="I51" s="185"/>
      <c r="J51" s="153"/>
      <c r="K51" s="153"/>
    </row>
    <row r="52">
      <c r="B52" s="167"/>
      <c r="C52" s="167"/>
      <c r="F52" s="149"/>
      <c r="G52" s="184"/>
      <c r="H52" s="184"/>
      <c r="I52" s="185"/>
      <c r="J52" s="153"/>
      <c r="K52" s="153"/>
    </row>
  </sheetData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60" t="s">
        <v>18</v>
      </c>
      <c r="B1" s="162" t="s">
        <v>7</v>
      </c>
      <c r="C1" s="162" t="s">
        <v>10</v>
      </c>
    </row>
    <row r="2">
      <c r="A2" s="163" t="s">
        <v>249</v>
      </c>
      <c r="B2" s="164">
        <v>23266.0</v>
      </c>
      <c r="C2" s="164">
        <v>1545.0</v>
      </c>
    </row>
    <row r="3">
      <c r="A3" s="163" t="s">
        <v>251</v>
      </c>
      <c r="B3" s="164">
        <v>29306.0</v>
      </c>
      <c r="C3" s="164">
        <v>2308.0</v>
      </c>
    </row>
    <row r="4">
      <c r="A4" s="163" t="s">
        <v>252</v>
      </c>
      <c r="B4" s="164">
        <v>14880.0</v>
      </c>
      <c r="C4" s="164">
        <v>1433.0</v>
      </c>
    </row>
    <row r="5">
      <c r="A5" s="163" t="s">
        <v>254</v>
      </c>
      <c r="B5" s="164">
        <v>35053.0</v>
      </c>
      <c r="C5" s="164">
        <v>2042.0</v>
      </c>
    </row>
    <row r="6">
      <c r="A6" s="163" t="s">
        <v>255</v>
      </c>
      <c r="B6" s="164">
        <v>7960.0</v>
      </c>
      <c r="C6" s="166">
        <v>362.0</v>
      </c>
    </row>
    <row r="7">
      <c r="A7" s="149" t="s">
        <v>257</v>
      </c>
      <c r="B7" s="167">
        <f t="shared" ref="B7:C7" si="1">SUM(B1:B6)</f>
        <v>110465</v>
      </c>
      <c r="C7" s="167">
        <f t="shared" si="1"/>
        <v>7690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9.14"/>
    <col customWidth="1" min="4" max="4" width="9.71"/>
    <col customWidth="1" min="5" max="5" width="13.0"/>
  </cols>
  <sheetData>
    <row r="1" ht="27.75" customHeight="1">
      <c r="A1" s="1" t="s">
        <v>341</v>
      </c>
      <c r="F1" s="3"/>
      <c r="G1" s="3"/>
      <c r="H1" s="3"/>
    </row>
    <row r="2">
      <c r="A2" s="4" t="s">
        <v>342</v>
      </c>
      <c r="B2" s="4" t="s">
        <v>343</v>
      </c>
      <c r="D2" s="5" t="s">
        <v>344</v>
      </c>
      <c r="E2" s="6"/>
      <c r="F2" s="3"/>
      <c r="G2" s="3"/>
      <c r="H2" s="3"/>
    </row>
    <row r="3">
      <c r="A3" s="13">
        <f t="shared" ref="A3:B3" si="1">SUM(B24, B25)</f>
        <v>3196</v>
      </c>
      <c r="B3" s="13">
        <f t="shared" si="1"/>
        <v>33</v>
      </c>
      <c r="D3" s="14">
        <f>SUM(E24, E25)</f>
        <v>9</v>
      </c>
      <c r="E3" s="6"/>
      <c r="F3" s="3"/>
      <c r="G3" s="3"/>
      <c r="H3" s="3"/>
    </row>
    <row r="4">
      <c r="A4" s="18"/>
      <c r="B4" s="7"/>
      <c r="C4" s="7"/>
      <c r="D4" s="6"/>
      <c r="E4" s="6"/>
      <c r="F4" s="3"/>
      <c r="G4" s="3"/>
      <c r="H4" s="3"/>
    </row>
    <row r="5" ht="30.0" customHeight="1">
      <c r="A5" s="120" t="s">
        <v>346</v>
      </c>
      <c r="B5" s="121" t="s">
        <v>347</v>
      </c>
      <c r="C5" s="121" t="s">
        <v>348</v>
      </c>
      <c r="D5" s="122" t="s">
        <v>349</v>
      </c>
      <c r="E5" s="122" t="s">
        <v>350</v>
      </c>
      <c r="F5" s="31"/>
      <c r="G5" s="31"/>
      <c r="H5" s="31"/>
    </row>
    <row r="6" ht="30.0" customHeight="1">
      <c r="A6" s="78" t="s">
        <v>351</v>
      </c>
      <c r="B6" s="79">
        <v>977.0</v>
      </c>
      <c r="C6" s="80">
        <v>11.0</v>
      </c>
      <c r="D6" s="81"/>
      <c r="E6" s="81">
        <v>1.0</v>
      </c>
      <c r="F6" s="31"/>
      <c r="G6" s="31"/>
      <c r="H6" s="31"/>
    </row>
    <row r="7" ht="30.0" customHeight="1">
      <c r="A7" s="78" t="s">
        <v>88</v>
      </c>
      <c r="B7" s="79">
        <v>434.0</v>
      </c>
      <c r="C7" s="80">
        <v>0.0</v>
      </c>
      <c r="D7" s="81"/>
      <c r="E7" s="192"/>
      <c r="F7" s="31"/>
      <c r="G7" s="31"/>
      <c r="H7" s="31"/>
    </row>
    <row r="8" ht="30.0" customHeight="1">
      <c r="A8" s="78" t="s">
        <v>91</v>
      </c>
      <c r="B8" s="79">
        <v>426.0</v>
      </c>
      <c r="C8" s="79">
        <v>7.0</v>
      </c>
      <c r="D8" s="123">
        <v>6.0</v>
      </c>
      <c r="E8" s="81">
        <v>3.0</v>
      </c>
      <c r="F8" s="31"/>
      <c r="G8" s="31"/>
      <c r="H8" s="31"/>
    </row>
    <row r="9" ht="30.0" customHeight="1">
      <c r="A9" s="78" t="s">
        <v>81</v>
      </c>
      <c r="B9" s="79">
        <v>263.0</v>
      </c>
      <c r="C9" s="80">
        <v>3.0</v>
      </c>
      <c r="D9" s="81">
        <v>16.0</v>
      </c>
      <c r="E9" s="81">
        <v>2.0</v>
      </c>
      <c r="F9" s="31"/>
      <c r="G9" s="31"/>
      <c r="H9" s="31"/>
    </row>
    <row r="10" ht="30.0" customHeight="1">
      <c r="A10" s="78" t="s">
        <v>354</v>
      </c>
      <c r="B10" s="79">
        <v>203.0</v>
      </c>
      <c r="C10" s="80">
        <v>2.0</v>
      </c>
      <c r="D10" s="81">
        <v>3.0</v>
      </c>
      <c r="E10" s="81">
        <v>3.0</v>
      </c>
      <c r="F10" s="31"/>
      <c r="G10" s="31"/>
      <c r="H10" s="31"/>
    </row>
    <row r="11" ht="30.0" customHeight="1">
      <c r="A11" s="78" t="s">
        <v>355</v>
      </c>
      <c r="B11" s="79">
        <v>200.0</v>
      </c>
      <c r="C11" s="80">
        <v>1.0</v>
      </c>
      <c r="D11" s="81">
        <v>8.0</v>
      </c>
      <c r="E11" s="192"/>
      <c r="F11" s="31"/>
      <c r="G11" s="31"/>
      <c r="H11" s="31"/>
    </row>
    <row r="12" ht="30.0" customHeight="1">
      <c r="A12" s="78" t="s">
        <v>164</v>
      </c>
      <c r="B12" s="79">
        <v>158.0</v>
      </c>
      <c r="C12" s="80">
        <v>3.0</v>
      </c>
      <c r="D12" s="81"/>
      <c r="E12" s="192"/>
      <c r="F12" s="31"/>
      <c r="G12" s="31"/>
      <c r="H12" s="31"/>
    </row>
    <row r="13" ht="30.0" customHeight="1">
      <c r="A13" s="78" t="s">
        <v>153</v>
      </c>
      <c r="B13" s="79">
        <v>158.0</v>
      </c>
      <c r="C13" s="80">
        <v>0.0</v>
      </c>
      <c r="D13" s="81"/>
      <c r="E13" s="192"/>
      <c r="F13" s="31"/>
      <c r="G13" s="31"/>
      <c r="H13" s="31"/>
    </row>
    <row r="14" ht="30.0" customHeight="1">
      <c r="A14" s="78" t="s">
        <v>280</v>
      </c>
      <c r="B14" s="79">
        <v>113.0</v>
      </c>
      <c r="C14" s="80">
        <v>2.0</v>
      </c>
      <c r="D14" s="81"/>
      <c r="E14" s="192"/>
      <c r="F14" s="31"/>
      <c r="G14" s="31"/>
      <c r="H14" s="31"/>
    </row>
    <row r="15" ht="30.0" customHeight="1">
      <c r="A15" s="78" t="s">
        <v>289</v>
      </c>
      <c r="B15" s="79">
        <v>110.0</v>
      </c>
      <c r="C15" s="80"/>
      <c r="D15" s="81"/>
      <c r="E15" s="192"/>
      <c r="F15" s="31"/>
      <c r="G15" s="31"/>
      <c r="H15" s="31"/>
    </row>
    <row r="16" ht="30.0" customHeight="1">
      <c r="A16" s="78" t="s">
        <v>357</v>
      </c>
      <c r="B16" s="79">
        <v>72.0</v>
      </c>
      <c r="C16" s="80">
        <v>2.0</v>
      </c>
      <c r="D16" s="81"/>
      <c r="E16" s="192"/>
      <c r="F16" s="31"/>
      <c r="G16" s="31"/>
      <c r="H16" s="31"/>
    </row>
    <row r="17" ht="30.0" customHeight="1">
      <c r="A17" s="78" t="s">
        <v>310</v>
      </c>
      <c r="B17" s="79">
        <v>24.0</v>
      </c>
      <c r="C17" s="80">
        <v>0.0</v>
      </c>
      <c r="D17" s="81"/>
      <c r="E17" s="192"/>
      <c r="F17" s="31"/>
      <c r="G17" s="31"/>
      <c r="H17" s="31"/>
    </row>
    <row r="18" ht="30.0" customHeight="1">
      <c r="A18" s="78" t="s">
        <v>231</v>
      </c>
      <c r="B18" s="79">
        <v>21.0</v>
      </c>
      <c r="C18" s="80">
        <v>1.0</v>
      </c>
      <c r="D18" s="81"/>
      <c r="E18" s="192"/>
      <c r="F18" s="31"/>
      <c r="G18" s="31"/>
      <c r="H18" s="31"/>
    </row>
    <row r="19" ht="30.0" customHeight="1">
      <c r="A19" s="78" t="s">
        <v>316</v>
      </c>
      <c r="B19" s="79">
        <v>19.0</v>
      </c>
      <c r="C19" s="80">
        <v>0.0</v>
      </c>
      <c r="D19" s="81"/>
      <c r="E19" s="192"/>
      <c r="F19" s="31"/>
      <c r="G19" s="31"/>
      <c r="H19" s="31"/>
    </row>
    <row r="20" ht="30.0" customHeight="1">
      <c r="A20" s="78" t="s">
        <v>340</v>
      </c>
      <c r="B20" s="79">
        <v>18.0</v>
      </c>
      <c r="C20" s="80">
        <v>1.0</v>
      </c>
      <c r="D20" s="81"/>
      <c r="E20" s="192"/>
      <c r="F20" s="31"/>
      <c r="G20" s="31"/>
      <c r="H20" s="31"/>
    </row>
    <row r="21" ht="30.0" customHeight="1">
      <c r="A21" s="78" t="s">
        <v>339</v>
      </c>
      <c r="B21" s="79">
        <v>13.0</v>
      </c>
      <c r="C21" s="80">
        <v>1.0</v>
      </c>
      <c r="D21" s="81"/>
      <c r="E21" s="192"/>
      <c r="F21" s="31"/>
      <c r="G21" s="31"/>
      <c r="H21" s="31"/>
    </row>
    <row r="22" ht="30.0" customHeight="1">
      <c r="A22" s="78" t="s">
        <v>345</v>
      </c>
      <c r="B22" s="79">
        <v>3.0</v>
      </c>
      <c r="C22" s="80"/>
      <c r="D22" s="81"/>
      <c r="E22" s="192"/>
      <c r="F22" s="31"/>
      <c r="G22" s="31"/>
      <c r="H22" s="31"/>
    </row>
    <row r="23" ht="30.0" customHeight="1">
      <c r="A23" s="78" t="s">
        <v>360</v>
      </c>
      <c r="B23" s="79">
        <v>2.0</v>
      </c>
      <c r="C23" s="80"/>
      <c r="D23" s="81"/>
      <c r="E23" s="192"/>
      <c r="F23" s="31"/>
      <c r="G23" s="31"/>
      <c r="H23" s="31"/>
    </row>
    <row r="24" ht="30.0" customHeight="1">
      <c r="A24" s="86" t="s">
        <v>61</v>
      </c>
      <c r="B24" s="150">
        <f t="shared" ref="B24:C24" si="2">SUM(B6:B20)</f>
        <v>3196</v>
      </c>
      <c r="C24" s="150">
        <f t="shared" si="2"/>
        <v>33</v>
      </c>
      <c r="D24" s="150">
        <f t="shared" ref="D24:E24" si="3">SUM(D6:D16)</f>
        <v>33</v>
      </c>
      <c r="E24" s="150">
        <f t="shared" si="3"/>
        <v>9</v>
      </c>
      <c r="F24" s="31"/>
      <c r="G24" s="31"/>
      <c r="H24" s="31"/>
    </row>
    <row r="25">
      <c r="A25" s="93"/>
      <c r="B25" s="10"/>
      <c r="C25" s="10"/>
      <c r="D25" s="10"/>
      <c r="E25" s="10"/>
      <c r="F25" s="3"/>
      <c r="G25" s="3"/>
      <c r="H25" s="3"/>
    </row>
    <row r="26">
      <c r="A26" s="91"/>
      <c r="B26" s="92"/>
      <c r="C26" s="10"/>
      <c r="D26" s="10"/>
      <c r="E26" s="10"/>
      <c r="F26" s="3"/>
      <c r="G26" s="3"/>
      <c r="H26" s="3"/>
    </row>
    <row r="27">
      <c r="A27" s="93"/>
      <c r="B27" s="10"/>
      <c r="C27" s="10"/>
      <c r="D27" s="10"/>
      <c r="E27" s="10"/>
      <c r="F27" s="3"/>
      <c r="G27" s="3"/>
      <c r="H27" s="3"/>
    </row>
    <row r="28">
      <c r="A28" s="93"/>
      <c r="B28" s="10"/>
      <c r="C28" s="10"/>
      <c r="D28" s="10"/>
      <c r="E28" s="10"/>
      <c r="F28" s="3"/>
      <c r="G28" s="3"/>
      <c r="H28" s="3"/>
    </row>
  </sheetData>
  <mergeCells count="3">
    <mergeCell ref="A1:E1"/>
    <mergeCell ref="B2:C2"/>
    <mergeCell ref="B3:C3"/>
  </mergeCells>
  <drawing r:id="rId1"/>
  <tableParts count="1">
    <tablePart r:id="rId3"/>
  </tableParts>
</worksheet>
</file>