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Australia" sheetId="3" r:id="rId6"/>
    <sheet state="visible" name="Cruise ships" sheetId="4" r:id="rId7"/>
    <sheet state="visible" name="Canada" sheetId="5" r:id="rId8"/>
    <sheet state="visible" name="China" sheetId="6" r:id="rId9"/>
    <sheet state="visible" name="Notes" sheetId="7" r:id="rId10"/>
    <sheet state="visible" name="Cases" sheetId="10" r:id="rId11"/>
    <sheet state="visible" name="Deaths" sheetId="12" r:id="rId12"/>
    <sheet state="visible" name="América Latina" sheetId="13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39,730 confirmed or suspected cases in nursing homes</t>
      </text>
    </comment>
    <comment authorId="0" ref="L10">
      <text>
        <t xml:space="preserve">39,730 confirmed or suspected cases in nursing homes</t>
      </text>
    </comment>
    <comment authorId="0" ref="N123">
      <text>
        <t xml:space="preserve">Missing recoveries</t>
      </text>
    </comment>
    <comment authorId="0" ref="N152">
      <text>
        <t xml:space="preserve">No updated recovery number </t>
      </text>
    </comment>
  </commentList>
</comments>
</file>

<file path=xl/sharedStrings.xml><?xml version="1.0" encoding="utf-8"?>
<sst xmlns="http://schemas.openxmlformats.org/spreadsheetml/2006/main" count="953" uniqueCount="438">
  <si>
    <t>Updated throughout the day</t>
  </si>
  <si>
    <t>CASES</t>
  </si>
  <si>
    <t>DEATHS</t>
  </si>
  <si>
    <t>RECOVERED</t>
  </si>
  <si>
    <t>UNRESOLVED</t>
  </si>
  <si>
    <t>UNITED STATES</t>
  </si>
  <si>
    <t>AUSTRALIA</t>
  </si>
  <si>
    <t>Cases</t>
  </si>
  <si>
    <t>New cases</t>
  </si>
  <si>
    <t>Deaths</t>
  </si>
  <si>
    <t>New deaths</t>
  </si>
  <si>
    <t>Death rate</t>
  </si>
  <si>
    <t>Serious &amp; Critical</t>
  </si>
  <si>
    <t>LOCATION</t>
  </si>
  <si>
    <t>Recovered</t>
  </si>
  <si>
    <t>Links</t>
  </si>
  <si>
    <t>New York</t>
  </si>
  <si>
    <t>New South Wales</t>
  </si>
  <si>
    <t>United States</t>
  </si>
  <si>
    <t>Daily</t>
  </si>
  <si>
    <t>New Jersey</t>
  </si>
  <si>
    <t>Victoria</t>
  </si>
  <si>
    <t>Spain</t>
  </si>
  <si>
    <t>Queensland</t>
  </si>
  <si>
    <t>Italy</t>
  </si>
  <si>
    <t>Massachusetts</t>
  </si>
  <si>
    <t>N/A</t>
  </si>
  <si>
    <t>France</t>
  </si>
  <si>
    <t>Western Australia</t>
  </si>
  <si>
    <t>Michigan</t>
  </si>
  <si>
    <t>Germany</t>
  </si>
  <si>
    <t>South Australia</t>
  </si>
  <si>
    <t>Pennsylvania</t>
  </si>
  <si>
    <t>United Kingdom</t>
  </si>
  <si>
    <t>Tasmania</t>
  </si>
  <si>
    <t>California</t>
  </si>
  <si>
    <t>China</t>
  </si>
  <si>
    <t>Canberra (ACT)</t>
  </si>
  <si>
    <t>Frequent</t>
  </si>
  <si>
    <t>Illinois</t>
  </si>
  <si>
    <t>Iran</t>
  </si>
  <si>
    <t>Northern Territory</t>
  </si>
  <si>
    <t>Florida</t>
  </si>
  <si>
    <t>Turkey</t>
  </si>
  <si>
    <t>External territories</t>
  </si>
  <si>
    <t>At least 2</t>
  </si>
  <si>
    <t>Louisiana</t>
  </si>
  <si>
    <t>-</t>
  </si>
  <si>
    <t>Belgium</t>
  </si>
  <si>
    <t>Texas</t>
  </si>
  <si>
    <t>Jervis Bay</t>
  </si>
  <si>
    <t>Brazil</t>
  </si>
  <si>
    <t>Daily + media</t>
  </si>
  <si>
    <t>Georgia</t>
  </si>
  <si>
    <t>Canada</t>
  </si>
  <si>
    <t>Connecticut</t>
  </si>
  <si>
    <t>Netherlands</t>
  </si>
  <si>
    <t>Washington</t>
  </si>
  <si>
    <t>Russia</t>
  </si>
  <si>
    <t>TOTAL</t>
  </si>
  <si>
    <t>Switzerland</t>
  </si>
  <si>
    <t>Portugal</t>
  </si>
  <si>
    <t>Maryland</t>
  </si>
  <si>
    <t>Austria</t>
  </si>
  <si>
    <t>Throughout</t>
  </si>
  <si>
    <t>India</t>
  </si>
  <si>
    <t>Indiana</t>
  </si>
  <si>
    <t>Ireland</t>
  </si>
  <si>
    <t>Colorado</t>
  </si>
  <si>
    <t>Israel</t>
  </si>
  <si>
    <t>Ohio</t>
  </si>
  <si>
    <t>2 times</t>
  </si>
  <si>
    <t>Sweden</t>
  </si>
  <si>
    <t>Virginia</t>
  </si>
  <si>
    <t>Peru</t>
  </si>
  <si>
    <t>Tennessee</t>
  </si>
  <si>
    <t>North Carolina</t>
  </si>
  <si>
    <t>South Korea</t>
  </si>
  <si>
    <t>Japan</t>
  </si>
  <si>
    <t>Missouri</t>
  </si>
  <si>
    <t>U.S. military</t>
  </si>
  <si>
    <t>Chile</t>
  </si>
  <si>
    <t>Daily (M-F)</t>
  </si>
  <si>
    <t>Alabama</t>
  </si>
  <si>
    <t>CRUISE SHIPS</t>
  </si>
  <si>
    <t>Ecuador</t>
  </si>
  <si>
    <t>On board</t>
  </si>
  <si>
    <t>Infection rate</t>
  </si>
  <si>
    <t>X</t>
  </si>
  <si>
    <t>Arizona</t>
  </si>
  <si>
    <t>Poland</t>
  </si>
  <si>
    <t>Greg Mortimer</t>
  </si>
  <si>
    <t>South Carolina</t>
  </si>
  <si>
    <t>Romania</t>
  </si>
  <si>
    <t>Daily + deaths</t>
  </si>
  <si>
    <t>Wisconsin</t>
  </si>
  <si>
    <t>Denmark</t>
  </si>
  <si>
    <t>Zaandam</t>
  </si>
  <si>
    <t>Pakistan</t>
  </si>
  <si>
    <t>?</t>
  </si>
  <si>
    <t>Rhode Island</t>
  </si>
  <si>
    <t>Any time</t>
  </si>
  <si>
    <t>Norway</t>
  </si>
  <si>
    <t>Mississippi</t>
  </si>
  <si>
    <t>Costa Favolosa</t>
  </si>
  <si>
    <t>Source</t>
  </si>
  <si>
    <t>Nevada</t>
  </si>
  <si>
    <t>Australia</t>
  </si>
  <si>
    <t>Utah</t>
  </si>
  <si>
    <t>Czech Republic</t>
  </si>
  <si>
    <t>Kentucky</t>
  </si>
  <si>
    <t>At least 3</t>
  </si>
  <si>
    <t>Saudi Arabia</t>
  </si>
  <si>
    <t>Oklahoma</t>
  </si>
  <si>
    <t>Mexico</t>
  </si>
  <si>
    <t>District of Columbia</t>
  </si>
  <si>
    <t>United Arab Emirates</t>
  </si>
  <si>
    <t>Iowa</t>
  </si>
  <si>
    <t>Philippines</t>
  </si>
  <si>
    <t>Delaware</t>
  </si>
  <si>
    <t>Indonesia</t>
  </si>
  <si>
    <t>Minnesota</t>
  </si>
  <si>
    <t>Serbia</t>
  </si>
  <si>
    <t>Oregon</t>
  </si>
  <si>
    <t>Malaysia</t>
  </si>
  <si>
    <t>Arkansas</t>
  </si>
  <si>
    <t>Singapore</t>
  </si>
  <si>
    <t>3 times/day</t>
  </si>
  <si>
    <t>Idaho</t>
  </si>
  <si>
    <t>Belarus</t>
  </si>
  <si>
    <t>Possibly 2?</t>
  </si>
  <si>
    <t>New Mexico</t>
  </si>
  <si>
    <t>Ukraine</t>
  </si>
  <si>
    <t>Kansas</t>
  </si>
  <si>
    <t>Qatar</t>
  </si>
  <si>
    <t>South Dakota</t>
  </si>
  <si>
    <t>Dominican Republic</t>
  </si>
  <si>
    <t>New Hampshire</t>
  </si>
  <si>
    <t>Panama</t>
  </si>
  <si>
    <t>Nebraska</t>
  </si>
  <si>
    <t>CANADA</t>
  </si>
  <si>
    <t>Luxembourg</t>
  </si>
  <si>
    <t>Puerto Rico</t>
  </si>
  <si>
    <t>Finland</t>
  </si>
  <si>
    <t>Quebec</t>
  </si>
  <si>
    <t>Maine</t>
  </si>
  <si>
    <t>Colombia</t>
  </si>
  <si>
    <t>Ontario</t>
  </si>
  <si>
    <t>Vermont</t>
  </si>
  <si>
    <t>Egypt</t>
  </si>
  <si>
    <t>West Virginia</t>
  </si>
  <si>
    <t>Alberta</t>
  </si>
  <si>
    <t>Twice a day</t>
  </si>
  <si>
    <t>Thailand</t>
  </si>
  <si>
    <t>Federal prisons</t>
  </si>
  <si>
    <t>British Columbia</t>
  </si>
  <si>
    <t>Hawaii</t>
  </si>
  <si>
    <t>Argentina</t>
  </si>
  <si>
    <t>Nova Scotia</t>
  </si>
  <si>
    <t>Montana</t>
  </si>
  <si>
    <t>South Africa</t>
  </si>
  <si>
    <t>Saskatchewan</t>
  </si>
  <si>
    <t>Wyoming</t>
  </si>
  <si>
    <t>Morocco</t>
  </si>
  <si>
    <t>Newfoundland &amp; Labrador</t>
  </si>
  <si>
    <t>North Dakota</t>
  </si>
  <si>
    <t>Algeria</t>
  </si>
  <si>
    <t>Alaska</t>
  </si>
  <si>
    <t>Manitoba</t>
  </si>
  <si>
    <t>Greece</t>
  </si>
  <si>
    <t>Guam</t>
  </si>
  <si>
    <t>New Brunswick</t>
  </si>
  <si>
    <t>Moldova</t>
  </si>
  <si>
    <t>Grand Princess</t>
  </si>
  <si>
    <t>Croatia</t>
  </si>
  <si>
    <t>Prince Edward Island</t>
  </si>
  <si>
    <t>U.S. Virgin Islands</t>
  </si>
  <si>
    <t>Iceland</t>
  </si>
  <si>
    <t>Repatriated travellers</t>
  </si>
  <si>
    <t>Diamond Princess (repatriated)</t>
  </si>
  <si>
    <t>Bahrain</t>
  </si>
  <si>
    <t>Yukon</t>
  </si>
  <si>
    <t>Northern Mariana Islands</t>
  </si>
  <si>
    <t>Hungary</t>
  </si>
  <si>
    <t>Northwest Territories</t>
  </si>
  <si>
    <t>Wuhan (repatriated)</t>
  </si>
  <si>
    <t>Bangladesh</t>
  </si>
  <si>
    <t>Nunavut</t>
  </si>
  <si>
    <t>Kuwait</t>
  </si>
  <si>
    <t>American Samoa</t>
  </si>
  <si>
    <t>ICE/TSA/CBP</t>
  </si>
  <si>
    <t>Estonia</t>
  </si>
  <si>
    <t>Iraq</t>
  </si>
  <si>
    <t>U.S. TOTAL</t>
  </si>
  <si>
    <t>New Zealand</t>
  </si>
  <si>
    <t>Kazakhstan</t>
  </si>
  <si>
    <t>Several</t>
  </si>
  <si>
    <t>% of deaths</t>
  </si>
  <si>
    <t>Uzbekistan</t>
  </si>
  <si>
    <t>2 or 3</t>
  </si>
  <si>
    <t>Azerbaijan</t>
  </si>
  <si>
    <t>Slovenia</t>
  </si>
  <si>
    <t>ACTIVE CASES</t>
  </si>
  <si>
    <t>Bosnia</t>
  </si>
  <si>
    <t>MAINLAND CHINA</t>
  </si>
  <si>
    <t>Disputed territories</t>
  </si>
  <si>
    <t>Armenia</t>
  </si>
  <si>
    <t>Serious</t>
  </si>
  <si>
    <t>Critical</t>
  </si>
  <si>
    <t>Hubei province (includes Wuhan)</t>
  </si>
  <si>
    <t>Lithuania</t>
  </si>
  <si>
    <t>Donetsk People’s Republic</t>
  </si>
  <si>
    <t>Guangdong province</t>
  </si>
  <si>
    <t>Oman</t>
  </si>
  <si>
    <t>Adams</t>
  </si>
  <si>
    <t>Hong Kong</t>
  </si>
  <si>
    <t>Luhansk People's Republic</t>
  </si>
  <si>
    <t>Henan province</t>
  </si>
  <si>
    <t>Asotin</t>
  </si>
  <si>
    <t>Abkhazia</t>
  </si>
  <si>
    <t>Zhejiang province</t>
  </si>
  <si>
    <t>North Macedonia</t>
  </si>
  <si>
    <t>Benton</t>
  </si>
  <si>
    <t>Hunan province</t>
  </si>
  <si>
    <t>Slovakia</t>
  </si>
  <si>
    <t>Beijing</t>
  </si>
  <si>
    <t>Republic of Artsakh (AKA Nagorno-Karabakh)</t>
  </si>
  <si>
    <t>Shanghai</t>
  </si>
  <si>
    <t>Chelan</t>
  </si>
  <si>
    <t>Other regions/TBD</t>
  </si>
  <si>
    <t>Cameroon</t>
  </si>
  <si>
    <t>&lt;46</t>
  </si>
  <si>
    <t>Asymptomatic</t>
  </si>
  <si>
    <t>Clallam</t>
  </si>
  <si>
    <t>Clark</t>
  </si>
  <si>
    <t>To check for inclusion</t>
  </si>
  <si>
    <t>Cuba</t>
  </si>
  <si>
    <t>Columbia</t>
  </si>
  <si>
    <t>Reunion</t>
  </si>
  <si>
    <t>Cowlitz</t>
  </si>
  <si>
    <t>Saint Pierre and Miquelon</t>
  </si>
  <si>
    <t>Afghanistan</t>
  </si>
  <si>
    <t>Douglas</t>
  </si>
  <si>
    <t>Guantanamo</t>
  </si>
  <si>
    <t>Ferry</t>
  </si>
  <si>
    <t>Tunisia</t>
  </si>
  <si>
    <t>Sint Eustatius</t>
  </si>
  <si>
    <t>Franklin</t>
  </si>
  <si>
    <t>Somaliland</t>
  </si>
  <si>
    <t>Bulgaria</t>
  </si>
  <si>
    <t>Garfield</t>
  </si>
  <si>
    <t>São Tomé and Príncipe</t>
  </si>
  <si>
    <t>Grant</t>
  </si>
  <si>
    <t>Cyprus</t>
  </si>
  <si>
    <t>Åland Islands</t>
  </si>
  <si>
    <t>Grays Harbor</t>
  </si>
  <si>
    <t>Akrotiri and Dhekelia</t>
  </si>
  <si>
    <t>Island</t>
  </si>
  <si>
    <t>Diamond Princess</t>
  </si>
  <si>
    <t>Saint Martin</t>
  </si>
  <si>
    <t>Jefferson</t>
  </si>
  <si>
    <t>French Guiana</t>
  </si>
  <si>
    <t>King</t>
  </si>
  <si>
    <t>Ivory Coast</t>
  </si>
  <si>
    <t>Guadeloupe</t>
  </si>
  <si>
    <t>Kitsap</t>
  </si>
  <si>
    <t>Martinique</t>
  </si>
  <si>
    <t>Kittitas</t>
  </si>
  <si>
    <t>Andorra</t>
  </si>
  <si>
    <t>Mayotte</t>
  </si>
  <si>
    <t>Klickitat</t>
  </si>
  <si>
    <t>Latvia</t>
  </si>
  <si>
    <t>Navajo Nation</t>
  </si>
  <si>
    <t>Lewis</t>
  </si>
  <si>
    <t>Indian Country</t>
  </si>
  <si>
    <t>Lebanon</t>
  </si>
  <si>
    <t>Lincoln</t>
  </si>
  <si>
    <t>Mason</t>
  </si>
  <si>
    <t>Okanogan</t>
  </si>
  <si>
    <t>Calculating recoveries for</t>
  </si>
  <si>
    <t>Find old totals</t>
  </si>
  <si>
    <t>Costa Rica</t>
  </si>
  <si>
    <t>Pacific</t>
  </si>
  <si>
    <t>Pend Oreille</t>
  </si>
  <si>
    <t>Pierce</t>
  </si>
  <si>
    <t>San Juan</t>
  </si>
  <si>
    <t>Skagit</t>
  </si>
  <si>
    <t>Ghana</t>
  </si>
  <si>
    <t>Skamania</t>
  </si>
  <si>
    <t>Snohomish</t>
  </si>
  <si>
    <t>Spokane</t>
  </si>
  <si>
    <t>Stevens</t>
  </si>
  <si>
    <t>Last checked</t>
  </si>
  <si>
    <t>April 7 for March 24</t>
  </si>
  <si>
    <t>Thurston</t>
  </si>
  <si>
    <t>Wahkiakum</t>
  </si>
  <si>
    <t>Walla Walla</t>
  </si>
  <si>
    <t>Whatcom</t>
  </si>
  <si>
    <t>Niger</t>
  </si>
  <si>
    <t>Whitman</t>
  </si>
  <si>
    <t>The Bronx</t>
  </si>
  <si>
    <t>Yakima</t>
  </si>
  <si>
    <t>Djibouti</t>
  </si>
  <si>
    <t>Brooklyn/Kings</t>
  </si>
  <si>
    <t>Unassigned</t>
  </si>
  <si>
    <t>Manhattan</t>
  </si>
  <si>
    <t>Total</t>
  </si>
  <si>
    <t>Burkina Faso</t>
  </si>
  <si>
    <t>Queens</t>
  </si>
  <si>
    <t>Staten Island/Richmond</t>
  </si>
  <si>
    <t>NYC confirmed</t>
  </si>
  <si>
    <t>Albania</t>
  </si>
  <si>
    <t>NYC probable</t>
  </si>
  <si>
    <t>Outside NYC</t>
  </si>
  <si>
    <t>Total New York</t>
  </si>
  <si>
    <t>Uruguay</t>
  </si>
  <si>
    <t>Kyrgyzstan</t>
  </si>
  <si>
    <t>Kosovo</t>
  </si>
  <si>
    <t>Nigeria</t>
  </si>
  <si>
    <t>Bolivia</t>
  </si>
  <si>
    <t>Guinea</t>
  </si>
  <si>
    <t>San Marino</t>
  </si>
  <si>
    <t>Honduras</t>
  </si>
  <si>
    <t>Malta</t>
  </si>
  <si>
    <t>Jordan</t>
  </si>
  <si>
    <t>Taiwan</t>
  </si>
  <si>
    <t>Senegal</t>
  </si>
  <si>
    <t>A Marzo 21</t>
  </si>
  <si>
    <t>CASOS</t>
  </si>
  <si>
    <t>MUERTES</t>
  </si>
  <si>
    <t>RECUPERADOS</t>
  </si>
  <si>
    <t>Mauritius</t>
  </si>
  <si>
    <t>Montenegro</t>
  </si>
  <si>
    <t>Mundo Hispano</t>
  </si>
  <si>
    <t>Casos</t>
  </si>
  <si>
    <t>Muertes</t>
  </si>
  <si>
    <t>Serios</t>
  </si>
  <si>
    <t>Recuperados</t>
  </si>
  <si>
    <t>Brasil</t>
  </si>
  <si>
    <t>Palestine</t>
  </si>
  <si>
    <t>México</t>
  </si>
  <si>
    <t>Panamá</t>
  </si>
  <si>
    <t>Isle of Man</t>
  </si>
  <si>
    <t>Rep. Dominicana</t>
  </si>
  <si>
    <t>Vietnam</t>
  </si>
  <si>
    <t>Paraguay</t>
  </si>
  <si>
    <t>Guatemala</t>
  </si>
  <si>
    <t>El Salvador</t>
  </si>
  <si>
    <t>DR Congo</t>
  </si>
  <si>
    <t>Nicaragua</t>
  </si>
  <si>
    <t>2 a day</t>
  </si>
  <si>
    <t>Sri Lanka</t>
  </si>
  <si>
    <t>Kenya</t>
  </si>
  <si>
    <t>Guernsey</t>
  </si>
  <si>
    <t>Jersey</t>
  </si>
  <si>
    <t>Venezuela</t>
  </si>
  <si>
    <t>Mali</t>
  </si>
  <si>
    <t>Jamaica</t>
  </si>
  <si>
    <t>Rwanda</t>
  </si>
  <si>
    <t>Brunei</t>
  </si>
  <si>
    <t>Gibraltar</t>
  </si>
  <si>
    <t>Cambodia</t>
  </si>
  <si>
    <t>Congo Republic</t>
  </si>
  <si>
    <t>Trinidad and Tobago</t>
  </si>
  <si>
    <t>Madagascar</t>
  </si>
  <si>
    <t>Northern Cyprus</t>
  </si>
  <si>
    <t>Aruba</t>
  </si>
  <si>
    <t>Gabon</t>
  </si>
  <si>
    <t>Tanzania</t>
  </si>
  <si>
    <t>Monaco</t>
  </si>
  <si>
    <t>Ethiopia</t>
  </si>
  <si>
    <t>Myanmar</t>
  </si>
  <si>
    <t>Bermuda</t>
  </si>
  <si>
    <t>Togo</t>
  </si>
  <si>
    <t>1 or 2</t>
  </si>
  <si>
    <t>Somalia</t>
  </si>
  <si>
    <t>Liechtenstein</t>
  </si>
  <si>
    <t>Barbados</t>
  </si>
  <si>
    <t>Liberia</t>
  </si>
  <si>
    <t>Cayman Islands</t>
  </si>
  <si>
    <t>Sint Maarten</t>
  </si>
  <si>
    <t>Guyana</t>
  </si>
  <si>
    <t>Cape Verde</t>
  </si>
  <si>
    <t>French Polynesia</t>
  </si>
  <si>
    <t>Uganda</t>
  </si>
  <si>
    <t>Bahamas</t>
  </si>
  <si>
    <t>Equatorial Guinea</t>
  </si>
  <si>
    <t>Zambia</t>
  </si>
  <si>
    <t>Libya</t>
  </si>
  <si>
    <t>Guinea-Bissau</t>
  </si>
  <si>
    <t>Macau</t>
  </si>
  <si>
    <t>Haiti</t>
  </si>
  <si>
    <t>Benin</t>
  </si>
  <si>
    <t>Eritrea</t>
  </si>
  <si>
    <t>Syria</t>
  </si>
  <si>
    <t>Sudan</t>
  </si>
  <si>
    <t>Mongolia</t>
  </si>
  <si>
    <t>Mozambique</t>
  </si>
  <si>
    <t>Chad</t>
  </si>
  <si>
    <t>Maldives</t>
  </si>
  <si>
    <t>Zimbabwe</t>
  </si>
  <si>
    <t>Antigua and Barbuda</t>
  </si>
  <si>
    <t>Angola</t>
  </si>
  <si>
    <t>Malawi</t>
  </si>
  <si>
    <t>Laos</t>
  </si>
  <si>
    <t>Belize</t>
  </si>
  <si>
    <t>New Caledonia</t>
  </si>
  <si>
    <t>Timor-Leste</t>
  </si>
  <si>
    <t>Eswatini</t>
  </si>
  <si>
    <t>Fiji</t>
  </si>
  <si>
    <t>Namibia</t>
  </si>
  <si>
    <t>Nepal</t>
  </si>
  <si>
    <t>Botswana</t>
  </si>
  <si>
    <t>Saint Lucia</t>
  </si>
  <si>
    <t>Sierra Leone</t>
  </si>
  <si>
    <t>Curaçao</t>
  </si>
  <si>
    <t>Grenada</t>
  </si>
  <si>
    <t>St. Kitts and Nevis</t>
  </si>
  <si>
    <t>Saint Vincent and the Grenadines</t>
  </si>
  <si>
    <t>Central African Republic</t>
  </si>
  <si>
    <t>Turks and Caicos Islands</t>
  </si>
  <si>
    <t>Greenland</t>
  </si>
  <si>
    <t>Seychelles</t>
  </si>
  <si>
    <t>Falkland Islands</t>
  </si>
  <si>
    <t>Montserrat</t>
  </si>
  <si>
    <t>Suriname</t>
  </si>
  <si>
    <t>The Gambia</t>
  </si>
  <si>
    <t>Vatican City</t>
  </si>
  <si>
    <t>Mauritania</t>
  </si>
  <si>
    <t>Papua New Guinea</t>
  </si>
  <si>
    <t>St. Barthélemy</t>
  </si>
  <si>
    <t>Burundi</t>
  </si>
  <si>
    <t>Bhutan</t>
  </si>
  <si>
    <t>South Sudan</t>
  </si>
  <si>
    <t>British Virgin Islands</t>
  </si>
  <si>
    <t>Anguilla</t>
  </si>
  <si>
    <t>Yemen</t>
  </si>
  <si>
    <t>TBD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</si>
</sst>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5">
    <font>
      <sz val="10.0"/>
      <color rgb="FF000000"/>
      <name val="Arial"/>
    </font>
    <font>
      <b/>
      <i/>
      <sz val="12.0"/>
      <color rgb="FF000000"/>
      <name val="Roboto"/>
    </font>
    <font>
      <b/>
      <i/>
      <sz val="11.0"/>
      <color rgb="FF000000"/>
      <name val="Arial"/>
    </font>
    <font>
      <b/>
      <sz val="13.0"/>
      <color rgb="FF000000"/>
      <name val="Roboto"/>
    </font>
    <font>
      <sz val="11.0"/>
      <color theme="1"/>
      <name val="Arial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FF0000"/>
      <name val="Roboto"/>
    </font>
    <font>
      <b/>
      <sz val="13.0"/>
      <color rgb="FF000000"/>
      <name val="Docs-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FFFFFF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999999"/>
      <name val="Arial"/>
    </font>
    <font>
      <sz val="11.0"/>
      <color rgb="FF666666"/>
      <name val="Arial"/>
    </font>
    <font>
      <u/>
      <sz val="11.0"/>
      <color rgb="FF0000FF"/>
    </font>
    <font>
      <sz val="11.0"/>
      <color rgb="FF000000"/>
      <name val="Arial"/>
    </font>
    <font>
      <sz val="11.0"/>
      <color rgb="FFFFFFFF"/>
      <name val="Roboto"/>
    </font>
    <font>
      <b/>
      <sz val="11.0"/>
      <color rgb="FF38761D"/>
      <name val="Roboto"/>
    </font>
    <font>
      <b/>
      <sz val="11.0"/>
      <color theme="1"/>
      <name val="Arial"/>
    </font>
    <font>
      <color theme="1"/>
      <name val="Arial"/>
    </font>
    <font>
      <u/>
      <sz val="11.0"/>
      <color rgb="FF0A0A0A"/>
      <name val="Roboto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0A0A0A"/>
      <name val="Roboto"/>
    </font>
    <font>
      <u/>
      <sz val="11.0"/>
      <color rgb="FF1155CC"/>
      <name val="Arial"/>
    </font>
    <font>
      <u/>
      <sz val="11.0"/>
      <color rgb="FF0A0A0A"/>
      <name val="Roboto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sz val="19.0"/>
      <color rgb="FF333333"/>
      <name val="Arial"/>
    </font>
    <font>
      <b/>
      <color theme="1"/>
      <name val="Arial"/>
    </font>
    <font>
      <u/>
      <sz val="11.0"/>
      <color rgb="FF000000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rgb="FFD9D9D9"/>
        <bgColor rgb="FFD9D9D9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 vertical="bottom"/>
    </xf>
    <xf borderId="0" fillId="2" fontId="4" numFmtId="0" xfId="0" applyFill="1" applyFont="1"/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horizontal="left" readingOrder="0" vertical="bottom"/>
    </xf>
    <xf borderId="0" fillId="0" fontId="7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  <xf borderId="0" fillId="2" fontId="4" numFmtId="0" xfId="0" applyAlignment="1" applyFont="1">
      <alignment horizontal="center"/>
    </xf>
    <xf borderId="0" fillId="0" fontId="8" numFmtId="3" xfId="0" applyAlignment="1" applyFont="1" applyNumberFormat="1">
      <alignment horizontal="left" vertical="bottom"/>
    </xf>
    <xf borderId="0" fillId="2" fontId="9" numFmtId="0" xfId="0" applyAlignment="1" applyFont="1">
      <alignment horizontal="left" readingOrder="0"/>
    </xf>
    <xf borderId="0" fillId="0" fontId="10" numFmtId="3" xfId="0" applyAlignment="1" applyFont="1" applyNumberFormat="1">
      <alignment horizontal="left" vertical="bottom"/>
    </xf>
    <xf borderId="0" fillId="0" fontId="11" numFmtId="3" xfId="0" applyAlignment="1" applyFont="1" applyNumberFormat="1">
      <alignment horizontal="center" vertical="bottom"/>
    </xf>
    <xf borderId="0" fillId="2" fontId="8" numFmtId="3" xfId="0" applyAlignment="1" applyFont="1" applyNumberFormat="1">
      <alignment horizontal="left"/>
    </xf>
    <xf borderId="0" fillId="0" fontId="7" numFmtId="0" xfId="0" applyAlignment="1" applyFont="1">
      <alignment horizontal="left" readingOrder="0"/>
    </xf>
    <xf borderId="0" fillId="0" fontId="11" numFmtId="3" xfId="0" applyAlignment="1" applyFont="1" applyNumberFormat="1">
      <alignment horizontal="left" shrinkToFit="0" vertical="bottom" wrapText="0"/>
    </xf>
    <xf borderId="1" fillId="3" fontId="7" numFmtId="0" xfId="0" applyAlignment="1" applyBorder="1" applyFill="1" applyFont="1">
      <alignment horizontal="left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0" fillId="2" fontId="8" numFmtId="0" xfId="0" applyAlignment="1" applyFont="1">
      <alignment horizontal="left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0" fillId="2" fontId="4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4" fontId="12" numFmtId="0" xfId="0" applyAlignment="1" applyBorder="1" applyFill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4" fontId="12" numFmtId="3" xfId="0" applyAlignment="1" applyBorder="1" applyFont="1" applyNumberForma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1" fillId="5" fontId="12" numFmtId="3" xfId="0" applyAlignment="1" applyBorder="1" applyFill="1" applyFont="1" applyNumberFormat="1">
      <alignment horizontal="center" readingOrder="0" shrinkToFit="0" vertical="center" wrapText="1"/>
    </xf>
    <xf borderId="0" fillId="2" fontId="4" numFmtId="0" xfId="0" applyAlignment="1" applyFont="1">
      <alignment horizontal="center" vertical="center"/>
    </xf>
    <xf borderId="1" fillId="6" fontId="12" numFmtId="3" xfId="0" applyAlignment="1" applyBorder="1" applyFill="1" applyFont="1" applyNumberFormat="1">
      <alignment horizontal="center" readingOrder="0" shrinkToFit="0" vertical="center" wrapText="1"/>
    </xf>
    <xf borderId="0" fillId="0" fontId="4" numFmtId="0" xfId="0" applyAlignment="1" applyFont="1">
      <alignment readingOrder="0" vertical="center"/>
    </xf>
    <xf borderId="1" fillId="2" fontId="4" numFmtId="10" xfId="0" applyAlignment="1" applyBorder="1" applyFont="1" applyNumberFormat="1">
      <alignment horizontal="center" readingOrder="0" vertical="center"/>
    </xf>
    <xf borderId="1" fillId="0" fontId="12" numFmtId="0" xfId="0" applyAlignment="1" applyBorder="1" applyFont="1">
      <alignment horizontal="left" readingOrder="0" shrinkToFit="0" vertical="center" wrapText="1"/>
    </xf>
    <xf borderId="1" fillId="4" fontId="4" numFmtId="3" xfId="0" applyAlignment="1" applyBorder="1" applyFont="1" applyNumberFormat="1">
      <alignment horizontal="center" readingOrder="0" shrinkToFit="0" vertical="center" wrapText="1"/>
    </xf>
    <xf borderId="1" fillId="0" fontId="4" numFmtId="3" xfId="0" applyAlignment="1" applyBorder="1" applyFont="1" applyNumberForma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4" fontId="13" numFmtId="0" xfId="0" applyAlignment="1" applyBorder="1" applyFont="1">
      <alignment horizontal="center" readingOrder="0" shrinkToFit="0" vertical="center" wrapText="1"/>
    </xf>
    <xf borderId="1" fillId="7" fontId="12" numFmtId="3" xfId="0" applyAlignment="1" applyBorder="1" applyFill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vertical="center"/>
    </xf>
    <xf borderId="1" fillId="6" fontId="4" numFmtId="3" xfId="0" applyAlignment="1" applyBorder="1" applyFont="1" applyNumberFormat="1">
      <alignment horizontal="center" readingOrder="0" vertical="center"/>
    </xf>
    <xf borderId="1" fillId="3" fontId="12" numFmtId="0" xfId="0" applyAlignment="1" applyBorder="1" applyFont="1">
      <alignment horizontal="left" readingOrder="0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0" fontId="4" numFmtId="3" xfId="0" applyAlignment="1" applyBorder="1" applyFont="1" applyNumberFormat="1">
      <alignment horizontal="center" readingOrder="0" vertical="center"/>
    </xf>
    <xf borderId="0" fillId="2" fontId="15" numFmtId="0" xfId="0" applyAlignment="1" applyFont="1">
      <alignment vertical="center"/>
    </xf>
    <xf borderId="1" fillId="3" fontId="12" numFmtId="3" xfId="0" applyAlignment="1" applyBorder="1" applyFont="1" applyNumberForma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vertical="center"/>
    </xf>
    <xf borderId="0" fillId="2" fontId="4" numFmtId="0" xfId="0" applyAlignment="1" applyFont="1">
      <alignment vertical="center"/>
    </xf>
    <xf borderId="0" fillId="8" fontId="4" numFmtId="0" xfId="0" applyAlignment="1" applyFill="1" applyFont="1">
      <alignment horizontal="center" vertical="center"/>
    </xf>
    <xf borderId="1" fillId="0" fontId="12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vertical="center"/>
    </xf>
    <xf borderId="1" fillId="6" fontId="12" numFmtId="0" xfId="0" applyAlignment="1" applyBorder="1" applyFont="1">
      <alignment horizontal="center" readingOrder="0" shrinkToFit="0" vertical="center" wrapText="1"/>
    </xf>
    <xf borderId="1" fillId="4" fontId="4" numFmtId="10" xfId="0" applyAlignment="1" applyBorder="1" applyFont="1" applyNumberFormat="1">
      <alignment horizontal="center" readingOrder="0" vertical="center"/>
    </xf>
    <xf borderId="1" fillId="0" fontId="12" numFmtId="3" xfId="0" applyAlignment="1" applyBorder="1" applyFont="1" applyNumberFormat="1">
      <alignment horizontal="center" readingOrder="0" vertical="center"/>
    </xf>
    <xf borderId="1" fillId="3" fontId="4" numFmtId="3" xfId="0" applyAlignment="1" applyBorder="1" applyFont="1" applyNumberFormat="1">
      <alignment horizontal="center" readingOrder="0" shrinkToFit="0" vertical="center" wrapText="1"/>
    </xf>
    <xf borderId="1" fillId="3" fontId="4" numFmtId="10" xfId="0" applyAlignment="1" applyBorder="1" applyFont="1" applyNumberFormat="1">
      <alignment horizontal="center" readingOrder="0" vertical="center"/>
    </xf>
    <xf borderId="1" fillId="3" fontId="17" numFmtId="0" xfId="0" applyAlignment="1" applyBorder="1" applyFont="1">
      <alignment horizontal="center" readingOrder="0" shrinkToFit="0" vertical="center" wrapText="1"/>
    </xf>
    <xf borderId="0" fillId="9" fontId="4" numFmtId="0" xfId="0" applyAlignment="1" applyFill="1" applyFont="1">
      <alignment vertical="center"/>
    </xf>
    <xf borderId="0" fillId="10" fontId="4" numFmtId="0" xfId="0" applyAlignment="1" applyFill="1" applyFont="1">
      <alignment vertical="center"/>
    </xf>
    <xf borderId="1" fillId="4" fontId="12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borderId="0" fillId="8" fontId="4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0" fillId="11" fontId="4" numFmtId="0" xfId="0" applyAlignment="1" applyFill="1" applyFont="1">
      <alignment vertical="center"/>
    </xf>
    <xf borderId="1" fillId="2" fontId="4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left" readingOrder="0" shrinkToFit="0" vertical="center" wrapText="1"/>
    </xf>
    <xf borderId="0" fillId="0" fontId="12" numFmtId="3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1" fillId="0" fontId="19" numFmtId="3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1" numFmtId="0" xfId="0" applyAlignment="1" applyFont="1">
      <alignment vertical="bottom"/>
    </xf>
    <xf borderId="0" fillId="10" fontId="22" numFmtId="0" xfId="0" applyAlignment="1" applyFont="1">
      <alignment vertical="center"/>
    </xf>
    <xf borderId="0" fillId="0" fontId="7" numFmtId="164" xfId="0" applyAlignment="1" applyFont="1" applyNumberFormat="1">
      <alignment horizontal="center" vertical="bottom"/>
    </xf>
    <xf borderId="0" fillId="0" fontId="4" numFmtId="0" xfId="0" applyAlignment="1" applyFont="1">
      <alignment horizontal="left"/>
    </xf>
    <xf borderId="1" fillId="0" fontId="12" numFmtId="0" xfId="0" applyAlignment="1" applyBorder="1" applyFont="1">
      <alignment horizontal="center" readingOrder="0" vertical="center"/>
    </xf>
    <xf borderId="0" fillId="9" fontId="22" numFmtId="0" xfId="0" applyAlignment="1" applyFont="1">
      <alignment vertical="center"/>
    </xf>
    <xf borderId="0" fillId="10" fontId="23" numFmtId="0" xfId="0" applyAlignment="1" applyFont="1">
      <alignment vertical="center"/>
    </xf>
    <xf borderId="1" fillId="0" fontId="24" numFmtId="3" xfId="0" applyAlignment="1" applyBorder="1" applyFont="1" applyNumberFormat="1">
      <alignment horizontal="center" readingOrder="0" shrinkToFit="0" vertical="center" wrapText="1"/>
    </xf>
    <xf borderId="0" fillId="10" fontId="4" numFmtId="0" xfId="0" applyAlignment="1" applyFont="1">
      <alignment vertical="center"/>
    </xf>
    <xf borderId="1" fillId="0" fontId="18" numFmtId="0" xfId="0" applyAlignment="1" applyBorder="1" applyFont="1">
      <alignment horizontal="center" readingOrder="0" vertical="center"/>
    </xf>
    <xf borderId="0" fillId="10" fontId="25" numFmtId="0" xfId="0" applyAlignment="1" applyFont="1">
      <alignment vertical="center"/>
    </xf>
    <xf borderId="1" fillId="3" fontId="18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vertical="center"/>
    </xf>
    <xf borderId="0" fillId="2" fontId="26" numFmtId="0" xfId="0" applyAlignment="1" applyFont="1">
      <alignment horizontal="left" readingOrder="0" shrinkToFit="0" vertical="center" wrapText="1"/>
    </xf>
    <xf borderId="0" fillId="2" fontId="26" numFmtId="3" xfId="0" applyAlignment="1" applyFont="1" applyNumberFormat="1">
      <alignment horizontal="center" readingOrder="0" shrinkToFit="0" vertical="center" wrapText="1"/>
    </xf>
    <xf borderId="0" fillId="2" fontId="26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shrinkToFit="0" vertical="center" wrapText="1"/>
    </xf>
    <xf borderId="0" fillId="2" fontId="26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4" fontId="19" numFmtId="3" xfId="0" applyAlignment="1" applyFont="1" applyNumberFormat="1">
      <alignment horizontal="center" readingOrder="0" shrinkToFit="0" vertical="center" wrapText="1"/>
    </xf>
    <xf borderId="0" fillId="5" fontId="7" numFmtId="3" xfId="0" applyAlignment="1" applyFont="1" applyNumberFormat="1">
      <alignment horizontal="center" readingOrder="0" shrinkToFit="0" vertical="center" wrapText="1"/>
    </xf>
    <xf borderId="0" fillId="6" fontId="7" numFmtId="3" xfId="0" applyAlignment="1" applyFont="1" applyNumberFormat="1">
      <alignment horizontal="center" readingOrder="0" shrinkToFit="0" vertical="center" wrapText="1"/>
    </xf>
    <xf borderId="0" fillId="4" fontId="7" numFmtId="10" xfId="0" applyAlignment="1" applyFont="1" applyNumberFormat="1">
      <alignment horizontal="center" readingOrder="0" shrinkToFit="0" vertical="center" wrapText="1"/>
    </xf>
    <xf borderId="0" fillId="4" fontId="7" numFmtId="3" xfId="0" applyAlignment="1" applyFont="1" applyNumberFormat="1">
      <alignment horizontal="center" readingOrder="0" shrinkToFit="0" vertical="center" wrapText="1"/>
    </xf>
    <xf borderId="0" fillId="4" fontId="27" numFmtId="3" xfId="0" applyAlignment="1" applyFont="1" applyNumberFormat="1">
      <alignment horizontal="center" readingOrder="0"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3" fontId="7" numFmtId="0" xfId="0" applyAlignment="1" applyFont="1">
      <alignment shrinkToFit="0" wrapText="1"/>
    </xf>
    <xf borderId="0" fillId="3" fontId="7" numFmtId="0" xfId="0" applyAlignment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0" fillId="0" fontId="28" numFmtId="0" xfId="0" applyAlignment="1" applyFont="1">
      <alignment readingOrder="0" vertical="center"/>
    </xf>
    <xf borderId="0" fillId="3" fontId="7" numFmtId="0" xfId="0" applyAlignment="1" applyFont="1">
      <alignment horizontal="left" readingOrder="0" shrinkToFit="0" vertical="center" wrapText="1"/>
    </xf>
    <xf borderId="0" fillId="0" fontId="28" numFmtId="0" xfId="0" applyFont="1"/>
    <xf borderId="0" fillId="3" fontId="7" numFmtId="0" xfId="0" applyAlignment="1" applyFont="1">
      <alignment horizontal="center" readingOrder="0" shrinkToFit="0" vertical="center" wrapText="1"/>
    </xf>
    <xf borderId="0" fillId="0" fontId="29" numFmtId="0" xfId="0" applyFont="1"/>
    <xf borderId="0" fillId="3" fontId="6" numFmtId="0" xfId="0" applyAlignment="1" applyFont="1">
      <alignment horizontal="center" readingOrder="0" shrinkToFit="0" vertical="center" wrapText="1"/>
    </xf>
    <xf borderId="0" fillId="0" fontId="29" numFmtId="0" xfId="0" applyFont="1"/>
    <xf borderId="0" fillId="0" fontId="4" numFmtId="0" xfId="0" applyAlignment="1" applyFont="1">
      <alignment readingOrder="0" vertical="center"/>
    </xf>
    <xf borderId="0" fillId="0" fontId="4" numFmtId="3" xfId="0" applyAlignment="1" applyFont="1" applyNumberFormat="1">
      <alignment horizontal="center" readingOrder="0" shrinkToFit="0" vertical="center" wrapText="1"/>
    </xf>
    <xf borderId="0" fillId="2" fontId="28" numFmtId="0" xfId="0" applyFont="1"/>
    <xf borderId="0" fillId="2" fontId="28" numFmtId="0" xfId="0" applyAlignment="1" applyFont="1">
      <alignment horizontal="center"/>
    </xf>
    <xf borderId="0" fillId="0" fontId="30" numFmtId="0" xfId="0" applyAlignment="1" applyFont="1">
      <alignment horizontal="center" readingOrder="0" shrinkToFit="0" vertical="center" wrapText="1"/>
    </xf>
    <xf borderId="0" fillId="0" fontId="4" numFmtId="0" xfId="0" applyFont="1"/>
    <xf borderId="0" fillId="2" fontId="22" numFmtId="0" xfId="0" applyAlignment="1" applyFont="1">
      <alignment vertical="center"/>
    </xf>
    <xf borderId="0" fillId="0" fontId="4" numFmtId="0" xfId="0" applyAlignment="1" applyFont="1">
      <alignment horizontal="center" readingOrder="0"/>
    </xf>
    <xf borderId="0" fillId="4" fontId="12" numFmtId="0" xfId="0" applyAlignment="1" applyFont="1">
      <alignment horizontal="left" readingOrder="0" shrinkToFit="0" vertical="center" wrapText="1"/>
    </xf>
    <xf borderId="0" fillId="4" fontId="12" numFmtId="3" xfId="0" applyAlignment="1" applyFont="1" applyNumberFormat="1">
      <alignment horizontal="center" readingOrder="0" shrinkToFit="0" vertical="center" wrapText="1"/>
    </xf>
    <xf borderId="0" fillId="0" fontId="31" numFmtId="0" xfId="0" applyFont="1"/>
    <xf borderId="0" fillId="4" fontId="12" numFmtId="0" xfId="0" applyAlignment="1" applyFont="1">
      <alignment horizontal="center" readingOrder="0" shrinkToFit="0" vertical="center" wrapText="1"/>
    </xf>
    <xf borderId="0" fillId="2" fontId="28" numFmtId="0" xfId="0" applyAlignment="1" applyFont="1">
      <alignment readingOrder="0"/>
    </xf>
    <xf borderId="0" fillId="4" fontId="4" numFmtId="0" xfId="0" applyAlignment="1" applyFont="1">
      <alignment horizontal="center" readingOrder="0" shrinkToFit="0" vertical="center" wrapText="1"/>
    </xf>
    <xf borderId="0" fillId="2" fontId="4" numFmtId="3" xfId="0" applyAlignment="1" applyFont="1" applyNumberFormat="1">
      <alignment horizontal="center" readingOrder="0"/>
    </xf>
    <xf borderId="0" fillId="4" fontId="4" numFmtId="3" xfId="0" applyAlignment="1" applyFont="1" applyNumberFormat="1">
      <alignment horizontal="center" readingOrder="0" shrinkToFit="0" vertical="center" wrapText="1"/>
    </xf>
    <xf borderId="0" fillId="2" fontId="32" numFmtId="0" xfId="0" applyFont="1"/>
    <xf borderId="0" fillId="2" fontId="29" numFmtId="0" xfId="0" applyFont="1"/>
    <xf borderId="0" fillId="4" fontId="33" numFmtId="0" xfId="0" applyAlignment="1" applyFont="1">
      <alignment horizontal="center" readingOrder="0" shrinkToFit="0" vertical="center" wrapText="1"/>
    </xf>
    <xf borderId="0" fillId="0" fontId="34" numFmtId="0" xfId="0" applyFont="1"/>
    <xf borderId="0" fillId="12" fontId="4" numFmtId="0" xfId="0" applyAlignment="1" applyFill="1" applyFont="1">
      <alignment readingOrder="0" vertical="center"/>
    </xf>
    <xf borderId="0" fillId="3" fontId="35" numFmtId="0" xfId="0" applyAlignment="1" applyFont="1">
      <alignment horizontal="center" readingOrder="0" shrinkToFit="0" vertical="center" wrapText="1"/>
    </xf>
    <xf borderId="0" fillId="2" fontId="28" numFmtId="0" xfId="0" applyFont="1"/>
    <xf borderId="0" fillId="2" fontId="4" numFmtId="3" xfId="0" applyAlignment="1" applyFont="1" applyNumberFormat="1">
      <alignment horizontal="center" readingOrder="0"/>
    </xf>
    <xf borderId="0" fillId="2" fontId="4" numFmtId="0" xfId="0" applyAlignment="1" applyFont="1">
      <alignment horizontal="center" readingOrder="0"/>
    </xf>
    <xf borderId="0" fillId="2" fontId="4" numFmtId="0" xfId="0" applyAlignment="1" applyFont="1">
      <alignment horizontal="center"/>
    </xf>
    <xf borderId="0" fillId="2" fontId="36" numFmtId="0" xfId="0" applyFont="1"/>
    <xf borderId="0" fillId="0" fontId="4" numFmtId="0" xfId="0" applyAlignment="1" applyFont="1">
      <alignment shrinkToFit="0" wrapText="1"/>
    </xf>
    <xf borderId="0" fillId="0" fontId="37" numFmtId="0" xfId="0" applyFont="1"/>
    <xf borderId="0" fillId="2" fontId="28" numFmtId="0" xfId="0" applyAlignment="1" applyFont="1">
      <alignment readingOrder="0"/>
    </xf>
    <xf borderId="0" fillId="0" fontId="28" numFmtId="0" xfId="0" applyFont="1"/>
    <xf borderId="0" fillId="0" fontId="4" numFmtId="3" xfId="0" applyAlignment="1" applyFont="1" applyNumberFormat="1">
      <alignment horizontal="center" readingOrder="0" shrinkToFit="0" vertical="center" wrapText="1"/>
    </xf>
    <xf borderId="0" fillId="0" fontId="19" numFmtId="3" xfId="0" applyAlignment="1" applyFont="1" applyNumberForma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0" fontId="38" numFmtId="0" xfId="0" applyFont="1"/>
    <xf borderId="0" fillId="12" fontId="4" numFmtId="0" xfId="0" applyAlignment="1" applyFont="1">
      <alignment vertical="center"/>
    </xf>
    <xf borderId="0" fillId="9" fontId="28" numFmtId="0" xfId="0" applyFont="1"/>
    <xf borderId="0" fillId="9" fontId="4" numFmtId="0" xfId="0" applyAlignment="1" applyFont="1">
      <alignment horizontal="center" readingOrder="0"/>
    </xf>
    <xf borderId="0" fillId="9" fontId="4" numFmtId="0" xfId="0" applyAlignment="1" applyFont="1">
      <alignment horizontal="center"/>
    </xf>
    <xf borderId="0" fillId="2" fontId="29" numFmtId="0" xfId="0" applyFont="1"/>
    <xf borderId="0" fillId="2" fontId="39" numFmtId="0" xfId="0" applyAlignment="1" applyFont="1">
      <alignment readingOrder="0"/>
    </xf>
    <xf borderId="0" fillId="2" fontId="29" numFmtId="0" xfId="0" applyAlignment="1" applyFont="1">
      <alignment readingOrder="0"/>
    </xf>
    <xf borderId="0" fillId="0" fontId="29" numFmtId="0" xfId="0" applyAlignment="1" applyFont="1">
      <alignment readingOrder="0" vertical="bottom"/>
    </xf>
    <xf borderId="0" fillId="0" fontId="40" numFmtId="0" xfId="0" applyAlignment="1" applyFont="1">
      <alignment readingOrder="0" vertical="bottom"/>
    </xf>
    <xf borderId="0" fillId="0" fontId="29" numFmtId="0" xfId="0" applyAlignment="1" applyFont="1">
      <alignment vertical="bottom"/>
    </xf>
    <xf borderId="0" fillId="0" fontId="29" numFmtId="0" xfId="0" applyAlignment="1" applyFont="1">
      <alignment vertical="bottom"/>
    </xf>
    <xf borderId="0" fillId="0" fontId="41" numFmtId="0" xfId="0" applyAlignment="1" applyFont="1">
      <alignment vertical="bottom"/>
    </xf>
    <xf borderId="0" fillId="0" fontId="28" numFmtId="0" xfId="0" applyAlignment="1" applyFont="1">
      <alignment vertical="bottom"/>
    </xf>
    <xf borderId="0" fillId="12" fontId="29" numFmtId="0" xfId="0" applyFont="1"/>
    <xf borderId="0" fillId="0" fontId="29" numFmtId="0" xfId="0" applyAlignment="1" applyFont="1">
      <alignment horizontal="center" vertical="bottom"/>
    </xf>
    <xf borderId="0" fillId="13" fontId="4" numFmtId="0" xfId="0" applyAlignment="1" applyFill="1" applyFont="1">
      <alignment vertical="center"/>
    </xf>
    <xf borderId="0" fillId="0" fontId="28" numFmtId="0" xfId="0" applyAlignment="1" applyFont="1">
      <alignment readingOrder="0"/>
    </xf>
    <xf borderId="0" fillId="0" fontId="28" numFmtId="0" xfId="0" applyAlignment="1" applyFont="1">
      <alignment horizontal="center" readingOrder="0"/>
    </xf>
    <xf borderId="0" fillId="0" fontId="29" numFmtId="0" xfId="0" applyAlignment="1" applyFont="1">
      <alignment readingOrder="0"/>
    </xf>
    <xf borderId="0" fillId="0" fontId="29" numFmtId="3" xfId="0" applyAlignment="1" applyFont="1" applyNumberFormat="1">
      <alignment horizontal="center" readingOrder="0"/>
    </xf>
    <xf borderId="0" fillId="2" fontId="42" numFmtId="0" xfId="0" applyAlignment="1" applyFont="1">
      <alignment horizontal="center" readingOrder="0"/>
    </xf>
    <xf borderId="0" fillId="2" fontId="29" numFmtId="0" xfId="0" applyFont="1"/>
    <xf borderId="0" fillId="2" fontId="28" numFmtId="3" xfId="0" applyAlignment="1" applyFont="1" applyNumberFormat="1">
      <alignment horizontal="center"/>
    </xf>
    <xf borderId="0" fillId="2" fontId="28" numFmtId="0" xfId="0" applyAlignment="1" applyFont="1">
      <alignment horizontal="center"/>
    </xf>
    <xf borderId="0" fillId="0" fontId="29" numFmtId="0" xfId="0" applyAlignment="1" applyFont="1">
      <alignment horizontal="center" readingOrder="0"/>
    </xf>
    <xf borderId="0" fillId="2" fontId="28" numFmtId="0" xfId="0" applyAlignment="1" applyFont="1">
      <alignment readingOrder="0" vertical="bottom"/>
    </xf>
    <xf borderId="0" fillId="0" fontId="43" numFmtId="3" xfId="0" applyAlignment="1" applyFont="1" applyNumberFormat="1">
      <alignment horizontal="center" vertical="bottom"/>
    </xf>
    <xf borderId="0" fillId="2" fontId="4" numFmtId="0" xfId="0" applyAlignment="1" applyFont="1">
      <alignment readingOrder="0" vertical="bottom"/>
    </xf>
    <xf borderId="0" fillId="0" fontId="29" numFmtId="3" xfId="0" applyAlignment="1" applyFont="1" applyNumberFormat="1">
      <alignment horizontal="center" readingOrder="0" vertical="bottom"/>
    </xf>
    <xf borderId="0" fillId="0" fontId="29" numFmtId="3" xfId="0" applyAlignment="1" applyFont="1" applyNumberFormat="1">
      <alignment horizontal="center"/>
    </xf>
    <xf borderId="0" fillId="0" fontId="29" numFmtId="0" xfId="0" applyAlignment="1" applyFont="1">
      <alignment horizontal="center"/>
    </xf>
    <xf borderId="0" fillId="0" fontId="4" numFmtId="0" xfId="0" applyAlignment="1" applyFont="1">
      <alignment horizontal="center" shrinkToFit="0" vertical="center" wrapText="1"/>
    </xf>
    <xf borderId="2" fillId="0" fontId="12" numFmtId="0" xfId="0" applyAlignment="1" applyBorder="1" applyFont="1">
      <alignment horizontal="center" readingOrder="0" vertical="center"/>
    </xf>
    <xf borderId="3" fillId="7" fontId="12" numFmtId="3" xfId="0" applyAlignment="1" applyBorder="1" applyFont="1" applyNumberForma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3" fillId="6" fontId="4" numFmtId="3" xfId="0" applyAlignment="1" applyBorder="1" applyFont="1" applyNumberFormat="1">
      <alignment horizontal="center" readingOrder="0" vertical="center"/>
    </xf>
    <xf borderId="1" fillId="4" fontId="12" numFmtId="0" xfId="0" applyAlignment="1" applyBorder="1" applyFont="1">
      <alignment horizontal="left" readingOrder="0" shrinkToFit="0" vertical="center" wrapText="1"/>
    </xf>
    <xf borderId="1" fillId="4" fontId="12" numFmtId="0" xfId="0" applyAlignment="1" applyBorder="1" applyFont="1">
      <alignment horizontal="center" readingOrder="0" vertical="center"/>
    </xf>
    <xf borderId="1" fillId="4" fontId="25" numFmtId="10" xfId="0" applyAlignment="1" applyBorder="1" applyFont="1" applyNumberFormat="1">
      <alignment horizontal="center" readingOrder="0" vertical="center"/>
    </xf>
    <xf borderId="1" fillId="4" fontId="25" numFmtId="0" xfId="0" applyAlignment="1" applyBorder="1" applyFont="1">
      <alignment horizontal="center" readingOrder="0" vertical="center"/>
    </xf>
    <xf borderId="1" fillId="4" fontId="44" numFmtId="0" xfId="0" applyAlignment="1" applyBorder="1" applyFont="1">
      <alignment horizontal="center" readingOrder="0" vertical="center"/>
    </xf>
    <xf borderId="0" fillId="2" fontId="25" numFmtId="0" xfId="0" applyAlignment="1" applyFont="1">
      <alignment horizontal="center" vertical="center"/>
    </xf>
    <xf borderId="0" fillId="2" fontId="25" numFmtId="0" xfId="0" applyAlignment="1" applyFont="1">
      <alignment vertical="center"/>
    </xf>
    <xf borderId="0" fillId="13" fontId="25" numFmtId="0" xfId="0" applyAlignment="1" applyFont="1">
      <alignment vertical="center"/>
    </xf>
    <xf borderId="0" fillId="2" fontId="26" numFmtId="0" xfId="0" applyAlignment="1" applyFont="1">
      <alignment horizontal="left" readingOrder="0" vertical="center"/>
    </xf>
    <xf borderId="0" fillId="2" fontId="26" numFmtId="0" xfId="0" applyAlignment="1" applyFont="1">
      <alignment horizontal="center" readingOrder="0" vertical="center"/>
    </xf>
    <xf borderId="0" fillId="2" fontId="26" numFmtId="3" xfId="0" applyAlignment="1" applyFont="1" applyNumberFormat="1">
      <alignment horizontal="center" readingOrder="0" vertical="center"/>
    </xf>
    <xf borderId="0" fillId="2" fontId="15" numFmtId="3" xfId="0" applyAlignment="1" applyFont="1" applyNumberFormat="1">
      <alignment horizontal="center" readingOrder="0" vertical="center"/>
    </xf>
    <xf borderId="0" fillId="2" fontId="15" numFmtId="0" xfId="0" applyAlignment="1" applyFont="1">
      <alignment horizontal="center" readingOrder="0" vertical="center"/>
    </xf>
    <xf borderId="0" fillId="2" fontId="26" numFmtId="0" xfId="0" applyAlignment="1" applyFont="1">
      <alignment horizontal="center" readingOrder="0" vertical="center"/>
    </xf>
    <xf borderId="0" fillId="2" fontId="15" numFmtId="0" xfId="0" applyAlignment="1" applyFont="1">
      <alignment horizontal="center" vertical="center"/>
    </xf>
    <xf borderId="0" fillId="4" fontId="7" numFmtId="0" xfId="0" applyAlignment="1" applyFont="1">
      <alignment horizontal="left" readingOrder="0" vertical="center"/>
    </xf>
    <xf borderId="0" fillId="4" fontId="20" numFmtId="3" xfId="0" applyAlignment="1" applyFont="1" applyNumberFormat="1">
      <alignment horizontal="center" vertical="center"/>
    </xf>
    <xf borderId="0" fillId="7" fontId="7" numFmtId="3" xfId="0" applyAlignment="1" applyFont="1" applyNumberFormat="1">
      <alignment horizontal="center" readingOrder="0" vertical="center"/>
    </xf>
    <xf borderId="0" fillId="4" fontId="19" numFmtId="3" xfId="0" applyAlignment="1" applyFont="1" applyNumberFormat="1">
      <alignment horizontal="center" readingOrder="0" vertical="center"/>
    </xf>
    <xf borderId="0" fillId="6" fontId="7" numFmtId="3" xfId="0" applyAlignment="1" applyFont="1" applyNumberFormat="1">
      <alignment horizontal="center" readingOrder="0" vertical="center"/>
    </xf>
    <xf borderId="0" fillId="4" fontId="7" numFmtId="10" xfId="0" applyAlignment="1" applyFont="1" applyNumberFormat="1">
      <alignment horizontal="center" readingOrder="0" vertical="center"/>
    </xf>
    <xf borderId="0" fillId="4" fontId="7" numFmtId="3" xfId="0" applyAlignment="1" applyFont="1" applyNumberFormat="1">
      <alignment horizontal="center" readingOrder="0" vertical="center"/>
    </xf>
    <xf borderId="0" fillId="4" fontId="27" numFmtId="3" xfId="0" applyAlignment="1" applyFont="1" applyNumberFormat="1">
      <alignment horizontal="center" readingOrder="0" vertical="center"/>
    </xf>
    <xf borderId="0" fillId="4" fontId="4" numFmtId="0" xfId="0" applyAlignment="1" applyFont="1">
      <alignment horizontal="center" vertical="center"/>
    </xf>
    <xf borderId="0" fillId="4" fontId="19" numFmtId="0" xfId="0" applyAlignment="1" applyFont="1">
      <alignment horizontal="center" readingOrder="0" vertical="center"/>
    </xf>
    <xf borderId="0" fillId="2" fontId="29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  <xf borderId="0" fillId="2" fontId="29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5"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ustralia-style 2">
      <tableStyleElement dxfId="1" type="headerRow"/>
      <tableStyleElement dxfId="2" type="firstRowStripe"/>
      <tableStyleElement dxfId="3" type="secondRowStripe"/>
    </tableStyle>
    <tableStyle count="3" pivot="0" name="Cruise ships-style">
      <tableStyleElement dxfId="1" type="headerRow"/>
      <tableStyleElement dxfId="2" type="firstRowStripe"/>
      <tableStyleElement dxfId="3" type="secondRowStripe"/>
    </tableStyle>
    <tableStyle count="3" pivot="0" name="Cruise ships-style 2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Canada-style 2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USA-style 2">
      <tableStyleElement dxfId="1" type="headerRow"/>
      <tableStyleElement dxfId="2" type="firstRowStripe"/>
      <tableStyleElement dxfId="3" type="secondRowStripe"/>
    </tableStyle>
    <tableStyle count="3" pivot="0" name="USA-style 3">
      <tableStyleElement dxfId="1" type="headerRow"/>
      <tableStyleElement dxfId="2" type="firstRowStripe"/>
      <tableStyleElement dxfId="3" type="secondRowStripe"/>
    </tableStyle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Notes-style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chartsheet" Target="chartsheets/sheet1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8.xml"/><Relationship Id="rId12" Type="http://schemas.openxmlformats.org/officeDocument/2006/relationships/chartsheet" Target="chartsheets/sheet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World!$A$7:$A$210</c:f>
            </c:strRef>
          </c:cat>
          <c:val>
            <c:numRef>
              <c:f>World!$B$7:$B$210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World!$A$7:$A$210</c:f>
            </c:strRef>
          </c:cat>
          <c:val>
            <c:numRef>
              <c:f>World!$D$7:$D$211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A6:I213" displayName="Table_13" id="13">
  <tableColumns count="9">
    <tableColumn name="LOCATION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World-style" showColumnStripes="0" showFirstColumn="1" showLastColumn="1" showRowStripes="1"/>
</table>
</file>

<file path=xl/tables/table10.xml><?xml version="1.0" encoding="utf-8"?>
<table xmlns="http://schemas.openxmlformats.org/spreadsheetml/2006/main" ref="A5:H18" displayName="Table_4" id="4">
  <tableColumns count="8">
    <tableColumn name="CRUISE SHIPS" id="1"/>
    <tableColumn name="Cases" id="2"/>
    <tableColumn name="Deaths" id="3"/>
    <tableColumn name="On board" id="4"/>
    <tableColumn name="Infection rate" id="5"/>
    <tableColumn name="Death rate" id="6"/>
    <tableColumn name="Recovered" id="7"/>
    <tableColumn name="Links" id="8"/>
  </tableColumns>
  <tableStyleInfo name="Cruise ships-style 2" showColumnStripes="0" showFirstColumn="1" showLastColumn="1" showRowStripes="1"/>
</table>
</file>

<file path=xl/tables/table11.xml><?xml version="1.0" encoding="utf-8"?>
<table xmlns="http://schemas.openxmlformats.org/spreadsheetml/2006/main" ref="L5:M20" displayName="Table_5" id="5">
  <tableColumns count="2">
    <tableColumn name="Cases" id="1"/>
    <tableColumn name="Deaths" id="2"/>
  </tableColumns>
  <tableStyleInfo name="Canada-style" showColumnStripes="0" showFirstColumn="1" showLastColumn="1" showRowStripes="1"/>
</table>
</file>

<file path=xl/tables/table12.xml><?xml version="1.0" encoding="utf-8"?>
<table xmlns="http://schemas.openxmlformats.org/spreadsheetml/2006/main" ref="A5:I20" displayName="Table_6" id="6">
  <tableColumns count="9">
    <tableColumn name="CANAD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Canada-style 2" showColumnStripes="0" showFirstColumn="1" showLastColumn="1" showRowStripes="1"/>
</table>
</file>

<file path=xl/tables/table13.xml><?xml version="1.0" encoding="utf-8"?>
<table xmlns="http://schemas.openxmlformats.org/spreadsheetml/2006/main" headerRowCount="0" ref="A5:G16" displayName="Table_10" id="10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F2:K3" displayName="Table_11" id="1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ot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ref="A5:E24" displayName="Table_12" id="12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ables/table2.xml><?xml version="1.0" encoding="utf-8"?>
<table xmlns="http://schemas.openxmlformats.org/spreadsheetml/2006/main" ref="M6:M213" displayName="Table_14" id="14">
  <tableColumns count="1">
    <tableColumn name="Deaths" id="1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L6:L213" displayName="Table_15" id="15">
  <tableColumns count="1">
    <tableColumn name="Case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A5:I70" displayName="Table_7" id="7">
  <tableColumns count="9">
    <tableColumn name="UNITED STATES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headerRowCount="0" ref="M5:N6" displayName="Table_8" id="8">
  <tableColumns count="2">
    <tableColumn name="Column1" id="1"/>
    <tableColumn name="Column2" id="2"/>
  </tableColumns>
  <tableStyleInfo name="US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L5:L6" displayName="Table_9" id="9">
  <tableColumns count="1">
    <tableColumn name="Cases" id="1"/>
  </tableColumns>
  <tableStyleInfo name="USA-style 3" showColumnStripes="0" showFirstColumn="1" showLastColumn="1" showRowStripes="1"/>
</table>
</file>

<file path=xl/tables/table7.xml><?xml version="1.0" encoding="utf-8"?>
<table xmlns="http://schemas.openxmlformats.org/spreadsheetml/2006/main" ref="A5:I18" displayName="Table_1" id="1">
  <tableColumns count="9">
    <tableColumn name="AUSTRALI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Australia-style" showColumnStripes="0" showFirstColumn="1" showLastColumn="1" showRowStripes="1"/>
</table>
</file>

<file path=xl/tables/table8.xml><?xml version="1.0" encoding="utf-8"?>
<table xmlns="http://schemas.openxmlformats.org/spreadsheetml/2006/main" ref="L5:M18" displayName="Table_2" id="2">
  <tableColumns count="2">
    <tableColumn name="Cases" id="1"/>
    <tableColumn name="Deaths" id="2"/>
  </tableColumns>
  <tableStyleInfo name="Australia-style 2" showColumnStripes="0" showFirstColumn="1" showLastColumn="1" showRowStripes="1"/>
</table>
</file>

<file path=xl/tables/table9.xml><?xml version="1.0" encoding="utf-8"?>
<table xmlns="http://schemas.openxmlformats.org/spreadsheetml/2006/main" ref="K5:L18" displayName="Table_3" id="3">
  <tableColumns count="2">
    <tableColumn name="Cases" id="1"/>
    <tableColumn name="Deaths" id="2"/>
  </tableColumns>
  <tableStyleInfo name="Cruise ship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1.xml"/><Relationship Id="rId5" Type="http://schemas.openxmlformats.org/officeDocument/2006/relationships/table" Target="../tables/table1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1" t="s">
        <v>0</v>
      </c>
      <c r="B1" s="3"/>
      <c r="C1" s="3"/>
      <c r="D1" s="3"/>
      <c r="E1" s="5"/>
      <c r="F1" s="5"/>
      <c r="G1" s="5"/>
      <c r="H1" s="6"/>
      <c r="I1" s="8"/>
      <c r="J1" s="4"/>
      <c r="K1" s="10"/>
      <c r="L1" s="3"/>
      <c r="M1" s="3"/>
      <c r="N1" s="9"/>
      <c r="O1" s="9"/>
      <c r="P1" s="9"/>
    </row>
    <row r="2">
      <c r="A2" s="3"/>
      <c r="B2" s="3"/>
      <c r="C2" s="3"/>
      <c r="D2" s="3"/>
      <c r="E2" s="5"/>
      <c r="F2" s="5"/>
      <c r="G2" s="5"/>
      <c r="H2" s="6"/>
      <c r="I2" s="8"/>
      <c r="J2" s="4"/>
      <c r="K2" s="11"/>
      <c r="L2" s="3"/>
      <c r="M2" s="3"/>
      <c r="N2" s="9"/>
      <c r="O2" s="9"/>
      <c r="P2" s="9"/>
    </row>
    <row r="3">
      <c r="A3" s="3" t="s">
        <v>1</v>
      </c>
      <c r="B3" s="13" t="s">
        <v>2</v>
      </c>
      <c r="C3" s="5" t="s">
        <v>3</v>
      </c>
      <c r="E3" s="7" t="s">
        <v>4</v>
      </c>
      <c r="H3" s="6"/>
      <c r="I3" s="8"/>
      <c r="J3" s="4"/>
      <c r="K3" s="11"/>
      <c r="L3" s="13" t="s">
        <v>2</v>
      </c>
      <c r="N3" s="9"/>
      <c r="O3" s="9"/>
      <c r="P3" s="9"/>
    </row>
    <row r="4">
      <c r="A4" s="12">
        <f>SUM(B212, B213)</f>
        <v>2187134</v>
      </c>
      <c r="B4" s="16">
        <f>SUM(D212, D213)</f>
        <v>145532</v>
      </c>
      <c r="C4" s="14">
        <f>SUM(H212, H213)</f>
        <v>534885</v>
      </c>
      <c r="E4" s="18">
        <f>MINUS(A4,B4 + C4)</f>
        <v>1506717</v>
      </c>
      <c r="G4" s="5"/>
      <c r="H4" s="6"/>
      <c r="I4" s="8"/>
      <c r="J4" s="4"/>
      <c r="K4" s="11"/>
      <c r="L4" s="21">
        <f>SUM(N212, N213)</f>
        <v>0</v>
      </c>
      <c r="N4" s="23"/>
      <c r="O4" s="9"/>
      <c r="P4" s="9"/>
    </row>
    <row r="5">
      <c r="A5" s="17"/>
      <c r="B5" s="8"/>
      <c r="C5" s="8"/>
      <c r="D5" s="8"/>
      <c r="E5" s="6"/>
      <c r="F5" s="6"/>
      <c r="G5" s="6"/>
      <c r="H5" s="6"/>
      <c r="I5" s="8"/>
      <c r="J5" s="4"/>
      <c r="K5" s="11"/>
      <c r="L5" s="8"/>
      <c r="M5" s="8"/>
      <c r="N5" s="9"/>
      <c r="O5" s="9"/>
      <c r="P5" s="9"/>
    </row>
    <row r="6" ht="30.0" customHeight="1">
      <c r="A6" s="25" t="s">
        <v>13</v>
      </c>
      <c r="B6" s="27" t="s">
        <v>7</v>
      </c>
      <c r="C6" s="22" t="s">
        <v>8</v>
      </c>
      <c r="D6" s="27" t="s">
        <v>9</v>
      </c>
      <c r="E6" s="24" t="s">
        <v>10</v>
      </c>
      <c r="F6" s="24" t="s">
        <v>11</v>
      </c>
      <c r="G6" s="24" t="s">
        <v>12</v>
      </c>
      <c r="H6" s="34" t="s">
        <v>14</v>
      </c>
      <c r="I6" s="27" t="s">
        <v>15</v>
      </c>
      <c r="J6" s="28"/>
      <c r="K6" s="36"/>
      <c r="L6" s="27" t="s">
        <v>7</v>
      </c>
      <c r="M6" s="27" t="s">
        <v>9</v>
      </c>
      <c r="N6" s="29"/>
      <c r="O6" s="38"/>
      <c r="P6" s="29"/>
    </row>
    <row r="7" ht="30.0" customHeight="1">
      <c r="A7" s="40" t="s">
        <v>18</v>
      </c>
      <c r="B7" s="43">
        <f>USA!A3</f>
        <v>678718</v>
      </c>
      <c r="C7" s="45">
        <f t="shared" ref="C7:C202" si="1">MINUS(B7,L7)</f>
        <v>30244</v>
      </c>
      <c r="D7" s="43">
        <f>USA!B3</f>
        <v>34463</v>
      </c>
      <c r="E7" s="48">
        <f t="shared" ref="E7:E211" si="2">MINUS(D7, M7)</f>
        <v>2179</v>
      </c>
      <c r="F7" s="39">
        <f t="shared" ref="F7:F210" si="3">DIVIDE(D7, B7)</f>
        <v>0.0507766112</v>
      </c>
      <c r="G7" s="51">
        <f>USA!G68</f>
        <v>7836</v>
      </c>
      <c r="H7" s="51">
        <f>USA!C3</f>
        <v>39846</v>
      </c>
      <c r="I7" s="54" t="str">
        <f>HYPERLINK("https://bnonews.com/index.php/2019/12/tracking-coronavirus-u-s-data/","Source")</f>
        <v>Source</v>
      </c>
      <c r="J7" s="55"/>
      <c r="K7" s="56"/>
      <c r="L7" s="43">
        <v>648474.0</v>
      </c>
      <c r="M7" s="58">
        <v>32284.0</v>
      </c>
      <c r="N7" s="29"/>
      <c r="O7" s="29"/>
      <c r="P7" s="29"/>
    </row>
    <row r="8" ht="30.0" customHeight="1">
      <c r="A8" s="40" t="s">
        <v>22</v>
      </c>
      <c r="B8" s="43">
        <v>185309.0</v>
      </c>
      <c r="C8" s="45">
        <f t="shared" si="1"/>
        <v>4650</v>
      </c>
      <c r="D8" s="61">
        <v>19516.0</v>
      </c>
      <c r="E8" s="48">
        <f t="shared" si="2"/>
        <v>704</v>
      </c>
      <c r="F8" s="60">
        <f t="shared" si="3"/>
        <v>0.1053159857</v>
      </c>
      <c r="G8" s="51">
        <v>7871.0</v>
      </c>
      <c r="H8" s="51">
        <v>70853.0</v>
      </c>
      <c r="I8" s="54" t="str">
        <f>HYPERLINK("https://www.rtve.es/noticias/20200413/mapa-del-coronavirus-espana/2004681.shtml","Source")</f>
        <v>Source</v>
      </c>
      <c r="J8" s="65"/>
      <c r="K8" s="56"/>
      <c r="L8" s="43">
        <v>180659.0</v>
      </c>
      <c r="M8" s="61">
        <v>18812.0</v>
      </c>
      <c r="N8" s="29"/>
      <c r="O8" s="29"/>
      <c r="P8" s="29"/>
    </row>
    <row r="9" ht="30.0" customHeight="1">
      <c r="A9" s="40" t="s">
        <v>24</v>
      </c>
      <c r="B9" s="43">
        <v>168941.0</v>
      </c>
      <c r="C9" s="45">
        <f t="shared" si="1"/>
        <v>3786</v>
      </c>
      <c r="D9" s="43">
        <v>22170.0</v>
      </c>
      <c r="E9" s="48">
        <f t="shared" si="2"/>
        <v>525</v>
      </c>
      <c r="F9" s="60">
        <f t="shared" si="3"/>
        <v>0.1312292457</v>
      </c>
      <c r="G9" s="51">
        <v>2936.0</v>
      </c>
      <c r="H9" s="51">
        <v>40164.0</v>
      </c>
      <c r="I9" s="54" t="str">
        <f>HYPERLINK("https://bnonews.com/wp-content/uploads/2020/04/4162020Italy.png","Source")</f>
        <v>Source</v>
      </c>
      <c r="J9" s="66"/>
      <c r="K9" s="56"/>
      <c r="L9" s="43">
        <v>165155.0</v>
      </c>
      <c r="M9" s="43">
        <v>21645.0</v>
      </c>
      <c r="N9" s="29"/>
      <c r="O9" s="29"/>
      <c r="P9" s="29"/>
    </row>
    <row r="10" ht="30.0" customHeight="1">
      <c r="A10" s="40" t="s">
        <v>27</v>
      </c>
      <c r="B10" s="43">
        <v>165027.0</v>
      </c>
      <c r="C10" s="45">
        <f t="shared" si="1"/>
        <v>17164</v>
      </c>
      <c r="D10" s="43">
        <v>17920.0</v>
      </c>
      <c r="E10" s="48">
        <f t="shared" si="2"/>
        <v>753</v>
      </c>
      <c r="F10" s="60">
        <f t="shared" si="3"/>
        <v>0.1085882916</v>
      </c>
      <c r="G10" s="51">
        <v>6248.0</v>
      </c>
      <c r="H10" s="51">
        <v>32812.0</v>
      </c>
      <c r="I10" s="54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J10" s="28"/>
      <c r="K10" s="71" t="s">
        <v>19</v>
      </c>
      <c r="L10" s="43">
        <v>147863.0</v>
      </c>
      <c r="M10" s="43">
        <v>17167.0</v>
      </c>
      <c r="N10" s="29"/>
      <c r="O10" s="29"/>
      <c r="P10" s="29"/>
    </row>
    <row r="11" ht="30.0" customHeight="1">
      <c r="A11" s="40" t="s">
        <v>30</v>
      </c>
      <c r="B11" s="61">
        <v>138253.0</v>
      </c>
      <c r="C11" s="45">
        <f t="shared" si="1"/>
        <v>3164</v>
      </c>
      <c r="D11" s="43">
        <v>4105.0</v>
      </c>
      <c r="E11" s="48">
        <f t="shared" si="2"/>
        <v>308</v>
      </c>
      <c r="F11" s="39">
        <f t="shared" si="3"/>
        <v>0.02969194159</v>
      </c>
      <c r="G11" s="51">
        <v>2122.0</v>
      </c>
      <c r="H11" s="51">
        <v>87500.0</v>
      </c>
      <c r="I11" s="54" t="str">
        <f>HYPERLINK("http://www.risklayer-explorer.com/event/100/detail","Source")</f>
        <v>Source</v>
      </c>
      <c r="J11" s="65"/>
      <c r="K11" s="56"/>
      <c r="L11" s="61">
        <v>135089.0</v>
      </c>
      <c r="M11" s="43">
        <v>3797.0</v>
      </c>
      <c r="N11" s="29"/>
      <c r="O11" s="29"/>
      <c r="P11" s="29"/>
    </row>
    <row r="12" ht="30.0" customHeight="1">
      <c r="A12" s="40" t="s">
        <v>33</v>
      </c>
      <c r="B12" s="43">
        <v>103093.0</v>
      </c>
      <c r="C12" s="45">
        <f t="shared" si="1"/>
        <v>4617</v>
      </c>
      <c r="D12" s="43">
        <v>13729.0</v>
      </c>
      <c r="E12" s="48">
        <f t="shared" si="2"/>
        <v>861</v>
      </c>
      <c r="F12" s="60">
        <f t="shared" si="3"/>
        <v>0.1331710203</v>
      </c>
      <c r="G12" s="72" t="s">
        <v>26</v>
      </c>
      <c r="H12" s="51">
        <v>1918.0</v>
      </c>
      <c r="I12" s="54" t="str">
        <f>HYPERLINK("https://twitter.com/DHSCgovuk/status/1250782047095922690","Source")</f>
        <v>Source</v>
      </c>
      <c r="J12" s="66"/>
      <c r="K12" s="71" t="s">
        <v>19</v>
      </c>
      <c r="L12" s="43">
        <v>98476.0</v>
      </c>
      <c r="M12" s="43">
        <v>12868.0</v>
      </c>
      <c r="N12" s="29"/>
      <c r="O12" s="29"/>
      <c r="P12" s="29"/>
    </row>
    <row r="13" ht="30.0" customHeight="1">
      <c r="A13" s="40" t="s">
        <v>36</v>
      </c>
      <c r="B13" s="43">
        <f>China!A3</f>
        <v>84593</v>
      </c>
      <c r="C13" s="45">
        <f t="shared" si="1"/>
        <v>104</v>
      </c>
      <c r="D13" s="43">
        <f>China!B3</f>
        <v>3342</v>
      </c>
      <c r="E13" s="48">
        <f t="shared" si="2"/>
        <v>0</v>
      </c>
      <c r="F13" s="39">
        <f t="shared" si="3"/>
        <v>0.03950681498</v>
      </c>
      <c r="G13" s="51">
        <f>China!D15</f>
        <v>95</v>
      </c>
      <c r="H13" s="51">
        <f>China!D3</f>
        <v>79112</v>
      </c>
      <c r="I13" s="54" t="str">
        <f>HYPERLINK("https://bnonews.com/index.php/2020/03/tracking-coronavirus-china-data/","Source")</f>
        <v>Source</v>
      </c>
      <c r="J13" s="66"/>
      <c r="K13" s="71" t="s">
        <v>19</v>
      </c>
      <c r="L13" s="43">
        <v>84489.0</v>
      </c>
      <c r="M13" s="43">
        <v>3342.0</v>
      </c>
      <c r="N13" s="29"/>
      <c r="O13" s="29"/>
      <c r="P13" s="29"/>
    </row>
    <row r="14" ht="30.0" customHeight="1">
      <c r="A14" s="40" t="s">
        <v>40</v>
      </c>
      <c r="B14" s="43">
        <v>77995.0</v>
      </c>
      <c r="C14" s="45">
        <f t="shared" si="1"/>
        <v>1606</v>
      </c>
      <c r="D14" s="43">
        <v>4869.0</v>
      </c>
      <c r="E14" s="48">
        <f t="shared" si="2"/>
        <v>92</v>
      </c>
      <c r="F14" s="39">
        <f t="shared" si="3"/>
        <v>0.06242707866</v>
      </c>
      <c r="G14" s="51">
        <v>3594.0</v>
      </c>
      <c r="H14" s="51">
        <v>52229.0</v>
      </c>
      <c r="I14" s="54" t="str">
        <f>HYPERLINK("https://twitter.com/AbasAslani/status/1250721593149571074","Source")</f>
        <v>Source</v>
      </c>
      <c r="J14" s="73"/>
      <c r="K14" s="71" t="s">
        <v>19</v>
      </c>
      <c r="L14" s="43">
        <v>76389.0</v>
      </c>
      <c r="M14" s="43">
        <v>4777.0</v>
      </c>
      <c r="N14" s="29"/>
      <c r="O14" s="29"/>
      <c r="P14" s="29"/>
    </row>
    <row r="15" ht="27.75" customHeight="1">
      <c r="A15" s="40" t="s">
        <v>43</v>
      </c>
      <c r="B15" s="43">
        <v>74193.0</v>
      </c>
      <c r="C15" s="45">
        <f t="shared" si="1"/>
        <v>4801</v>
      </c>
      <c r="D15" s="43">
        <v>1643.0</v>
      </c>
      <c r="E15" s="48">
        <f t="shared" si="2"/>
        <v>125</v>
      </c>
      <c r="F15" s="60">
        <f t="shared" si="3"/>
        <v>0.02214494629</v>
      </c>
      <c r="G15" s="51">
        <v>1854.0</v>
      </c>
      <c r="H15" s="51">
        <v>7089.0</v>
      </c>
      <c r="I15" s="54" t="str">
        <f>HYPERLINK("https://covid19.saglik.gov.tr/","Source")</f>
        <v>Source</v>
      </c>
      <c r="J15" s="73"/>
      <c r="K15" s="71" t="s">
        <v>19</v>
      </c>
      <c r="L15" s="43">
        <v>69392.0</v>
      </c>
      <c r="M15" s="43">
        <v>1518.0</v>
      </c>
      <c r="N15" s="29"/>
      <c r="O15" s="29"/>
      <c r="P15" s="29"/>
    </row>
    <row r="16" ht="30.0" customHeight="1">
      <c r="A16" s="40" t="s">
        <v>48</v>
      </c>
      <c r="B16" s="43">
        <v>34809.0</v>
      </c>
      <c r="C16" s="45">
        <f t="shared" si="1"/>
        <v>1236</v>
      </c>
      <c r="D16" s="43">
        <v>4857.0</v>
      </c>
      <c r="E16" s="48">
        <f t="shared" si="2"/>
        <v>417</v>
      </c>
      <c r="F16" s="39">
        <f t="shared" si="3"/>
        <v>0.1395328794</v>
      </c>
      <c r="G16" s="51">
        <v>1182.0</v>
      </c>
      <c r="H16" s="51">
        <v>7562.0</v>
      </c>
      <c r="I16" s="54" t="str">
        <f>HYPERLINK("https://www.youtube.com/watch?v=7jBwpQAe8Y8&amp;feature=youtu.be","Source")</f>
        <v>Source</v>
      </c>
      <c r="J16" s="66"/>
      <c r="K16" s="71" t="s">
        <v>19</v>
      </c>
      <c r="L16" s="43">
        <v>33573.0</v>
      </c>
      <c r="M16" s="43">
        <v>4440.0</v>
      </c>
      <c r="N16" s="29"/>
      <c r="O16" s="29"/>
      <c r="P16" s="29"/>
    </row>
    <row r="17" ht="30.0" customHeight="1">
      <c r="A17" s="40" t="s">
        <v>51</v>
      </c>
      <c r="B17" s="43">
        <v>30425.0</v>
      </c>
      <c r="C17" s="45">
        <f t="shared" si="1"/>
        <v>2105</v>
      </c>
      <c r="D17" s="43">
        <v>1924.0</v>
      </c>
      <c r="E17" s="48">
        <f t="shared" si="2"/>
        <v>188</v>
      </c>
      <c r="F17" s="39">
        <f t="shared" si="3"/>
        <v>0.06323746919</v>
      </c>
      <c r="G17" s="72" t="s">
        <v>26</v>
      </c>
      <c r="H17" s="51">
        <v>14026.0</v>
      </c>
      <c r="I17" s="54" t="str">
        <f>HYPERLINK("https://g1.globo.com/bemestar/coronavirus/noticia/2020/04/16/brasil-tem-1924-mortes-e-30425-casos-de-coronavirus-diz-ministerio.ghtml","Source")</f>
        <v>Source</v>
      </c>
      <c r="J17" s="65"/>
      <c r="K17" s="56"/>
      <c r="L17" s="43">
        <v>28320.0</v>
      </c>
      <c r="M17" s="43">
        <v>1736.0</v>
      </c>
      <c r="N17" s="29"/>
      <c r="O17" s="29"/>
      <c r="P17" s="29"/>
    </row>
    <row r="18" ht="30.0" customHeight="1">
      <c r="A18" s="40" t="s">
        <v>54</v>
      </c>
      <c r="B18" s="43">
        <f>Canada!A3</f>
        <v>30092</v>
      </c>
      <c r="C18" s="45">
        <f t="shared" si="1"/>
        <v>1993</v>
      </c>
      <c r="D18" s="43">
        <f>Canada!B3</f>
        <v>1193</v>
      </c>
      <c r="E18" s="48">
        <f t="shared" si="2"/>
        <v>189</v>
      </c>
      <c r="F18" s="39">
        <f t="shared" si="3"/>
        <v>0.0396450884</v>
      </c>
      <c r="G18" s="51">
        <f>Canada!G20</f>
        <v>318</v>
      </c>
      <c r="H18" s="51">
        <f>Canada!C3</f>
        <v>9351</v>
      </c>
      <c r="I18" s="54" t="str">
        <f>HYPERLINK("https://bnonews.com/index.php/2019/12/tracking-coronavirus-canada-data/","Source")</f>
        <v>Source</v>
      </c>
      <c r="J18" s="28"/>
      <c r="K18" s="56"/>
      <c r="L18" s="58">
        <v>28099.0</v>
      </c>
      <c r="M18" s="58">
        <v>1004.0</v>
      </c>
      <c r="N18" s="29"/>
      <c r="O18" s="29"/>
      <c r="P18" s="29"/>
    </row>
    <row r="19" ht="30.0" customHeight="1">
      <c r="A19" s="40" t="s">
        <v>56</v>
      </c>
      <c r="B19" s="43">
        <v>29214.0</v>
      </c>
      <c r="C19" s="45">
        <f t="shared" si="1"/>
        <v>1061</v>
      </c>
      <c r="D19" s="61">
        <v>3315.0</v>
      </c>
      <c r="E19" s="48">
        <f t="shared" si="2"/>
        <v>181</v>
      </c>
      <c r="F19" s="39">
        <f t="shared" si="3"/>
        <v>0.1134729924</v>
      </c>
      <c r="G19" s="51">
        <v>1146.0</v>
      </c>
      <c r="H19" s="51">
        <v>3459.0</v>
      </c>
      <c r="I19" s="54" t="str">
        <f>HYPERLINK("https://www.rivm.nl/nieuws/actuele-informatie-over-coronavirus","Source")</f>
        <v>Source</v>
      </c>
      <c r="J19" s="73"/>
      <c r="K19" s="71" t="s">
        <v>19</v>
      </c>
      <c r="L19" s="43">
        <v>28153.0</v>
      </c>
      <c r="M19" s="61">
        <v>3134.0</v>
      </c>
      <c r="N19" s="29"/>
      <c r="O19" s="29"/>
      <c r="P19" s="29"/>
    </row>
    <row r="20" ht="30.0" customHeight="1">
      <c r="A20" s="40" t="s">
        <v>58</v>
      </c>
      <c r="B20" s="43">
        <v>27938.0</v>
      </c>
      <c r="C20" s="45">
        <f t="shared" si="1"/>
        <v>3448</v>
      </c>
      <c r="D20" s="58">
        <v>232.0</v>
      </c>
      <c r="E20" s="48">
        <f t="shared" si="2"/>
        <v>34</v>
      </c>
      <c r="F20" s="39">
        <f t="shared" si="3"/>
        <v>0.00830410194</v>
      </c>
      <c r="G20" s="72" t="s">
        <v>26</v>
      </c>
      <c r="H20" s="51">
        <v>2304.0</v>
      </c>
      <c r="I20" s="54" t="str">
        <f>HYPERLINK("https://xn--80aesfpebagmfblc0a.xn--p1ai/","Source")</f>
        <v>Source</v>
      </c>
      <c r="J20" s="66"/>
      <c r="K20" s="71" t="s">
        <v>19</v>
      </c>
      <c r="L20" s="43">
        <v>24490.0</v>
      </c>
      <c r="M20" s="58">
        <v>198.0</v>
      </c>
      <c r="N20" s="29"/>
      <c r="O20" s="29"/>
      <c r="P20" s="29"/>
    </row>
    <row r="21" ht="30.0" customHeight="1">
      <c r="A21" s="40" t="s">
        <v>60</v>
      </c>
      <c r="B21" s="43">
        <v>26267.0</v>
      </c>
      <c r="C21" s="45">
        <f t="shared" si="1"/>
        <v>0</v>
      </c>
      <c r="D21" s="43">
        <v>1239.0</v>
      </c>
      <c r="E21" s="48">
        <f t="shared" si="2"/>
        <v>0</v>
      </c>
      <c r="F21" s="39">
        <f t="shared" si="3"/>
        <v>0.04716945216</v>
      </c>
      <c r="G21" s="72" t="s">
        <v>26</v>
      </c>
      <c r="H21" s="51">
        <v>15400.0</v>
      </c>
      <c r="I21" s="54" t="str">
        <f>HYPERLINK("https://rsalzer.github.io/COVID_19_CH/","Source")</f>
        <v>Source</v>
      </c>
      <c r="J21" s="65"/>
      <c r="K21" s="56"/>
      <c r="L21" s="43">
        <v>26267.0</v>
      </c>
      <c r="M21" s="43">
        <v>1239.0</v>
      </c>
      <c r="N21" s="29"/>
      <c r="O21" s="29"/>
      <c r="P21" s="29"/>
    </row>
    <row r="22" ht="30.0" customHeight="1">
      <c r="A22" s="40" t="s">
        <v>61</v>
      </c>
      <c r="B22" s="43">
        <v>18841.0</v>
      </c>
      <c r="C22" s="45">
        <f t="shared" si="1"/>
        <v>750</v>
      </c>
      <c r="D22" s="58">
        <v>629.0</v>
      </c>
      <c r="E22" s="48">
        <f t="shared" si="2"/>
        <v>30</v>
      </c>
      <c r="F22" s="60">
        <f t="shared" si="3"/>
        <v>0.03338463988</v>
      </c>
      <c r="G22" s="72">
        <v>229.0</v>
      </c>
      <c r="H22" s="72">
        <v>493.0</v>
      </c>
      <c r="I22" s="54" t="str">
        <f>HYPERLINK("https://covid19.min-saude.pt/ponto-de-situacao-atual-em-portugal/","Source")</f>
        <v>Source</v>
      </c>
      <c r="J22" s="66"/>
      <c r="K22" s="71" t="s">
        <v>19</v>
      </c>
      <c r="L22" s="43">
        <v>18091.0</v>
      </c>
      <c r="M22" s="58">
        <v>599.0</v>
      </c>
      <c r="N22" s="29"/>
      <c r="O22" s="29"/>
      <c r="P22" s="29"/>
    </row>
    <row r="23" ht="30.0" customHeight="1">
      <c r="A23" s="40" t="s">
        <v>63</v>
      </c>
      <c r="B23" s="43">
        <v>14404.0</v>
      </c>
      <c r="C23" s="45">
        <f t="shared" si="1"/>
        <v>73</v>
      </c>
      <c r="D23" s="58">
        <v>410.0</v>
      </c>
      <c r="E23" s="48">
        <f t="shared" si="2"/>
        <v>17</v>
      </c>
      <c r="F23" s="60">
        <f t="shared" si="3"/>
        <v>0.02846431547</v>
      </c>
      <c r="G23" s="72">
        <v>238.0</v>
      </c>
      <c r="H23" s="51">
        <v>8986.0</v>
      </c>
      <c r="I23" s="54" t="str">
        <f>HYPERLINK("https://info.gesundheitsministerium.at/","Source")</f>
        <v>Source</v>
      </c>
      <c r="J23" s="65"/>
      <c r="K23" s="71" t="s">
        <v>64</v>
      </c>
      <c r="L23" s="43">
        <v>14331.0</v>
      </c>
      <c r="M23" s="58">
        <v>393.0</v>
      </c>
      <c r="N23" s="29"/>
      <c r="O23" s="29"/>
      <c r="P23" s="29"/>
    </row>
    <row r="24" ht="30.0" customHeight="1">
      <c r="A24" s="40" t="s">
        <v>65</v>
      </c>
      <c r="B24" s="43">
        <v>13430.0</v>
      </c>
      <c r="C24" s="45">
        <f t="shared" si="1"/>
        <v>1060</v>
      </c>
      <c r="D24" s="58">
        <v>448.0</v>
      </c>
      <c r="E24" s="48">
        <f t="shared" si="2"/>
        <v>26</v>
      </c>
      <c r="F24" s="60">
        <f t="shared" si="3"/>
        <v>0.03335815339</v>
      </c>
      <c r="G24" s="72" t="s">
        <v>26</v>
      </c>
      <c r="H24" s="51">
        <v>1513.0</v>
      </c>
      <c r="I24" s="54" t="str">
        <f>HYPERLINK("https://www.covid19india.org/","Source")</f>
        <v>Source</v>
      </c>
      <c r="J24" s="65"/>
      <c r="K24" s="56"/>
      <c r="L24" s="43">
        <v>12370.0</v>
      </c>
      <c r="M24" s="58">
        <v>422.0</v>
      </c>
      <c r="N24" s="29"/>
      <c r="O24" s="29"/>
      <c r="P24" s="29"/>
    </row>
    <row r="25" ht="30.0" customHeight="1">
      <c r="A25" s="40" t="s">
        <v>67</v>
      </c>
      <c r="B25" s="43">
        <v>13271.0</v>
      </c>
      <c r="C25" s="45">
        <f t="shared" si="1"/>
        <v>724</v>
      </c>
      <c r="D25" s="58">
        <v>486.0</v>
      </c>
      <c r="E25" s="48">
        <f t="shared" si="2"/>
        <v>42</v>
      </c>
      <c r="F25" s="39">
        <f t="shared" si="3"/>
        <v>0.03662120413</v>
      </c>
      <c r="G25" s="72">
        <v>284.0</v>
      </c>
      <c r="H25" s="72" t="s">
        <v>26</v>
      </c>
      <c r="I25" s="54" t="str">
        <f>HYPERLINK("https://www.gov.ie/en/press-release/0906df-statement-from-the-national-public-health-emergency-team-thursday-16/","Source")</f>
        <v>Source</v>
      </c>
      <c r="J25" s="91"/>
      <c r="K25" s="71" t="s">
        <v>19</v>
      </c>
      <c r="L25" s="43">
        <v>12547.0</v>
      </c>
      <c r="M25" s="58">
        <v>444.0</v>
      </c>
      <c r="N25" s="29"/>
      <c r="O25" s="29"/>
      <c r="P25" s="29"/>
    </row>
    <row r="26" ht="30.0" customHeight="1">
      <c r="A26" s="40" t="s">
        <v>69</v>
      </c>
      <c r="B26" s="43">
        <v>12758.0</v>
      </c>
      <c r="C26" s="45">
        <f t="shared" si="1"/>
        <v>257</v>
      </c>
      <c r="D26" s="58">
        <v>142.0</v>
      </c>
      <c r="E26" s="48">
        <f t="shared" si="2"/>
        <v>12</v>
      </c>
      <c r="F26" s="39">
        <f t="shared" si="3"/>
        <v>0.0111302712</v>
      </c>
      <c r="G26" s="72">
        <v>181.0</v>
      </c>
      <c r="H26" s="51">
        <v>2818.0</v>
      </c>
      <c r="I26" s="54" t="str">
        <f>HYPERLINK("https://govextra.gov.il/ministry-of-health/corona/corona-virus/","Source")</f>
        <v>Source</v>
      </c>
      <c r="J26" s="66"/>
      <c r="K26" s="71" t="s">
        <v>71</v>
      </c>
      <c r="L26" s="43">
        <v>12501.0</v>
      </c>
      <c r="M26" s="58">
        <v>130.0</v>
      </c>
      <c r="N26" s="29"/>
      <c r="O26" s="29"/>
      <c r="P26" s="29"/>
    </row>
    <row r="27" ht="30.0" customHeight="1">
      <c r="A27" s="40" t="s">
        <v>72</v>
      </c>
      <c r="B27" s="43">
        <v>12540.0</v>
      </c>
      <c r="C27" s="45">
        <f t="shared" si="1"/>
        <v>613</v>
      </c>
      <c r="D27" s="43">
        <v>1333.0</v>
      </c>
      <c r="E27" s="48">
        <f t="shared" si="2"/>
        <v>130</v>
      </c>
      <c r="F27" s="60">
        <f t="shared" si="3"/>
        <v>0.1062998405</v>
      </c>
      <c r="G27" s="72">
        <v>996.0</v>
      </c>
      <c r="H27" s="72" t="s">
        <v>26</v>
      </c>
      <c r="I27" s="54" t="str">
        <f>HYPERLINK("https://experience.arcgis.com/experience/09f821667ce64bf7be6f9f87457ed9aa","Source")</f>
        <v>Source</v>
      </c>
      <c r="J27" s="66"/>
      <c r="K27" s="47" t="s">
        <v>19</v>
      </c>
      <c r="L27" s="43">
        <v>11927.0</v>
      </c>
      <c r="M27" s="43">
        <v>1203.0</v>
      </c>
      <c r="N27" s="29"/>
      <c r="O27" s="29"/>
      <c r="P27" s="29"/>
    </row>
    <row r="28" ht="30.0" customHeight="1">
      <c r="A28" s="40" t="s">
        <v>74</v>
      </c>
      <c r="B28" s="43">
        <v>12491.0</v>
      </c>
      <c r="C28" s="45">
        <f t="shared" si="1"/>
        <v>1016</v>
      </c>
      <c r="D28" s="58">
        <v>274.0</v>
      </c>
      <c r="E28" s="48">
        <f t="shared" si="2"/>
        <v>20</v>
      </c>
      <c r="F28" s="60">
        <f t="shared" si="3"/>
        <v>0.02193579377</v>
      </c>
      <c r="G28" s="72">
        <v>169.0</v>
      </c>
      <c r="H28" s="51">
        <v>6120.0</v>
      </c>
      <c r="I28" s="94" t="str">
        <f>HYPERLINK("https://www.gob.pe/institucion/minsa/noticias/126023-minsa-casos-confirmados-por-coronavirus-covid-19-ascienden-a-12-491-en-el-peru-comunicado-n-67","Source")</f>
        <v>Source</v>
      </c>
      <c r="J28" s="66"/>
      <c r="K28" s="47" t="s">
        <v>19</v>
      </c>
      <c r="L28" s="43">
        <v>11475.0</v>
      </c>
      <c r="M28" s="58">
        <v>254.0</v>
      </c>
      <c r="N28" s="29"/>
      <c r="O28" s="29"/>
      <c r="P28" s="29"/>
    </row>
    <row r="29" ht="30.0" customHeight="1">
      <c r="A29" s="40" t="s">
        <v>77</v>
      </c>
      <c r="B29" s="43">
        <v>10613.0</v>
      </c>
      <c r="C29" s="45">
        <f t="shared" si="1"/>
        <v>22</v>
      </c>
      <c r="D29" s="58">
        <v>229.0</v>
      </c>
      <c r="E29" s="48">
        <f t="shared" si="2"/>
        <v>4</v>
      </c>
      <c r="F29" s="60">
        <f t="shared" si="3"/>
        <v>0.02157731085</v>
      </c>
      <c r="G29" s="72" t="s">
        <v>26</v>
      </c>
      <c r="H29" s="51">
        <v>7757.0</v>
      </c>
      <c r="I29" s="54" t="str">
        <f>HYPERLINK("http://ncov.mohw.go.kr/tcmBoardView.do?brdId=&amp;brdGubun=&amp;dataGubun=&amp;ncvContSeq=354082&amp;contSeq=354082&amp;board_id=&amp;gubun=ALL","Source")</f>
        <v>Source</v>
      </c>
      <c r="J29" s="28"/>
      <c r="K29" s="47" t="s">
        <v>19</v>
      </c>
      <c r="L29" s="43">
        <v>10591.0</v>
      </c>
      <c r="M29" s="58">
        <v>225.0</v>
      </c>
      <c r="N29" s="29"/>
      <c r="O29" s="29"/>
      <c r="P29" s="29"/>
    </row>
    <row r="30" ht="30.0" customHeight="1">
      <c r="A30" s="40" t="s">
        <v>78</v>
      </c>
      <c r="B30" s="43">
        <v>9296.0</v>
      </c>
      <c r="C30" s="45">
        <f t="shared" si="1"/>
        <v>574</v>
      </c>
      <c r="D30" s="58">
        <v>190.0</v>
      </c>
      <c r="E30" s="48">
        <f t="shared" si="2"/>
        <v>12</v>
      </c>
      <c r="F30" s="60">
        <f t="shared" si="3"/>
        <v>0.02043889845</v>
      </c>
      <c r="G30" s="72">
        <v>193.0</v>
      </c>
      <c r="H30" s="72">
        <v>918.0</v>
      </c>
      <c r="I30" s="54" t="str">
        <f>HYPERLINK("https://www3.nhk.or.jp/news/html/20200416/k10012390281000.html?utm_int=word_contents_list-items_024&amp;word_result=%E6%96%B0%E5%9E%8B%E3%82%B3%E3%83%AD%E3%83%8A%E3%82%A6%E3%82%A4%E3%83%AB%E3%82%B9","Source")</f>
        <v>Source</v>
      </c>
      <c r="J30" s="95"/>
      <c r="K30" s="36"/>
      <c r="L30" s="43">
        <v>8722.0</v>
      </c>
      <c r="M30" s="58">
        <v>178.0</v>
      </c>
      <c r="N30" s="29"/>
      <c r="O30" s="29"/>
      <c r="P30" s="29"/>
    </row>
    <row r="31" ht="30.0" customHeight="1">
      <c r="A31" s="40" t="s">
        <v>81</v>
      </c>
      <c r="B31" s="43">
        <v>8807.0</v>
      </c>
      <c r="C31" s="45">
        <f t="shared" si="1"/>
        <v>534</v>
      </c>
      <c r="D31" s="58">
        <v>105.0</v>
      </c>
      <c r="E31" s="48">
        <f t="shared" si="2"/>
        <v>11</v>
      </c>
      <c r="F31" s="60">
        <f t="shared" si="3"/>
        <v>0.01192233451</v>
      </c>
      <c r="G31" s="72">
        <v>384.0</v>
      </c>
      <c r="H31" s="51">
        <v>3299.0</v>
      </c>
      <c r="I31" s="54" t="str">
        <f>HYPERLINK("https://cdn.digital.gob.cl/public_files/Campa%C3%B1as/Corona-Virus/Reportes/16.04.2020_Reporte_Covid19.pdf","Source")</f>
        <v>Source</v>
      </c>
      <c r="J31" s="96"/>
      <c r="K31" s="47" t="s">
        <v>19</v>
      </c>
      <c r="L31" s="43">
        <v>8273.0</v>
      </c>
      <c r="M31" s="58">
        <v>94.0</v>
      </c>
      <c r="N31" s="29"/>
      <c r="O31" s="29"/>
      <c r="P31" s="29"/>
    </row>
    <row r="32" ht="30.0" customHeight="1">
      <c r="A32" s="40" t="s">
        <v>85</v>
      </c>
      <c r="B32" s="43">
        <v>8225.0</v>
      </c>
      <c r="C32" s="45">
        <f t="shared" si="1"/>
        <v>367</v>
      </c>
      <c r="D32" s="58">
        <v>403.0</v>
      </c>
      <c r="E32" s="48">
        <f t="shared" si="2"/>
        <v>15</v>
      </c>
      <c r="F32" s="39">
        <f t="shared" si="3"/>
        <v>0.04899696049</v>
      </c>
      <c r="G32" s="72" t="s">
        <v>26</v>
      </c>
      <c r="H32" s="72">
        <v>838.0</v>
      </c>
      <c r="I32" s="54" t="str">
        <f>HYPERLINK("https://twitter.com/Salud_Ec/status/1250818918551359491","Source")</f>
        <v>Source</v>
      </c>
      <c r="J32" s="66"/>
      <c r="K32" s="47" t="s">
        <v>19</v>
      </c>
      <c r="L32" s="43">
        <v>7858.0</v>
      </c>
      <c r="M32" s="58">
        <v>388.0</v>
      </c>
      <c r="N32" s="29"/>
      <c r="O32" s="29"/>
      <c r="P32" s="29"/>
    </row>
    <row r="33" ht="27.75" customHeight="1">
      <c r="A33" s="40" t="s">
        <v>90</v>
      </c>
      <c r="B33" s="43">
        <v>7918.0</v>
      </c>
      <c r="C33" s="45">
        <f t="shared" si="1"/>
        <v>336</v>
      </c>
      <c r="D33" s="58">
        <v>314.0</v>
      </c>
      <c r="E33" s="48">
        <f t="shared" si="2"/>
        <v>28</v>
      </c>
      <c r="F33" s="60">
        <f t="shared" si="3"/>
        <v>0.03965647891</v>
      </c>
      <c r="G33" s="72" t="s">
        <v>26</v>
      </c>
      <c r="H33" s="72">
        <v>774.0</v>
      </c>
      <c r="I33" s="54" t="str">
        <f>HYPERLINK("https://twitter.com/MZ_GOV_PL/status/1250695819579228160","Source")</f>
        <v>Source</v>
      </c>
      <c r="J33" s="66"/>
      <c r="K33" s="47" t="s">
        <v>71</v>
      </c>
      <c r="L33" s="43">
        <v>7582.0</v>
      </c>
      <c r="M33" s="58">
        <v>286.0</v>
      </c>
      <c r="N33" s="29"/>
      <c r="O33" s="29"/>
      <c r="P33" s="29"/>
    </row>
    <row r="34" ht="30.0" customHeight="1">
      <c r="A34" s="40" t="s">
        <v>93</v>
      </c>
      <c r="B34" s="43">
        <v>7707.0</v>
      </c>
      <c r="C34" s="45">
        <f t="shared" si="1"/>
        <v>491</v>
      </c>
      <c r="D34" s="58">
        <v>392.0</v>
      </c>
      <c r="E34" s="48">
        <f t="shared" si="2"/>
        <v>30</v>
      </c>
      <c r="F34" s="39">
        <f t="shared" si="3"/>
        <v>0.05086285195</v>
      </c>
      <c r="G34" s="72" t="s">
        <v>26</v>
      </c>
      <c r="H34" s="51">
        <v>1357.0</v>
      </c>
      <c r="I34" s="54" t="str">
        <f>HYPERLINK("http://www.ms.ro/2020/04/16/decese-388-392/","Source")</f>
        <v>Source</v>
      </c>
      <c r="J34" s="65"/>
      <c r="K34" s="47" t="s">
        <v>94</v>
      </c>
      <c r="L34" s="43">
        <v>7216.0</v>
      </c>
      <c r="M34" s="58">
        <v>362.0</v>
      </c>
      <c r="N34" s="29"/>
      <c r="O34" s="29"/>
      <c r="P34" s="29"/>
    </row>
    <row r="35" ht="30.0" customHeight="1">
      <c r="A35" s="40" t="s">
        <v>96</v>
      </c>
      <c r="B35" s="43">
        <v>7063.0</v>
      </c>
      <c r="C35" s="45">
        <f t="shared" si="1"/>
        <v>198</v>
      </c>
      <c r="D35" s="58">
        <v>321.0</v>
      </c>
      <c r="E35" s="48">
        <f t="shared" si="2"/>
        <v>12</v>
      </c>
      <c r="F35" s="39">
        <f t="shared" si="3"/>
        <v>0.04544810987</v>
      </c>
      <c r="G35" s="72">
        <v>89.0</v>
      </c>
      <c r="H35" s="72">
        <v>3.0</v>
      </c>
      <c r="I35" s="54" t="str">
        <f>HYPERLINK("https://www.sst.dk/da/corona/tal-og-overvaagning","Source")</f>
        <v>Source</v>
      </c>
      <c r="J35" s="66"/>
      <c r="K35" s="47" t="s">
        <v>19</v>
      </c>
      <c r="L35" s="43">
        <v>6865.0</v>
      </c>
      <c r="M35" s="58">
        <v>309.0</v>
      </c>
      <c r="N35" s="29"/>
      <c r="O35" s="29"/>
      <c r="P35" s="29"/>
    </row>
    <row r="36" ht="30.0" customHeight="1">
      <c r="A36" s="40" t="s">
        <v>98</v>
      </c>
      <c r="B36" s="43">
        <v>7010.0</v>
      </c>
      <c r="C36" s="45">
        <f t="shared" si="1"/>
        <v>627</v>
      </c>
      <c r="D36" s="58">
        <v>134.0</v>
      </c>
      <c r="E36" s="48">
        <f t="shared" si="2"/>
        <v>17</v>
      </c>
      <c r="F36" s="39">
        <f t="shared" si="3"/>
        <v>0.01911554922</v>
      </c>
      <c r="G36" s="72" t="s">
        <v>26</v>
      </c>
      <c r="H36" s="51">
        <v>1645.0</v>
      </c>
      <c r="I36" s="54" t="str">
        <f>HYPERLINK("http://covid.gov.pk/","Source")</f>
        <v>Source</v>
      </c>
      <c r="J36" s="65"/>
      <c r="K36" s="47" t="s">
        <v>101</v>
      </c>
      <c r="L36" s="43">
        <v>6383.0</v>
      </c>
      <c r="M36" s="58">
        <v>117.0</v>
      </c>
      <c r="N36" s="29"/>
      <c r="O36" s="29"/>
      <c r="P36" s="29"/>
    </row>
    <row r="37" ht="30.0" customHeight="1">
      <c r="A37" s="40" t="s">
        <v>102</v>
      </c>
      <c r="B37" s="43">
        <v>6798.0</v>
      </c>
      <c r="C37" s="45">
        <f t="shared" si="1"/>
        <v>1</v>
      </c>
      <c r="D37" s="58">
        <v>150.0</v>
      </c>
      <c r="E37" s="48">
        <f t="shared" si="2"/>
        <v>0</v>
      </c>
      <c r="F37" s="39">
        <f t="shared" si="3"/>
        <v>0.02206531333</v>
      </c>
      <c r="G37" s="72">
        <v>64.0</v>
      </c>
      <c r="H37" s="72" t="s">
        <v>26</v>
      </c>
      <c r="I37" s="54" t="str">
        <f>HYPERLINK("https://www.vg.no/spesial/2020/corona/","Source")</f>
        <v>Source</v>
      </c>
      <c r="J37" s="65"/>
      <c r="K37" s="36"/>
      <c r="L37" s="43">
        <v>6797.0</v>
      </c>
      <c r="M37" s="58">
        <v>150.0</v>
      </c>
      <c r="N37" s="29"/>
      <c r="O37" s="29"/>
      <c r="P37" s="29"/>
    </row>
    <row r="38" ht="30.0" customHeight="1">
      <c r="A38" s="40" t="s">
        <v>107</v>
      </c>
      <c r="B38" s="43">
        <f>Australia!A3</f>
        <v>6462</v>
      </c>
      <c r="C38" s="45">
        <f t="shared" si="1"/>
        <v>22</v>
      </c>
      <c r="D38" s="43">
        <f>Australia!B3</f>
        <v>63</v>
      </c>
      <c r="E38" s="48">
        <f t="shared" si="2"/>
        <v>0</v>
      </c>
      <c r="F38" s="60">
        <f t="shared" si="3"/>
        <v>0.009749303621</v>
      </c>
      <c r="G38" s="51">
        <f>Australia!G17</f>
        <v>79</v>
      </c>
      <c r="H38" s="51">
        <f>Australia!C3</f>
        <v>2355</v>
      </c>
      <c r="I38" s="54" t="str">
        <f>HYPERLINK("https://bnonews.com/index.php/2019/12/tracking-coronavirus-australia-data/","Source")</f>
        <v>Source</v>
      </c>
      <c r="J38" s="28"/>
      <c r="K38" s="36"/>
      <c r="L38" s="58">
        <v>6440.0</v>
      </c>
      <c r="M38" s="58">
        <v>63.0</v>
      </c>
      <c r="N38" s="29"/>
      <c r="O38" s="29"/>
      <c r="P38" s="29"/>
    </row>
    <row r="39" ht="30.0" customHeight="1">
      <c r="A39" s="40" t="s">
        <v>109</v>
      </c>
      <c r="B39" s="43">
        <v>6433.0</v>
      </c>
      <c r="C39" s="45">
        <f t="shared" si="1"/>
        <v>132</v>
      </c>
      <c r="D39" s="58">
        <v>169.0</v>
      </c>
      <c r="E39" s="48">
        <f t="shared" si="2"/>
        <v>3</v>
      </c>
      <c r="F39" s="60">
        <f t="shared" si="3"/>
        <v>0.02627079123</v>
      </c>
      <c r="G39" s="72">
        <v>75.0</v>
      </c>
      <c r="H39" s="72">
        <v>972.0</v>
      </c>
      <c r="I39" s="54" t="str">
        <f>HYPERLINK("https://onemocneni-aktualne.mzcr.cz/covid-19","Source")</f>
        <v>Source</v>
      </c>
      <c r="J39" s="65"/>
      <c r="K39" s="47" t="s">
        <v>111</v>
      </c>
      <c r="L39" s="43">
        <v>6301.0</v>
      </c>
      <c r="M39" s="58">
        <v>166.0</v>
      </c>
      <c r="N39" s="29"/>
      <c r="O39" s="29"/>
      <c r="P39" s="29"/>
    </row>
    <row r="40" ht="30.0" customHeight="1">
      <c r="A40" s="40" t="s">
        <v>112</v>
      </c>
      <c r="B40" s="43">
        <v>6380.0</v>
      </c>
      <c r="C40" s="45">
        <f t="shared" si="1"/>
        <v>518</v>
      </c>
      <c r="D40" s="58">
        <v>83.0</v>
      </c>
      <c r="E40" s="48">
        <f t="shared" si="2"/>
        <v>4</v>
      </c>
      <c r="F40" s="39">
        <f t="shared" si="3"/>
        <v>0.01300940439</v>
      </c>
      <c r="G40" s="72" t="s">
        <v>26</v>
      </c>
      <c r="H40" s="72">
        <v>990.0</v>
      </c>
      <c r="I40" s="54" t="str">
        <f>HYPERLINK("https://twitter.com/SaudiMOH/status/1250766295810834432","Source")</f>
        <v>Source</v>
      </c>
      <c r="J40" s="66"/>
      <c r="K40" s="47" t="s">
        <v>19</v>
      </c>
      <c r="L40" s="43">
        <v>5862.0</v>
      </c>
      <c r="M40" s="58">
        <v>79.0</v>
      </c>
      <c r="N40" s="29"/>
      <c r="O40" s="29"/>
      <c r="P40" s="29"/>
    </row>
    <row r="41" ht="30.0" customHeight="1">
      <c r="A41" s="40" t="s">
        <v>114</v>
      </c>
      <c r="B41" s="43">
        <v>6297.0</v>
      </c>
      <c r="C41" s="45">
        <f t="shared" si="1"/>
        <v>450</v>
      </c>
      <c r="D41" s="58">
        <v>486.0</v>
      </c>
      <c r="E41" s="48">
        <f t="shared" si="2"/>
        <v>37</v>
      </c>
      <c r="F41" s="39">
        <f t="shared" si="3"/>
        <v>0.07717960934</v>
      </c>
      <c r="G41" s="51">
        <v>1295.0</v>
      </c>
      <c r="H41" s="51">
        <v>2451.0</v>
      </c>
      <c r="I41" s="94" t="str">
        <f>HYPERLINK("https://twitter.com/HLGatell/status/1250941796282228743","Source")</f>
        <v>Source</v>
      </c>
      <c r="J41" s="66"/>
      <c r="K41" s="47" t="s">
        <v>19</v>
      </c>
      <c r="L41" s="43">
        <v>5847.0</v>
      </c>
      <c r="M41" s="58">
        <v>449.0</v>
      </c>
      <c r="N41" s="29"/>
      <c r="O41" s="29"/>
      <c r="P41" s="29"/>
    </row>
    <row r="42" ht="30.0" customHeight="1">
      <c r="A42" s="40" t="s">
        <v>116</v>
      </c>
      <c r="B42" s="43">
        <v>5825.0</v>
      </c>
      <c r="C42" s="45">
        <f t="shared" si="1"/>
        <v>460</v>
      </c>
      <c r="D42" s="58">
        <v>35.0</v>
      </c>
      <c r="E42" s="48">
        <f t="shared" si="2"/>
        <v>2</v>
      </c>
      <c r="F42" s="60">
        <f t="shared" si="3"/>
        <v>0.006008583691</v>
      </c>
      <c r="G42" s="72" t="s">
        <v>26</v>
      </c>
      <c r="H42" s="51">
        <v>1095.0</v>
      </c>
      <c r="I42" s="54" t="str">
        <f>HYPERLINK("https://twitter.com/DHA_Dubai/status/1250838305853394944","Source")</f>
        <v>Source</v>
      </c>
      <c r="J42" s="66"/>
      <c r="K42" s="47" t="s">
        <v>19</v>
      </c>
      <c r="L42" s="43">
        <v>5365.0</v>
      </c>
      <c r="M42" s="58">
        <v>33.0</v>
      </c>
      <c r="N42" s="29"/>
      <c r="O42" s="29"/>
      <c r="P42" s="29"/>
    </row>
    <row r="43" ht="30.0" customHeight="1">
      <c r="A43" s="40" t="s">
        <v>118</v>
      </c>
      <c r="B43" s="43">
        <v>5660.0</v>
      </c>
      <c r="C43" s="45">
        <f t="shared" si="1"/>
        <v>207</v>
      </c>
      <c r="D43" s="58">
        <v>362.0</v>
      </c>
      <c r="E43" s="48">
        <f t="shared" si="2"/>
        <v>13</v>
      </c>
      <c r="F43" s="39">
        <f t="shared" si="3"/>
        <v>0.06395759717</v>
      </c>
      <c r="G43" s="72" t="s">
        <v>26</v>
      </c>
      <c r="H43" s="72">
        <v>435.0</v>
      </c>
      <c r="I43" s="94" t="str">
        <f>HYPERLINK("https://twitter.com/cnnphilippines/status/1250340743635333120","Source")</f>
        <v>Source</v>
      </c>
      <c r="J43" s="66"/>
      <c r="K43" s="47" t="s">
        <v>19</v>
      </c>
      <c r="L43" s="43">
        <v>5453.0</v>
      </c>
      <c r="M43" s="58">
        <v>349.0</v>
      </c>
      <c r="N43" s="29"/>
      <c r="O43" s="29"/>
      <c r="P43" s="29"/>
    </row>
    <row r="44" ht="30.0" customHeight="1">
      <c r="A44" s="40" t="s">
        <v>120</v>
      </c>
      <c r="B44" s="43">
        <v>5516.0</v>
      </c>
      <c r="C44" s="45">
        <f t="shared" si="1"/>
        <v>380</v>
      </c>
      <c r="D44" s="58">
        <v>496.0</v>
      </c>
      <c r="E44" s="48">
        <f t="shared" si="2"/>
        <v>27</v>
      </c>
      <c r="F44" s="60">
        <f t="shared" si="3"/>
        <v>0.08992023205</v>
      </c>
      <c r="G44" s="72" t="s">
        <v>26</v>
      </c>
      <c r="H44" s="72">
        <v>548.0</v>
      </c>
      <c r="I44" s="54" t="str">
        <f>HYPERLINK("https://www.cnnindonesia.com/nasional/20200416141710-20-494169/update-corona-16-april-5516-positif-496-meninggal-dunia","Source")</f>
        <v>Source</v>
      </c>
      <c r="J44" s="66"/>
      <c r="K44" s="47" t="s">
        <v>19</v>
      </c>
      <c r="L44" s="43">
        <v>5136.0</v>
      </c>
      <c r="M44" s="58">
        <v>469.0</v>
      </c>
      <c r="N44" s="29"/>
      <c r="O44" s="29"/>
      <c r="P44" s="29"/>
    </row>
    <row r="45" ht="27.75" customHeight="1">
      <c r="A45" s="40" t="s">
        <v>122</v>
      </c>
      <c r="B45" s="43">
        <v>5318.0</v>
      </c>
      <c r="C45" s="45">
        <f t="shared" si="1"/>
        <v>445</v>
      </c>
      <c r="D45" s="58">
        <v>103.0</v>
      </c>
      <c r="E45" s="48">
        <f t="shared" si="2"/>
        <v>4</v>
      </c>
      <c r="F45" s="39">
        <f t="shared" si="3"/>
        <v>0.01936818353</v>
      </c>
      <c r="G45" s="72" t="s">
        <v>26</v>
      </c>
      <c r="H45" s="72" t="s">
        <v>26</v>
      </c>
      <c r="I45" s="54" t="str">
        <f>HYPERLINK("https://covid19.rs/homepage-english/","Source")</f>
        <v>Source</v>
      </c>
      <c r="J45" s="66"/>
      <c r="K45" s="47" t="s">
        <v>19</v>
      </c>
      <c r="L45" s="43">
        <v>4873.0</v>
      </c>
      <c r="M45" s="58">
        <v>99.0</v>
      </c>
      <c r="N45" s="29"/>
      <c r="O45" s="29"/>
      <c r="P45" s="29"/>
    </row>
    <row r="46" ht="30.0" customHeight="1">
      <c r="A46" s="40" t="s">
        <v>124</v>
      </c>
      <c r="B46" s="43">
        <v>5182.0</v>
      </c>
      <c r="C46" s="45">
        <f t="shared" si="1"/>
        <v>110</v>
      </c>
      <c r="D46" s="58">
        <v>84.0</v>
      </c>
      <c r="E46" s="48">
        <f t="shared" si="2"/>
        <v>1</v>
      </c>
      <c r="F46" s="60">
        <f t="shared" si="3"/>
        <v>0.01620995755</v>
      </c>
      <c r="G46" s="72">
        <v>56.0</v>
      </c>
      <c r="H46" s="51">
        <v>2766.0</v>
      </c>
      <c r="I46" s="54" t="str">
        <f>HYPERLINK("https://twitter.com/KKMPutrajaya/status/1250720400578732033","Source")</f>
        <v>Source</v>
      </c>
      <c r="J46" s="66"/>
      <c r="K46" s="47" t="s">
        <v>19</v>
      </c>
      <c r="L46" s="43">
        <v>5072.0</v>
      </c>
      <c r="M46" s="58">
        <v>83.0</v>
      </c>
      <c r="N46" s="29"/>
      <c r="O46" s="29"/>
      <c r="P46" s="29"/>
    </row>
    <row r="47" ht="30.0" customHeight="1">
      <c r="A47" s="40" t="s">
        <v>126</v>
      </c>
      <c r="B47" s="43">
        <v>4427.0</v>
      </c>
      <c r="C47" s="45">
        <f t="shared" si="1"/>
        <v>728</v>
      </c>
      <c r="D47" s="58">
        <v>10.0</v>
      </c>
      <c r="E47" s="48">
        <f t="shared" si="2"/>
        <v>0</v>
      </c>
      <c r="F47" s="39">
        <f t="shared" si="3"/>
        <v>0.002258866049</v>
      </c>
      <c r="G47" s="72">
        <v>23.0</v>
      </c>
      <c r="H47" s="72">
        <v>683.0</v>
      </c>
      <c r="I47" s="54" t="str">
        <f>HYPERLINK("https://www.moh.gov.sg/news-highlights/details/31-more-cases-discharged-728-new-cases-of-covid-19-infection-confirmed","Source")</f>
        <v>Source</v>
      </c>
      <c r="J47" s="66"/>
      <c r="K47" s="36"/>
      <c r="L47" s="43">
        <v>3699.0</v>
      </c>
      <c r="M47" s="58">
        <v>10.0</v>
      </c>
      <c r="N47" s="29"/>
      <c r="O47" s="29"/>
      <c r="P47" s="29"/>
    </row>
    <row r="48" ht="30.0" customHeight="1">
      <c r="A48" s="40" t="s">
        <v>129</v>
      </c>
      <c r="B48" s="43">
        <v>4204.0</v>
      </c>
      <c r="C48" s="45">
        <f t="shared" si="1"/>
        <v>476</v>
      </c>
      <c r="D48" s="58">
        <v>40.0</v>
      </c>
      <c r="E48" s="48">
        <f t="shared" si="2"/>
        <v>4</v>
      </c>
      <c r="F48" s="39">
        <f t="shared" si="3"/>
        <v>0.009514747859</v>
      </c>
      <c r="G48" s="72">
        <v>65.0</v>
      </c>
      <c r="H48" s="72">
        <v>203.0</v>
      </c>
      <c r="I48" s="54" t="str">
        <f>HYPERLINK("https://people.onliner.by/2020/04/16/koronavirus-99","Source")</f>
        <v>Source</v>
      </c>
      <c r="J48" s="66"/>
      <c r="K48" s="47" t="s">
        <v>19</v>
      </c>
      <c r="L48" s="43">
        <v>3728.0</v>
      </c>
      <c r="M48" s="58">
        <v>36.0</v>
      </c>
      <c r="N48" s="29"/>
      <c r="O48" s="29"/>
      <c r="P48" s="29"/>
    </row>
    <row r="49" ht="30.0" customHeight="1">
      <c r="A49" s="40" t="s">
        <v>132</v>
      </c>
      <c r="B49" s="43">
        <v>4161.0</v>
      </c>
      <c r="C49" s="45">
        <f t="shared" si="1"/>
        <v>397</v>
      </c>
      <c r="D49" s="58">
        <v>116.0</v>
      </c>
      <c r="E49" s="48">
        <f t="shared" si="2"/>
        <v>8</v>
      </c>
      <c r="F49" s="60">
        <f t="shared" si="3"/>
        <v>0.02787791396</v>
      </c>
      <c r="G49" s="72" t="s">
        <v>26</v>
      </c>
      <c r="H49" s="72">
        <v>186.0</v>
      </c>
      <c r="I49" s="54" t="str">
        <f>HYPERLINK("https://t.me/s/COVID19_Ukraine","Source")</f>
        <v>Source</v>
      </c>
      <c r="J49" s="66"/>
      <c r="K49" s="47" t="s">
        <v>19</v>
      </c>
      <c r="L49" s="43">
        <v>3764.0</v>
      </c>
      <c r="M49" s="58">
        <v>108.0</v>
      </c>
      <c r="N49" s="29"/>
      <c r="O49" s="29"/>
      <c r="P49" s="29"/>
    </row>
    <row r="50" ht="30.0" customHeight="1">
      <c r="A50" s="40" t="s">
        <v>134</v>
      </c>
      <c r="B50" s="43">
        <v>4103.0</v>
      </c>
      <c r="C50" s="45">
        <f t="shared" si="1"/>
        <v>392</v>
      </c>
      <c r="D50" s="58">
        <v>7.0</v>
      </c>
      <c r="E50" s="48">
        <f t="shared" si="2"/>
        <v>0</v>
      </c>
      <c r="F50" s="39">
        <f t="shared" si="3"/>
        <v>0.00170606873</v>
      </c>
      <c r="G50" s="72" t="s">
        <v>26</v>
      </c>
      <c r="H50" s="72">
        <v>415.0</v>
      </c>
      <c r="I50" s="54" t="str">
        <f>HYPERLINK("https://twitter.com/MOPHQatar/status/1250748844368957445","Source")</f>
        <v>Source</v>
      </c>
      <c r="J50" s="28"/>
      <c r="K50" s="36"/>
      <c r="L50" s="43">
        <v>3711.0</v>
      </c>
      <c r="M50" s="58">
        <v>7.0</v>
      </c>
      <c r="N50" s="29"/>
      <c r="O50" s="29"/>
      <c r="P50" s="29"/>
    </row>
    <row r="51" ht="30.0" customHeight="1">
      <c r="A51" s="40" t="s">
        <v>136</v>
      </c>
      <c r="B51" s="43">
        <v>3755.0</v>
      </c>
      <c r="C51" s="45">
        <f t="shared" si="1"/>
        <v>141</v>
      </c>
      <c r="D51" s="58">
        <v>196.0</v>
      </c>
      <c r="E51" s="48">
        <f t="shared" si="2"/>
        <v>7</v>
      </c>
      <c r="F51" s="60">
        <f t="shared" si="3"/>
        <v>0.05219707057</v>
      </c>
      <c r="G51" s="72" t="s">
        <v>26</v>
      </c>
      <c r="H51" s="72">
        <v>215.0</v>
      </c>
      <c r="I51" s="54" t="str">
        <f>HYPERLINK("https://twitter.com/SaludPublicaRD/status/1250804083008638983","Source")</f>
        <v>Source</v>
      </c>
      <c r="J51" s="98"/>
      <c r="K51" s="47" t="s">
        <v>19</v>
      </c>
      <c r="L51" s="43">
        <v>3614.0</v>
      </c>
      <c r="M51" s="58">
        <v>189.0</v>
      </c>
      <c r="N51" s="29"/>
      <c r="O51" s="29"/>
      <c r="P51" s="29"/>
    </row>
    <row r="52" ht="27.75" customHeight="1">
      <c r="A52" s="40" t="s">
        <v>138</v>
      </c>
      <c r="B52" s="43">
        <v>3751.0</v>
      </c>
      <c r="C52" s="45">
        <f t="shared" si="1"/>
        <v>0</v>
      </c>
      <c r="D52" s="58">
        <v>103.0</v>
      </c>
      <c r="E52" s="48">
        <f t="shared" si="2"/>
        <v>0</v>
      </c>
      <c r="F52" s="60">
        <f t="shared" si="3"/>
        <v>0.02745934417</v>
      </c>
      <c r="G52" s="72">
        <v>105.0</v>
      </c>
      <c r="H52" s="72">
        <v>75.0</v>
      </c>
      <c r="I52" s="94" t="str">
        <f>HYPERLINK("https://twitter.com/MINSAPma/status/1250570373533483008","Source")</f>
        <v>Source</v>
      </c>
      <c r="J52" s="28"/>
      <c r="K52" s="47" t="s">
        <v>19</v>
      </c>
      <c r="L52" s="43">
        <v>3751.0</v>
      </c>
      <c r="M52" s="58">
        <v>103.0</v>
      </c>
      <c r="N52" s="29"/>
      <c r="O52" s="29"/>
      <c r="P52" s="29"/>
    </row>
    <row r="53" ht="30.0" customHeight="1">
      <c r="A53" s="40" t="s">
        <v>141</v>
      </c>
      <c r="B53" s="43">
        <v>3444.0</v>
      </c>
      <c r="C53" s="45">
        <f t="shared" si="1"/>
        <v>71</v>
      </c>
      <c r="D53" s="58">
        <v>68.0</v>
      </c>
      <c r="E53" s="48">
        <f t="shared" si="2"/>
        <v>0</v>
      </c>
      <c r="F53" s="39">
        <f t="shared" si="3"/>
        <v>0.01974448316</v>
      </c>
      <c r="G53" s="72">
        <v>35.0</v>
      </c>
      <c r="H53" s="72">
        <v>552.0</v>
      </c>
      <c r="I53" s="94" t="str">
        <f>HYPERLINK("https://gouvernement.lu/fr/dossiers.gouv_msan+fr+dossiers+2020+corona-virus.html","Source")</f>
        <v>Source</v>
      </c>
      <c r="J53" s="66"/>
      <c r="K53" s="47" t="s">
        <v>19</v>
      </c>
      <c r="L53" s="43">
        <v>3373.0</v>
      </c>
      <c r="M53" s="58">
        <v>68.0</v>
      </c>
      <c r="N53" s="29"/>
      <c r="O53" s="29"/>
      <c r="P53" s="29"/>
    </row>
    <row r="54" ht="30.0" customHeight="1">
      <c r="A54" s="40" t="s">
        <v>143</v>
      </c>
      <c r="B54" s="43">
        <v>3369.0</v>
      </c>
      <c r="C54" s="45">
        <f t="shared" si="1"/>
        <v>132</v>
      </c>
      <c r="D54" s="58">
        <v>75.0</v>
      </c>
      <c r="E54" s="48">
        <f t="shared" si="2"/>
        <v>3</v>
      </c>
      <c r="F54" s="39">
        <f t="shared" si="3"/>
        <v>0.02226179875</v>
      </c>
      <c r="G54" s="72">
        <v>76.0</v>
      </c>
      <c r="H54" s="51">
        <v>1700.0</v>
      </c>
      <c r="I54" s="99" t="str">
        <f>HYPERLINK("https://thl.fi/fi/web/infektiotaudit-ja-rokotukset/ajankohtaista/ajankohtaista-koronaviruksesta-covid-19/tilannekatsaus-koronaviruksesta","Source")</f>
        <v>Source</v>
      </c>
      <c r="J54" s="66"/>
      <c r="K54" s="47" t="s">
        <v>19</v>
      </c>
      <c r="L54" s="43">
        <v>3237.0</v>
      </c>
      <c r="M54" s="58">
        <v>72.0</v>
      </c>
      <c r="N54" s="29"/>
      <c r="O54" s="29"/>
      <c r="P54" s="29"/>
    </row>
    <row r="55" ht="27.75" customHeight="1">
      <c r="A55" s="40" t="s">
        <v>146</v>
      </c>
      <c r="B55" s="43">
        <v>3233.0</v>
      </c>
      <c r="C55" s="45">
        <f t="shared" si="1"/>
        <v>128</v>
      </c>
      <c r="D55" s="58">
        <v>144.0</v>
      </c>
      <c r="E55" s="48">
        <f t="shared" si="2"/>
        <v>13</v>
      </c>
      <c r="F55" s="39">
        <f t="shared" si="3"/>
        <v>0.0445406743</v>
      </c>
      <c r="G55" s="72" t="s">
        <v>26</v>
      </c>
      <c r="H55" s="72">
        <v>550.0</v>
      </c>
      <c r="I55" s="94" t="str">
        <f>HYPERLINK("https://twitter.com/MinSaludCol/status/1250896040657588226","Source")</f>
        <v>Source</v>
      </c>
      <c r="J55" s="66"/>
      <c r="K55" s="36"/>
      <c r="L55" s="43">
        <v>3105.0</v>
      </c>
      <c r="M55" s="58">
        <v>131.0</v>
      </c>
      <c r="N55" s="29"/>
      <c r="O55" s="29"/>
      <c r="P55" s="29"/>
    </row>
    <row r="56" ht="30.0" customHeight="1">
      <c r="A56" s="40" t="s">
        <v>149</v>
      </c>
      <c r="B56" s="43">
        <v>2673.0</v>
      </c>
      <c r="C56" s="45">
        <f t="shared" si="1"/>
        <v>168</v>
      </c>
      <c r="D56" s="58">
        <v>196.0</v>
      </c>
      <c r="E56" s="48">
        <f t="shared" si="2"/>
        <v>13</v>
      </c>
      <c r="F56" s="60">
        <f t="shared" si="3"/>
        <v>0.0733258511</v>
      </c>
      <c r="G56" s="72" t="s">
        <v>26</v>
      </c>
      <c r="H56" s="72">
        <v>596.0</v>
      </c>
      <c r="I56" s="94" t="str">
        <f>HYPERLINK("https://www.facebook.com/EgyMohpSpokes/photos/a.526422597694914/1150196641984170/?type=3&amp;__xts__%5B0%5D=68.ARBR1FvupS6KZbT1qnh6_lqg4_h1P1CqZeMnEhyrvSl2_hXnaFqQC3PbuZ8Zxa8n3Idh4JKOmUeMTH888nUIfLHVsRrW1kRQENmJMPlVEi8peR2WeLtqSPjqGbQvpFgkTAn-__JOla-deY2cFqDK"&amp;"bQFbas_7LKpJKr9Wo1KIvbLZe0_jDZpcGgWdhFeqLNlWPvAUVxKJ_0z5EKGRvLHcJFyIfx9JDAPokwvxInkxA2H8dCv0EIbtNhpVGebd6xmpkLa7Ezh3Da6MmHYQlADVQ3TW-5O9hKTdmsImmk0ua7Jx2NgGwoMvsrjggDsBE8B3vqegrplZ7kNKpOgYFlRQo_kQKg&amp;__tn__=-R","Source")</f>
        <v>Source</v>
      </c>
      <c r="J56" s="66"/>
      <c r="K56" s="47" t="s">
        <v>19</v>
      </c>
      <c r="L56" s="43">
        <v>2505.0</v>
      </c>
      <c r="M56" s="58">
        <v>183.0</v>
      </c>
      <c r="N56" s="29"/>
      <c r="O56" s="29"/>
      <c r="P56" s="29"/>
    </row>
    <row r="57" ht="30.0" customHeight="1">
      <c r="A57" s="40" t="s">
        <v>153</v>
      </c>
      <c r="B57" s="43">
        <v>2672.0</v>
      </c>
      <c r="C57" s="45">
        <f t="shared" si="1"/>
        <v>29</v>
      </c>
      <c r="D57" s="58">
        <v>46.0</v>
      </c>
      <c r="E57" s="48">
        <f t="shared" si="2"/>
        <v>3</v>
      </c>
      <c r="F57" s="60">
        <f t="shared" si="3"/>
        <v>0.01721556886</v>
      </c>
      <c r="G57" s="72" t="s">
        <v>26</v>
      </c>
      <c r="H57" s="51">
        <v>1593.0</v>
      </c>
      <c r="I57" s="54" t="str">
        <f>HYPERLINK("https://www.thaienquirer.com/11634/thailand-discovers-29-new-coronavirus-infections-government-says-not-enough-money-for-aid-program/","Source")</f>
        <v>Source</v>
      </c>
      <c r="J57" s="66"/>
      <c r="K57" s="47" t="s">
        <v>19</v>
      </c>
      <c r="L57" s="43">
        <v>2643.0</v>
      </c>
      <c r="M57" s="58">
        <v>43.0</v>
      </c>
      <c r="N57" s="29"/>
      <c r="O57" s="29"/>
      <c r="P57" s="29"/>
    </row>
    <row r="58" ht="27.75" customHeight="1">
      <c r="A58" s="40" t="s">
        <v>157</v>
      </c>
      <c r="B58" s="43">
        <v>2669.0</v>
      </c>
      <c r="C58" s="45">
        <f t="shared" si="1"/>
        <v>98</v>
      </c>
      <c r="D58" s="58">
        <v>122.0</v>
      </c>
      <c r="E58" s="48">
        <f t="shared" si="2"/>
        <v>7</v>
      </c>
      <c r="F58" s="39">
        <f t="shared" si="3"/>
        <v>0.04571000375</v>
      </c>
      <c r="G58" s="72">
        <v>113.0</v>
      </c>
      <c r="H58" s="72">
        <v>631.0</v>
      </c>
      <c r="I58" s="94" t="str">
        <f>HYPERLINK("https://www.argentina.gob.ar/sites/default/files/16-04-20_reporte_matutino_covid_19.pdf","Source")</f>
        <v>Source</v>
      </c>
      <c r="J58" s="28"/>
      <c r="K58" s="47" t="s">
        <v>71</v>
      </c>
      <c r="L58" s="43">
        <v>2571.0</v>
      </c>
      <c r="M58" s="58">
        <v>115.0</v>
      </c>
      <c r="N58" s="29"/>
      <c r="O58" s="29"/>
      <c r="P58" s="29"/>
    </row>
    <row r="59" ht="27.75" customHeight="1">
      <c r="A59" s="40" t="s">
        <v>160</v>
      </c>
      <c r="B59" s="43">
        <v>2605.0</v>
      </c>
      <c r="C59" s="45">
        <f t="shared" si="1"/>
        <v>99</v>
      </c>
      <c r="D59" s="58">
        <v>48.0</v>
      </c>
      <c r="E59" s="48">
        <f t="shared" si="2"/>
        <v>14</v>
      </c>
      <c r="F59" s="60">
        <f t="shared" si="3"/>
        <v>0.01842610365</v>
      </c>
      <c r="G59" s="72" t="s">
        <v>26</v>
      </c>
      <c r="H59" s="72">
        <v>903.0</v>
      </c>
      <c r="I59" s="54" t="str">
        <f>HYPERLINK("https://twitter.com/DrZweliMkhize/status/1250854262910976000","Source")</f>
        <v>Source</v>
      </c>
      <c r="J59" s="66"/>
      <c r="K59" s="47" t="s">
        <v>19</v>
      </c>
      <c r="L59" s="43">
        <v>2506.0</v>
      </c>
      <c r="M59" s="58">
        <v>34.0</v>
      </c>
      <c r="N59" s="29"/>
      <c r="O59" s="29"/>
      <c r="P59" s="29"/>
    </row>
    <row r="60" ht="30.0" customHeight="1">
      <c r="A60" s="40" t="s">
        <v>163</v>
      </c>
      <c r="B60" s="43">
        <v>2283.0</v>
      </c>
      <c r="C60" s="45">
        <f t="shared" si="1"/>
        <v>259</v>
      </c>
      <c r="D60" s="58">
        <v>130.0</v>
      </c>
      <c r="E60" s="48">
        <f t="shared" si="2"/>
        <v>3</v>
      </c>
      <c r="F60" s="60">
        <f t="shared" si="3"/>
        <v>0.05694261936</v>
      </c>
      <c r="G60" s="72" t="s">
        <v>26</v>
      </c>
      <c r="H60" s="72">
        <v>249.0</v>
      </c>
      <c r="I60" s="54" t="str">
        <f>HYPERLINK("http://www.covidmaroc.ma/Pages/AccueilAR.aspx","Source")</f>
        <v>Source</v>
      </c>
      <c r="J60" s="65"/>
      <c r="K60" s="47" t="s">
        <v>111</v>
      </c>
      <c r="L60" s="43">
        <v>2024.0</v>
      </c>
      <c r="M60" s="58">
        <v>127.0</v>
      </c>
      <c r="N60" s="29"/>
      <c r="O60" s="29"/>
      <c r="P60" s="29"/>
    </row>
    <row r="61" ht="30.0" customHeight="1">
      <c r="A61" s="40" t="s">
        <v>166</v>
      </c>
      <c r="B61" s="43">
        <v>2268.0</v>
      </c>
      <c r="C61" s="45">
        <f t="shared" si="1"/>
        <v>108</v>
      </c>
      <c r="D61" s="58">
        <v>348.0</v>
      </c>
      <c r="E61" s="48">
        <f t="shared" si="2"/>
        <v>12</v>
      </c>
      <c r="F61" s="39">
        <f t="shared" si="3"/>
        <v>0.1534391534</v>
      </c>
      <c r="G61" s="72">
        <v>59.0</v>
      </c>
      <c r="H61" s="72">
        <v>783.0</v>
      </c>
      <c r="I61" s="54" t="str">
        <f>HYPERLINK("http://www.aps.dz/algerie/104107-coronavirus-108-nouveaux-cas-confirmes-et-12-nouveaux-deces-en-algerie","Source")</f>
        <v>Source</v>
      </c>
      <c r="J61" s="66"/>
      <c r="K61" s="47" t="s">
        <v>19</v>
      </c>
      <c r="L61" s="43">
        <v>2160.0</v>
      </c>
      <c r="M61" s="58">
        <v>336.0</v>
      </c>
      <c r="N61" s="29"/>
      <c r="O61" s="29"/>
      <c r="P61" s="29"/>
    </row>
    <row r="62" ht="30.0" customHeight="1">
      <c r="A62" s="40" t="s">
        <v>169</v>
      </c>
      <c r="B62" s="43">
        <v>2207.0</v>
      </c>
      <c r="C62" s="45">
        <f t="shared" si="1"/>
        <v>15</v>
      </c>
      <c r="D62" s="58">
        <v>105.0</v>
      </c>
      <c r="E62" s="48">
        <f t="shared" si="2"/>
        <v>3</v>
      </c>
      <c r="F62" s="60">
        <f t="shared" si="3"/>
        <v>0.04757589488</v>
      </c>
      <c r="G62" s="72">
        <v>69.0</v>
      </c>
      <c r="H62" s="72">
        <v>269.0</v>
      </c>
      <c r="I62" s="54" t="str">
        <f>HYPERLINK("https://covid19.gov.gr/covid19-live-analytics/","Source")</f>
        <v>Source</v>
      </c>
      <c r="J62" s="66"/>
      <c r="K62" s="47" t="s">
        <v>19</v>
      </c>
      <c r="L62" s="43">
        <v>2192.0</v>
      </c>
      <c r="M62" s="58">
        <v>102.0</v>
      </c>
      <c r="N62" s="29"/>
      <c r="O62" s="29"/>
      <c r="P62" s="29"/>
    </row>
    <row r="63" ht="27.75" customHeight="1">
      <c r="A63" s="40" t="s">
        <v>172</v>
      </c>
      <c r="B63" s="43">
        <v>2154.0</v>
      </c>
      <c r="C63" s="45">
        <f t="shared" si="1"/>
        <v>105</v>
      </c>
      <c r="D63" s="58">
        <v>54.0</v>
      </c>
      <c r="E63" s="48">
        <f t="shared" si="2"/>
        <v>8</v>
      </c>
      <c r="F63" s="60">
        <f t="shared" si="3"/>
        <v>0.02506963788</v>
      </c>
      <c r="G63" s="72" t="s">
        <v>26</v>
      </c>
      <c r="H63" s="72">
        <v>235.0</v>
      </c>
      <c r="I63" s="54" t="str">
        <f>HYPERLINK("https://gismoldova.maps.arcgis.com/apps/opsdashboard/index.html#/d274da857ed345efa66e1fbc959b021b","Source")</f>
        <v>Source</v>
      </c>
      <c r="J63" s="66"/>
      <c r="K63" s="47" t="s">
        <v>19</v>
      </c>
      <c r="L63" s="43">
        <v>2049.0</v>
      </c>
      <c r="M63" s="58">
        <v>46.0</v>
      </c>
      <c r="N63" s="29"/>
      <c r="O63" s="29"/>
      <c r="P63" s="29"/>
    </row>
    <row r="64" ht="30.0" customHeight="1">
      <c r="A64" s="40" t="s">
        <v>174</v>
      </c>
      <c r="B64" s="43">
        <v>1791.0</v>
      </c>
      <c r="C64" s="45">
        <f t="shared" si="1"/>
        <v>50</v>
      </c>
      <c r="D64" s="58">
        <v>35.0</v>
      </c>
      <c r="E64" s="48">
        <f t="shared" si="2"/>
        <v>2</v>
      </c>
      <c r="F64" s="39">
        <f t="shared" si="3"/>
        <v>0.01954215522</v>
      </c>
      <c r="G64" s="72">
        <v>31.0</v>
      </c>
      <c r="H64" s="72">
        <v>529.0</v>
      </c>
      <c r="I64" s="54" t="str">
        <f>HYPERLINK("https://www.koronavirus.hr/najnovije/ukupno-dosad-1791-osoba-zarazena-koronavirusom/35","Source")</f>
        <v>Source</v>
      </c>
      <c r="J64" s="91"/>
      <c r="K64" s="47" t="s">
        <v>19</v>
      </c>
      <c r="L64" s="43">
        <v>1741.0</v>
      </c>
      <c r="M64" s="58">
        <v>33.0</v>
      </c>
      <c r="N64" s="29"/>
      <c r="O64" s="29"/>
      <c r="P64" s="29"/>
    </row>
    <row r="65" ht="30.0" customHeight="1">
      <c r="A65" s="40" t="s">
        <v>177</v>
      </c>
      <c r="B65" s="43">
        <v>1739.0</v>
      </c>
      <c r="C65" s="45">
        <f t="shared" si="1"/>
        <v>12</v>
      </c>
      <c r="D65" s="58">
        <v>8.0</v>
      </c>
      <c r="E65" s="48">
        <f t="shared" si="2"/>
        <v>0</v>
      </c>
      <c r="F65" s="39">
        <f t="shared" si="3"/>
        <v>0.004600345026</v>
      </c>
      <c r="G65" s="72">
        <v>6.0</v>
      </c>
      <c r="H65" s="51">
        <v>1144.0</v>
      </c>
      <c r="I65" s="54" t="str">
        <f>HYPERLINK("https://www.covid.is/tolulegar-upplysingar","Source")</f>
        <v>Source</v>
      </c>
      <c r="J65" s="100"/>
      <c r="K65" s="47" t="s">
        <v>19</v>
      </c>
      <c r="L65" s="43">
        <v>1727.0</v>
      </c>
      <c r="M65" s="58">
        <v>8.0</v>
      </c>
      <c r="N65" s="29"/>
      <c r="O65" s="29"/>
      <c r="P65" s="29"/>
    </row>
    <row r="66" ht="30.0" customHeight="1">
      <c r="A66" s="40" t="s">
        <v>180</v>
      </c>
      <c r="B66" s="43">
        <v>1700.0</v>
      </c>
      <c r="C66" s="45">
        <f t="shared" si="1"/>
        <v>27</v>
      </c>
      <c r="D66" s="58">
        <v>7.0</v>
      </c>
      <c r="E66" s="48">
        <f t="shared" si="2"/>
        <v>0</v>
      </c>
      <c r="F66" s="39">
        <f t="shared" si="3"/>
        <v>0.004117647059</v>
      </c>
      <c r="G66" s="72">
        <v>3.0</v>
      </c>
      <c r="H66" s="72">
        <v>703.0</v>
      </c>
      <c r="I66" s="54" t="str">
        <f>HYPERLINK("https://www.moh.gov.bh/COVID19","Source")</f>
        <v>Source</v>
      </c>
      <c r="J66" s="91"/>
      <c r="K66" s="47" t="s">
        <v>19</v>
      </c>
      <c r="L66" s="43">
        <v>1673.0</v>
      </c>
      <c r="M66" s="58">
        <v>7.0</v>
      </c>
      <c r="N66" s="29"/>
      <c r="O66" s="29"/>
      <c r="P66" s="29"/>
    </row>
    <row r="67" ht="30.0" customHeight="1">
      <c r="A67" s="40" t="s">
        <v>183</v>
      </c>
      <c r="B67" s="43">
        <v>1652.0</v>
      </c>
      <c r="C67" s="45">
        <f t="shared" si="1"/>
        <v>73</v>
      </c>
      <c r="D67" s="58">
        <v>142.0</v>
      </c>
      <c r="E67" s="48">
        <f t="shared" si="2"/>
        <v>8</v>
      </c>
      <c r="F67" s="39">
        <f t="shared" si="3"/>
        <v>0.08595641646</v>
      </c>
      <c r="G67" s="72" t="s">
        <v>26</v>
      </c>
      <c r="H67" s="72">
        <v>199.0</v>
      </c>
      <c r="I67" s="54" t="str">
        <f>HYPERLINK("https://koronavirus.gov.hu/cikkek/1652-fore-nott-beazonositott-fertozottek-szama-es-elhunyt-8-beteg","Source")</f>
        <v>Source</v>
      </c>
      <c r="J67" s="66"/>
      <c r="K67" s="47" t="s">
        <v>19</v>
      </c>
      <c r="L67" s="43">
        <v>1579.0</v>
      </c>
      <c r="M67" s="58">
        <v>134.0</v>
      </c>
      <c r="N67" s="29"/>
      <c r="O67" s="29"/>
      <c r="P67" s="29"/>
    </row>
    <row r="68" ht="27.75" customHeight="1">
      <c r="A68" s="40" t="s">
        <v>186</v>
      </c>
      <c r="B68" s="43">
        <v>1572.0</v>
      </c>
      <c r="C68" s="45">
        <f t="shared" si="1"/>
        <v>341</v>
      </c>
      <c r="D68" s="58">
        <v>60.0</v>
      </c>
      <c r="E68" s="48">
        <f t="shared" si="2"/>
        <v>10</v>
      </c>
      <c r="F68" s="60">
        <f t="shared" si="3"/>
        <v>0.03816793893</v>
      </c>
      <c r="G68" s="72" t="s">
        <v>26</v>
      </c>
      <c r="H68" s="72">
        <v>49.0</v>
      </c>
      <c r="I68" s="54" t="str">
        <f>HYPERLINK("https://www.thedailystar.net/coronavirus-deadly-new-threat/news/10-more-coronavirus-patients-die-341-test-positive-24hrs-dghs-1893466","Source")</f>
        <v>Source</v>
      </c>
      <c r="J68" s="66"/>
      <c r="K68" s="36"/>
      <c r="L68" s="43">
        <v>1231.0</v>
      </c>
      <c r="M68" s="58">
        <v>50.0</v>
      </c>
      <c r="N68" s="29"/>
      <c r="O68" s="29"/>
      <c r="P68" s="29"/>
    </row>
    <row r="69" ht="30.0" customHeight="1">
      <c r="A69" s="40" t="s">
        <v>188</v>
      </c>
      <c r="B69" s="43">
        <v>1524.0</v>
      </c>
      <c r="C69" s="45">
        <f t="shared" si="1"/>
        <v>119</v>
      </c>
      <c r="D69" s="58">
        <v>3.0</v>
      </c>
      <c r="E69" s="48">
        <f t="shared" si="2"/>
        <v>0</v>
      </c>
      <c r="F69" s="39">
        <f t="shared" si="3"/>
        <v>0.001968503937</v>
      </c>
      <c r="G69" s="72">
        <v>32.0</v>
      </c>
      <c r="H69" s="72">
        <v>228.0</v>
      </c>
      <c r="I69" s="54" t="str">
        <f>HYPERLINK("https://twitter.com/KUWAIT_MOH/status/1250718977841598464","Source")</f>
        <v>Source</v>
      </c>
      <c r="J69" s="66"/>
      <c r="K69" s="47" t="s">
        <v>19</v>
      </c>
      <c r="L69" s="43">
        <v>1405.0</v>
      </c>
      <c r="M69" s="58">
        <v>3.0</v>
      </c>
      <c r="N69" s="29"/>
      <c r="O69" s="29"/>
      <c r="P69" s="29"/>
    </row>
    <row r="70" ht="30.0" customHeight="1">
      <c r="A70" s="40" t="s">
        <v>191</v>
      </c>
      <c r="B70" s="43">
        <v>1434.0</v>
      </c>
      <c r="C70" s="45">
        <f t="shared" si="1"/>
        <v>34</v>
      </c>
      <c r="D70" s="58">
        <v>36.0</v>
      </c>
      <c r="E70" s="48">
        <f t="shared" si="2"/>
        <v>1</v>
      </c>
      <c r="F70" s="39">
        <f t="shared" si="3"/>
        <v>0.02510460251</v>
      </c>
      <c r="G70" s="72" t="s">
        <v>26</v>
      </c>
      <c r="H70" s="72">
        <v>133.0</v>
      </c>
      <c r="I70" s="94" t="str">
        <f>HYPERLINK("https://www.terviseamet.ee/et/uudised/oopaevaga-lisandus-42-positiivset-testi","Source")</f>
        <v>Source</v>
      </c>
      <c r="J70" s="66"/>
      <c r="K70" s="47" t="s">
        <v>19</v>
      </c>
      <c r="L70" s="43">
        <v>1400.0</v>
      </c>
      <c r="M70" s="58">
        <v>35.0</v>
      </c>
      <c r="N70" s="29"/>
      <c r="O70" s="29"/>
      <c r="P70" s="29"/>
    </row>
    <row r="71" ht="30.0" customHeight="1">
      <c r="A71" s="40" t="s">
        <v>192</v>
      </c>
      <c r="B71" s="43">
        <v>1434.0</v>
      </c>
      <c r="C71" s="45">
        <f t="shared" si="1"/>
        <v>19</v>
      </c>
      <c r="D71" s="58">
        <v>80.0</v>
      </c>
      <c r="E71" s="48">
        <f t="shared" si="2"/>
        <v>1</v>
      </c>
      <c r="F71" s="60">
        <f t="shared" si="3"/>
        <v>0.05578800558</v>
      </c>
      <c r="G71" s="72" t="s">
        <v>26</v>
      </c>
      <c r="H71" s="72">
        <v>856.0</v>
      </c>
      <c r="I71" s="54" t="str">
        <f>HYPERLINK("https://www.facebook.com/MOH.GOV.IQ/photos/a.860171854037214/2876616945726018/?type=3&amp;__xts__%5B0%5D=68.ARC63VOrsNfmKWB4CygzE_tka8gC3sX7cvtLKJXNVwEGhe2asYtcAduvD-GJxdR7KxGQuhJSnO_mySs3WRVMg5eoncTGjX9GZ7tt0acGWxeVgLvn2wzyt7X06Xdootp9W4NWf33BtJlZnlciO0tPou5"&amp;"rzDcQ-FHHaNrtwQZOtAlKYsamSv7o9NgWA7d96lepokHNuahRNQI9tw5LW_m4xoTwmotcH2k_cNM_ku321FLh-nBSMOoJ0Niav_49goQmOqgxFxl2wnQLVilUyIP1OEvHTKCAubGyv9n6nLxgpLVi4WXt31pxTD4Vx5wiE2qi_QQ0Brzi7jz25kPp0myp9SeMzQ&amp;__tn__=-R","Source")</f>
        <v>Source</v>
      </c>
      <c r="J71" s="66"/>
      <c r="K71" s="47" t="s">
        <v>19</v>
      </c>
      <c r="L71" s="43">
        <v>1415.0</v>
      </c>
      <c r="M71" s="58">
        <v>79.0</v>
      </c>
      <c r="N71" s="29"/>
      <c r="O71" s="29"/>
      <c r="P71" s="29"/>
    </row>
    <row r="72" ht="30.0" customHeight="1">
      <c r="A72" s="40" t="s">
        <v>194</v>
      </c>
      <c r="B72" s="43">
        <v>1409.0</v>
      </c>
      <c r="C72" s="45">
        <f t="shared" si="1"/>
        <v>8</v>
      </c>
      <c r="D72" s="58">
        <v>11.0</v>
      </c>
      <c r="E72" s="48">
        <f t="shared" si="2"/>
        <v>2</v>
      </c>
      <c r="F72" s="39">
        <f t="shared" si="3"/>
        <v>0.007806955287</v>
      </c>
      <c r="G72" s="72">
        <v>3.0</v>
      </c>
      <c r="H72" s="72">
        <v>816.0</v>
      </c>
      <c r="I72" s="54" t="str">
        <f>HYPERLINK("https://www.health.govt.nz/our-work/diseases-and-conditions/covid-19-novel-coronavirus/covid-19-current-situation/covid-19-current-cases","Source")</f>
        <v>Source</v>
      </c>
      <c r="J72" s="66"/>
      <c r="K72" s="36"/>
      <c r="L72" s="43">
        <v>1401.0</v>
      </c>
      <c r="M72" s="58">
        <v>9.0</v>
      </c>
      <c r="N72" s="29"/>
      <c r="O72" s="29"/>
      <c r="P72" s="29"/>
    </row>
    <row r="73" ht="30.0" customHeight="1">
      <c r="A73" s="40" t="s">
        <v>195</v>
      </c>
      <c r="B73" s="43">
        <v>1402.0</v>
      </c>
      <c r="C73" s="45">
        <f t="shared" si="1"/>
        <v>135</v>
      </c>
      <c r="D73" s="58">
        <v>17.0</v>
      </c>
      <c r="E73" s="48">
        <f t="shared" si="2"/>
        <v>2</v>
      </c>
      <c r="F73" s="60">
        <f t="shared" si="3"/>
        <v>0.01212553495</v>
      </c>
      <c r="G73" s="72" t="s">
        <v>26</v>
      </c>
      <c r="H73" s="72">
        <v>277.0</v>
      </c>
      <c r="I73" s="54" t="str">
        <f>HYPERLINK("https://www.coronavirus2020.kz/","Source")</f>
        <v>Source</v>
      </c>
      <c r="J73" s="65"/>
      <c r="K73" s="47" t="s">
        <v>196</v>
      </c>
      <c r="L73" s="43">
        <v>1267.0</v>
      </c>
      <c r="M73" s="58">
        <v>15.0</v>
      </c>
      <c r="N73" s="29"/>
      <c r="O73" s="29"/>
      <c r="P73" s="29"/>
    </row>
    <row r="74" ht="30.0" customHeight="1">
      <c r="A74" s="40" t="s">
        <v>198</v>
      </c>
      <c r="B74" s="43">
        <v>1349.0</v>
      </c>
      <c r="C74" s="45">
        <f t="shared" si="1"/>
        <v>47</v>
      </c>
      <c r="D74" s="58">
        <v>4.0</v>
      </c>
      <c r="E74" s="48">
        <f t="shared" si="2"/>
        <v>0</v>
      </c>
      <c r="F74" s="39">
        <f t="shared" si="3"/>
        <v>0.002965159377</v>
      </c>
      <c r="G74" s="72">
        <v>9.0</v>
      </c>
      <c r="H74" s="72">
        <v>129.0</v>
      </c>
      <c r="I74" s="54" t="str">
        <f>HYPERLINK("https://t.me/s/ssvuz","Source")</f>
        <v>Source</v>
      </c>
      <c r="J74" s="28"/>
      <c r="K74" s="47" t="s">
        <v>199</v>
      </c>
      <c r="L74" s="43">
        <v>1302.0</v>
      </c>
      <c r="M74" s="58">
        <v>4.0</v>
      </c>
      <c r="N74" s="29"/>
      <c r="O74" s="29"/>
      <c r="P74" s="29"/>
    </row>
    <row r="75" ht="30.0" customHeight="1">
      <c r="A75" s="40" t="s">
        <v>200</v>
      </c>
      <c r="B75" s="43">
        <v>1283.0</v>
      </c>
      <c r="C75" s="45">
        <f t="shared" si="1"/>
        <v>30</v>
      </c>
      <c r="D75" s="58">
        <v>15.0</v>
      </c>
      <c r="E75" s="48">
        <f t="shared" si="2"/>
        <v>2</v>
      </c>
      <c r="F75" s="39">
        <f t="shared" si="3"/>
        <v>0.0116913484</v>
      </c>
      <c r="G75" s="72">
        <v>24.0</v>
      </c>
      <c r="H75" s="72">
        <v>460.0</v>
      </c>
      <c r="I75" s="54" t="str">
        <f>HYPERLINK("https://koronavirusinfo.az/az/post/249","Source")</f>
        <v>Source</v>
      </c>
      <c r="J75" s="91"/>
      <c r="K75" s="36"/>
      <c r="L75" s="43">
        <v>1253.0</v>
      </c>
      <c r="M75" s="58">
        <v>13.0</v>
      </c>
      <c r="N75" s="29"/>
      <c r="O75" s="29"/>
      <c r="P75" s="29"/>
    </row>
    <row r="76" ht="27.75" customHeight="1">
      <c r="A76" s="40" t="s">
        <v>201</v>
      </c>
      <c r="B76" s="43">
        <v>1269.0</v>
      </c>
      <c r="C76" s="45">
        <f t="shared" si="1"/>
        <v>21</v>
      </c>
      <c r="D76" s="58">
        <v>61.0</v>
      </c>
      <c r="E76" s="48">
        <f t="shared" si="2"/>
        <v>0</v>
      </c>
      <c r="F76" s="60">
        <f t="shared" si="3"/>
        <v>0.04806934594</v>
      </c>
      <c r="G76" s="72">
        <v>31.0</v>
      </c>
      <c r="H76" s="72">
        <v>101.0</v>
      </c>
      <c r="I76" s="54" t="str">
        <f>HYPERLINK("https://www.gov.si/en/topics/coronavirus-disease-covid-19/","Source")</f>
        <v>Source</v>
      </c>
      <c r="J76" s="66"/>
      <c r="K76" s="47" t="s">
        <v>19</v>
      </c>
      <c r="L76" s="43">
        <v>1248.0</v>
      </c>
      <c r="M76" s="58">
        <v>61.0</v>
      </c>
      <c r="N76" s="29"/>
      <c r="O76" s="29"/>
      <c r="P76" s="29"/>
    </row>
    <row r="77" ht="27.75" customHeight="1">
      <c r="A77" s="40" t="s">
        <v>203</v>
      </c>
      <c r="B77" s="43">
        <v>1167.0</v>
      </c>
      <c r="C77" s="45">
        <f t="shared" si="1"/>
        <v>57</v>
      </c>
      <c r="D77" s="58">
        <v>43.0</v>
      </c>
      <c r="E77" s="48">
        <f t="shared" si="2"/>
        <v>2</v>
      </c>
      <c r="F77" s="39">
        <f t="shared" si="3"/>
        <v>0.03684661525</v>
      </c>
      <c r="G77" s="72" t="s">
        <v>26</v>
      </c>
      <c r="H77" s="72">
        <v>277.0</v>
      </c>
      <c r="I77" s="54" t="str">
        <f>HYPERLINK("http://mcp.gov.ba/?lang=en","Source")</f>
        <v>Source</v>
      </c>
      <c r="J77" s="66"/>
      <c r="K77" s="47" t="s">
        <v>19</v>
      </c>
      <c r="L77" s="43">
        <v>1110.0</v>
      </c>
      <c r="M77" s="58">
        <v>41.0</v>
      </c>
      <c r="N77" s="29"/>
      <c r="O77" s="29"/>
      <c r="P77" s="29"/>
    </row>
    <row r="78" ht="30.0" customHeight="1">
      <c r="A78" s="40" t="s">
        <v>206</v>
      </c>
      <c r="B78" s="43">
        <v>1159.0</v>
      </c>
      <c r="C78" s="45">
        <f t="shared" si="1"/>
        <v>48</v>
      </c>
      <c r="D78" s="58">
        <v>18.0</v>
      </c>
      <c r="E78" s="48">
        <f t="shared" si="2"/>
        <v>1</v>
      </c>
      <c r="F78" s="60">
        <f t="shared" si="3"/>
        <v>0.01553062985</v>
      </c>
      <c r="G78" s="72" t="s">
        <v>26</v>
      </c>
      <c r="H78" s="72">
        <v>358.0</v>
      </c>
      <c r="I78" s="54" t="str">
        <f>HYPERLINK("https://ncdc.am/coronavirus/confirmed-cases-by-days/?fbclid=IwAR3fg11-wJyhUCE8_-zmvL2eEI6Vlp-62L74qrfRwIyE4mOa67A0-v2eulQ","Source")</f>
        <v>Source</v>
      </c>
      <c r="J78" s="66"/>
      <c r="K78" s="36"/>
      <c r="L78" s="43">
        <v>1111.0</v>
      </c>
      <c r="M78" s="58">
        <v>17.0</v>
      </c>
      <c r="N78" s="29"/>
      <c r="O78" s="29"/>
      <c r="P78" s="29"/>
    </row>
    <row r="79" ht="30.0" customHeight="1">
      <c r="A79" s="40" t="s">
        <v>210</v>
      </c>
      <c r="B79" s="43">
        <v>1128.0</v>
      </c>
      <c r="C79" s="45">
        <f t="shared" si="1"/>
        <v>37</v>
      </c>
      <c r="D79" s="58">
        <v>30.0</v>
      </c>
      <c r="E79" s="48">
        <f t="shared" si="2"/>
        <v>1</v>
      </c>
      <c r="F79" s="39">
        <f t="shared" si="3"/>
        <v>0.02659574468</v>
      </c>
      <c r="G79" s="72" t="s">
        <v>26</v>
      </c>
      <c r="H79" s="72">
        <v>8.0</v>
      </c>
      <c r="I79" s="54" t="str">
        <f>HYPERLINK("http://sam.lrv.lt/koronavirusas","Source")</f>
        <v>Source</v>
      </c>
      <c r="J79" s="91"/>
      <c r="K79" s="47" t="s">
        <v>19</v>
      </c>
      <c r="L79" s="43">
        <v>1091.0</v>
      </c>
      <c r="M79" s="58">
        <v>29.0</v>
      </c>
      <c r="N79" s="29"/>
      <c r="O79" s="29"/>
      <c r="P79" s="29"/>
    </row>
    <row r="80" ht="30.0" customHeight="1">
      <c r="A80" s="40" t="s">
        <v>213</v>
      </c>
      <c r="B80" s="43">
        <v>1019.0</v>
      </c>
      <c r="C80" s="45">
        <f t="shared" si="1"/>
        <v>109</v>
      </c>
      <c r="D80" s="58">
        <v>4.0</v>
      </c>
      <c r="E80" s="48">
        <f t="shared" si="2"/>
        <v>0</v>
      </c>
      <c r="F80" s="39">
        <f t="shared" si="3"/>
        <v>0.003925417076</v>
      </c>
      <c r="G80" s="72">
        <v>0.0</v>
      </c>
      <c r="H80" s="72">
        <v>176.0</v>
      </c>
      <c r="I80" s="54" t="str">
        <f>HYPERLINK("https://twitter.com/OmaniMOH/status/1250676468860047360","Source")</f>
        <v>Source</v>
      </c>
      <c r="J80" s="91"/>
      <c r="K80" s="47" t="s">
        <v>19</v>
      </c>
      <c r="L80" s="58">
        <v>910.0</v>
      </c>
      <c r="M80" s="58">
        <v>4.0</v>
      </c>
      <c r="N80" s="29"/>
      <c r="O80" s="29"/>
      <c r="P80" s="29"/>
    </row>
    <row r="81" ht="30.0" customHeight="1">
      <c r="A81" s="40" t="s">
        <v>215</v>
      </c>
      <c r="B81" s="43">
        <v>1018.0</v>
      </c>
      <c r="C81" s="45">
        <f t="shared" si="1"/>
        <v>1</v>
      </c>
      <c r="D81" s="58">
        <v>4.0</v>
      </c>
      <c r="E81" s="48">
        <f t="shared" si="2"/>
        <v>0</v>
      </c>
      <c r="F81" s="60">
        <f t="shared" si="3"/>
        <v>0.003929273084</v>
      </c>
      <c r="G81" s="72">
        <v>9.0</v>
      </c>
      <c r="H81" s="72">
        <v>485.0</v>
      </c>
      <c r="I81" s="94" t="str">
        <f>HYPERLINK("https://chp-dashboard.geodata.gov.hk/covid-19/en.html","Source")</f>
        <v>Source</v>
      </c>
      <c r="J81" s="28"/>
      <c r="K81" s="47" t="s">
        <v>19</v>
      </c>
      <c r="L81" s="43">
        <v>1017.0</v>
      </c>
      <c r="M81" s="58">
        <v>4.0</v>
      </c>
      <c r="N81" s="29"/>
      <c r="O81" s="29"/>
      <c r="P81" s="29"/>
    </row>
    <row r="82" ht="30.0" customHeight="1">
      <c r="A82" s="40" t="s">
        <v>221</v>
      </c>
      <c r="B82" s="43">
        <v>1081.0</v>
      </c>
      <c r="C82" s="45">
        <f t="shared" si="1"/>
        <v>107</v>
      </c>
      <c r="D82" s="58">
        <v>46.0</v>
      </c>
      <c r="E82" s="48">
        <f t="shared" si="2"/>
        <v>1</v>
      </c>
      <c r="F82" s="60">
        <f t="shared" si="3"/>
        <v>0.04255319149</v>
      </c>
      <c r="G82" s="72">
        <v>2.0</v>
      </c>
      <c r="H82" s="72">
        <v>121.0</v>
      </c>
      <c r="I82" s="54" t="str">
        <f>HYPERLINK("https://twitter.com/ZdravstvoMK/status/1250794719178706945","Source")</f>
        <v>Source</v>
      </c>
      <c r="J82" s="66"/>
      <c r="K82" s="47" t="s">
        <v>19</v>
      </c>
      <c r="L82" s="58">
        <v>974.0</v>
      </c>
      <c r="M82" s="58">
        <v>45.0</v>
      </c>
      <c r="N82" s="29"/>
      <c r="O82" s="29"/>
      <c r="P82" s="29"/>
    </row>
    <row r="83" ht="30.0" customHeight="1">
      <c r="A83" s="40" t="s">
        <v>224</v>
      </c>
      <c r="B83" s="58">
        <v>977.0</v>
      </c>
      <c r="C83" s="45">
        <f t="shared" si="1"/>
        <v>114</v>
      </c>
      <c r="D83" s="58">
        <v>8.0</v>
      </c>
      <c r="E83" s="48">
        <f t="shared" si="2"/>
        <v>2</v>
      </c>
      <c r="F83" s="39">
        <f t="shared" si="3"/>
        <v>0.008188331627</v>
      </c>
      <c r="G83" s="72" t="s">
        <v>26</v>
      </c>
      <c r="H83" s="72">
        <v>167.0</v>
      </c>
      <c r="I83" s="54" t="str">
        <f>HYPERLINK("https://ezdravie.nczisk.sk/sk?category=COVID","Source")</f>
        <v>Source</v>
      </c>
      <c r="J83" s="66"/>
      <c r="K83" s="47" t="s">
        <v>19</v>
      </c>
      <c r="L83" s="58">
        <v>863.0</v>
      </c>
      <c r="M83" s="58">
        <v>6.0</v>
      </c>
      <c r="N83" s="29"/>
      <c r="O83" s="29"/>
      <c r="P83" s="29"/>
    </row>
    <row r="84" ht="27.75" customHeight="1">
      <c r="A84" s="40" t="s">
        <v>230</v>
      </c>
      <c r="B84" s="58">
        <v>922.0</v>
      </c>
      <c r="C84" s="45">
        <f t="shared" si="1"/>
        <v>74</v>
      </c>
      <c r="D84" s="58">
        <v>17.0</v>
      </c>
      <c r="E84" s="48">
        <f t="shared" si="2"/>
        <v>0</v>
      </c>
      <c r="F84" s="39">
        <f t="shared" si="3"/>
        <v>0.01843817787</v>
      </c>
      <c r="G84" s="72" t="s">
        <v>26</v>
      </c>
      <c r="H84" s="72">
        <v>165.0</v>
      </c>
      <c r="I84" s="54" t="str">
        <f>HYPERLINK("https://www.journalducameroun.com/","Source")</f>
        <v>Source</v>
      </c>
      <c r="J84" s="66"/>
      <c r="K84" s="47" t="s">
        <v>19</v>
      </c>
      <c r="L84" s="58">
        <v>848.0</v>
      </c>
      <c r="M84" s="58">
        <v>17.0</v>
      </c>
      <c r="N84" s="29"/>
      <c r="O84" s="29"/>
      <c r="P84" s="29"/>
    </row>
    <row r="85" ht="27.75" customHeight="1">
      <c r="A85" s="40" t="s">
        <v>236</v>
      </c>
      <c r="B85" s="58">
        <v>862.0</v>
      </c>
      <c r="C85" s="45">
        <f t="shared" si="1"/>
        <v>48</v>
      </c>
      <c r="D85" s="58">
        <v>27.0</v>
      </c>
      <c r="E85" s="48">
        <f t="shared" si="2"/>
        <v>3</v>
      </c>
      <c r="F85" s="39">
        <f t="shared" si="3"/>
        <v>0.0313225058</v>
      </c>
      <c r="G85" s="72">
        <v>16.0</v>
      </c>
      <c r="H85" s="72">
        <v>171.0</v>
      </c>
      <c r="I85" s="54" t="str">
        <f>HYPERLINK("https://twitter.com/MINSAPCuba/status/1250803531235328011","Source")</f>
        <v>Source</v>
      </c>
      <c r="J85" s="66"/>
      <c r="K85" s="47" t="s">
        <v>19</v>
      </c>
      <c r="L85" s="58">
        <v>814.0</v>
      </c>
      <c r="M85" s="58">
        <v>24.0</v>
      </c>
      <c r="N85" s="29"/>
      <c r="O85" s="29"/>
      <c r="P85" s="29"/>
    </row>
    <row r="86" ht="30.0" customHeight="1">
      <c r="A86" s="40" t="s">
        <v>241</v>
      </c>
      <c r="B86" s="58">
        <v>840.0</v>
      </c>
      <c r="C86" s="45">
        <f t="shared" si="1"/>
        <v>56</v>
      </c>
      <c r="D86" s="58">
        <v>30.0</v>
      </c>
      <c r="E86" s="48">
        <f t="shared" si="2"/>
        <v>1</v>
      </c>
      <c r="F86" s="60">
        <f t="shared" si="3"/>
        <v>0.03571428571</v>
      </c>
      <c r="G86" s="72" t="s">
        <v>26</v>
      </c>
      <c r="H86" s="72">
        <v>54.0</v>
      </c>
      <c r="I86" s="54" t="str">
        <f>HYPERLINK("https://uneplive.maps.arcgis.com/apps/opsdashboard/index.html#/4c8ca6b1d9bc44d6bde5e2fd54afc180","Source")</f>
        <v>Source</v>
      </c>
      <c r="J86" s="66"/>
      <c r="K86" s="36"/>
      <c r="L86" s="58">
        <v>784.0</v>
      </c>
      <c r="M86" s="58">
        <v>29.0</v>
      </c>
      <c r="N86" s="29"/>
      <c r="O86" s="29"/>
      <c r="P86" s="29"/>
    </row>
    <row r="87" ht="30.0" customHeight="1">
      <c r="A87" s="40" t="s">
        <v>245</v>
      </c>
      <c r="B87" s="58">
        <v>822.0</v>
      </c>
      <c r="C87" s="45">
        <f t="shared" si="1"/>
        <v>75</v>
      </c>
      <c r="D87" s="58">
        <v>37.0</v>
      </c>
      <c r="E87" s="48">
        <f t="shared" si="2"/>
        <v>3</v>
      </c>
      <c r="F87" s="39">
        <f t="shared" si="3"/>
        <v>0.04501216545</v>
      </c>
      <c r="G87" s="72" t="s">
        <v>26</v>
      </c>
      <c r="H87" s="72">
        <v>42.0</v>
      </c>
      <c r="I87" s="54" t="str">
        <f>HYPERLINK("https://www.facebook.com/santetunisie.rns.tn/photos/a.186499378055841/3029861353719615/?type=3&amp;theater","Source")</f>
        <v>Source</v>
      </c>
      <c r="J87" s="66"/>
      <c r="K87" s="36"/>
      <c r="L87" s="58">
        <v>747.0</v>
      </c>
      <c r="M87" s="58">
        <v>34.0</v>
      </c>
      <c r="N87" s="29"/>
      <c r="O87" s="29"/>
      <c r="P87" s="29"/>
    </row>
    <row r="88" ht="30.0" customHeight="1">
      <c r="A88" s="40" t="s">
        <v>249</v>
      </c>
      <c r="B88" s="58">
        <v>783.0</v>
      </c>
      <c r="C88" s="45">
        <f t="shared" si="1"/>
        <v>48</v>
      </c>
      <c r="D88" s="58">
        <v>37.0</v>
      </c>
      <c r="E88" s="48">
        <f t="shared" si="2"/>
        <v>1</v>
      </c>
      <c r="F88" s="39">
        <f t="shared" si="3"/>
        <v>0.0472541507</v>
      </c>
      <c r="G88" s="72">
        <v>31.0</v>
      </c>
      <c r="H88" s="72">
        <v>122.0</v>
      </c>
      <c r="I88" s="54" t="str">
        <f>HYPERLINK("http://www.mh.government.bg/bg/novini/aktualno/122-sa-veche-licata-u-nas-izlekuvani-ot-covid-19/","Source")</f>
        <v>Source</v>
      </c>
      <c r="J88" s="66"/>
      <c r="K88" s="47" t="s">
        <v>19</v>
      </c>
      <c r="L88" s="58">
        <v>735.0</v>
      </c>
      <c r="M88" s="58">
        <v>36.0</v>
      </c>
      <c r="N88" s="29"/>
      <c r="O88" s="29"/>
      <c r="P88" s="29"/>
    </row>
    <row r="89" ht="30.0" customHeight="1">
      <c r="A89" s="40" t="s">
        <v>253</v>
      </c>
      <c r="B89" s="58">
        <v>735.0</v>
      </c>
      <c r="C89" s="45">
        <f t="shared" si="1"/>
        <v>40</v>
      </c>
      <c r="D89" s="58">
        <v>16.0</v>
      </c>
      <c r="E89" s="48">
        <f t="shared" si="2"/>
        <v>0</v>
      </c>
      <c r="F89" s="60">
        <f t="shared" si="3"/>
        <v>0.02176870748</v>
      </c>
      <c r="G89" s="72">
        <v>9.0</v>
      </c>
      <c r="H89" s="72">
        <v>84.0</v>
      </c>
      <c r="I89" s="54" t="str">
        <f>HYPERLINK("https://cyprus-mail.com/2020/04/16/coronavirus-20-new-cases-situation-stabilising-no-new-cases-in-north-update-3/","Source")</f>
        <v>Source</v>
      </c>
      <c r="J89" s="66"/>
      <c r="K89" s="36"/>
      <c r="L89" s="58">
        <v>695.0</v>
      </c>
      <c r="M89" s="58">
        <v>16.0</v>
      </c>
      <c r="N89" s="29"/>
      <c r="O89" s="29"/>
      <c r="P89" s="29"/>
    </row>
    <row r="90" ht="30.0" customHeight="1">
      <c r="A90" s="40" t="s">
        <v>258</v>
      </c>
      <c r="B90" s="58">
        <v>712.0</v>
      </c>
      <c r="C90" s="45">
        <f t="shared" si="1"/>
        <v>0</v>
      </c>
      <c r="D90" s="58">
        <v>13.0</v>
      </c>
      <c r="E90" s="48">
        <f t="shared" si="2"/>
        <v>1</v>
      </c>
      <c r="F90" s="60">
        <f t="shared" si="3"/>
        <v>0.01825842697</v>
      </c>
      <c r="G90" s="72">
        <v>4.0</v>
      </c>
      <c r="H90" s="72">
        <v>645.0</v>
      </c>
      <c r="I90" s="54" t="str">
        <f>HYPERLINK("https://www3.nhk.or.jp/news/html/20200416/k10012390281000.html?utm_int=word_contents_list-items_004&amp;word_result=%E6%96%B0%E5%9E%8B%E3%82%B3%E3%83%AD%E3%83%8A%20%E5%9B%BD%E5%86%85%E6%84%9F%E6%9F%93%E7%8A%B6%E6%B3%81","Source")</f>
        <v>Source</v>
      </c>
      <c r="J90" s="66"/>
      <c r="K90" s="36"/>
      <c r="L90" s="58">
        <v>712.0</v>
      </c>
      <c r="M90" s="58">
        <v>12.0</v>
      </c>
      <c r="N90" s="29"/>
      <c r="O90" s="29"/>
      <c r="P90" s="29"/>
    </row>
    <row r="91" ht="27.75" customHeight="1">
      <c r="A91" s="40" t="s">
        <v>263</v>
      </c>
      <c r="B91" s="58">
        <v>688.0</v>
      </c>
      <c r="C91" s="45">
        <f t="shared" si="1"/>
        <v>34</v>
      </c>
      <c r="D91" s="58">
        <v>6.0</v>
      </c>
      <c r="E91" s="48">
        <f t="shared" si="2"/>
        <v>0</v>
      </c>
      <c r="F91" s="39">
        <f t="shared" si="3"/>
        <v>0.008720930233</v>
      </c>
      <c r="G91" s="72" t="s">
        <v>26</v>
      </c>
      <c r="H91" s="72">
        <v>193.0</v>
      </c>
      <c r="I91" s="54" t="str">
        <f>HYPERLINK("https://twitter.com/OmsCotedivoire/status/1250876590306754562","Source")</f>
        <v>Source</v>
      </c>
      <c r="J91" s="66"/>
      <c r="K91" s="36"/>
      <c r="L91" s="58">
        <v>654.0</v>
      </c>
      <c r="M91" s="58">
        <v>6.0</v>
      </c>
      <c r="N91" s="29"/>
      <c r="O91" s="29"/>
      <c r="P91" s="29"/>
    </row>
    <row r="92" ht="30.0" customHeight="1">
      <c r="A92" s="40" t="s">
        <v>268</v>
      </c>
      <c r="B92" s="58">
        <v>682.0</v>
      </c>
      <c r="C92" s="45">
        <f t="shared" si="1"/>
        <v>9</v>
      </c>
      <c r="D92" s="58">
        <v>33.0</v>
      </c>
      <c r="E92" s="48">
        <f t="shared" si="2"/>
        <v>0</v>
      </c>
      <c r="F92" s="39">
        <f t="shared" si="3"/>
        <v>0.04838709677</v>
      </c>
      <c r="G92" s="72">
        <v>18.0</v>
      </c>
      <c r="H92" s="72">
        <v>177.0</v>
      </c>
      <c r="I92" s="54" t="str">
        <f>HYPERLINK("https://www.govern.ad/coronavirus","Source")</f>
        <v>Source</v>
      </c>
      <c r="J92" s="66"/>
      <c r="K92" s="47" t="s">
        <v>19</v>
      </c>
      <c r="L92" s="58">
        <v>673.0</v>
      </c>
      <c r="M92" s="58">
        <v>33.0</v>
      </c>
      <c r="N92" s="29"/>
      <c r="O92" s="29"/>
      <c r="P92" s="29"/>
    </row>
    <row r="93" ht="30.0" customHeight="1">
      <c r="A93" s="40" t="s">
        <v>271</v>
      </c>
      <c r="B93" s="58">
        <v>675.0</v>
      </c>
      <c r="C93" s="45">
        <f t="shared" si="1"/>
        <v>9</v>
      </c>
      <c r="D93" s="58">
        <v>5.0</v>
      </c>
      <c r="E93" s="48">
        <f t="shared" si="2"/>
        <v>0</v>
      </c>
      <c r="F93" s="39">
        <f t="shared" si="3"/>
        <v>0.007407407407</v>
      </c>
      <c r="G93" s="72">
        <v>3.0</v>
      </c>
      <c r="H93" s="72">
        <v>57.0</v>
      </c>
      <c r="I93" s="54" t="str">
        <f>HYPERLINK("https://twitter.com/SPKCentrs/status/1250684848001474568","Source")</f>
        <v>Source</v>
      </c>
      <c r="J93" s="66"/>
      <c r="K93" s="36"/>
      <c r="L93" s="58">
        <v>666.0</v>
      </c>
      <c r="M93" s="58">
        <v>5.0</v>
      </c>
      <c r="N93" s="29"/>
      <c r="O93" s="29"/>
      <c r="P93" s="29"/>
    </row>
    <row r="94" ht="30.0" customHeight="1">
      <c r="A94" s="40" t="s">
        <v>275</v>
      </c>
      <c r="B94" s="58">
        <v>663.0</v>
      </c>
      <c r="C94" s="45">
        <f t="shared" si="1"/>
        <v>5</v>
      </c>
      <c r="D94" s="58">
        <v>21.0</v>
      </c>
      <c r="E94" s="48">
        <f t="shared" si="2"/>
        <v>0</v>
      </c>
      <c r="F94" s="60">
        <f t="shared" si="3"/>
        <v>0.03167420814</v>
      </c>
      <c r="G94" s="72">
        <v>30.0</v>
      </c>
      <c r="H94" s="72">
        <v>86.0</v>
      </c>
      <c r="I94" s="54" t="str">
        <f>HYPERLINK("https://corona.ministryinfo.gov.lb/","Source")</f>
        <v>Source</v>
      </c>
      <c r="J94" s="66"/>
      <c r="K94" s="36"/>
      <c r="L94" s="58">
        <v>658.0</v>
      </c>
      <c r="M94" s="58">
        <v>21.0</v>
      </c>
      <c r="N94" s="29"/>
      <c r="O94" s="29"/>
      <c r="P94" s="29"/>
    </row>
    <row r="95" ht="30.0" customHeight="1">
      <c r="A95" s="40" t="s">
        <v>281</v>
      </c>
      <c r="B95" s="58">
        <v>642.0</v>
      </c>
      <c r="C95" s="45">
        <f t="shared" si="1"/>
        <v>16</v>
      </c>
      <c r="D95" s="58">
        <v>4.0</v>
      </c>
      <c r="E95" s="48">
        <f t="shared" si="2"/>
        <v>0</v>
      </c>
      <c r="F95" s="39">
        <f t="shared" si="3"/>
        <v>0.006230529595</v>
      </c>
      <c r="G95" s="72">
        <v>11.0</v>
      </c>
      <c r="H95" s="72">
        <v>74.0</v>
      </c>
      <c r="I95" s="54" t="str">
        <f>HYPERLINK("https://twitter.com/msaludcr/status/1250862928477204481","Source")</f>
        <v>Source</v>
      </c>
      <c r="J95" s="66"/>
      <c r="K95" s="47" t="s">
        <v>19</v>
      </c>
      <c r="L95" s="58">
        <v>626.0</v>
      </c>
      <c r="M95" s="58">
        <v>4.0</v>
      </c>
      <c r="N95" s="29"/>
      <c r="O95" s="29"/>
      <c r="P95" s="29"/>
    </row>
    <row r="96" ht="30.0" customHeight="1">
      <c r="A96" s="40" t="s">
        <v>287</v>
      </c>
      <c r="B96" s="58">
        <v>641.0</v>
      </c>
      <c r="C96" s="45">
        <f t="shared" si="1"/>
        <v>0</v>
      </c>
      <c r="D96" s="58">
        <v>8.0</v>
      </c>
      <c r="E96" s="48">
        <f t="shared" si="2"/>
        <v>0</v>
      </c>
      <c r="F96" s="60">
        <f t="shared" si="3"/>
        <v>0.01248049922</v>
      </c>
      <c r="G96" s="72">
        <v>2.0</v>
      </c>
      <c r="H96" s="72">
        <v>83.0</v>
      </c>
      <c r="I96" s="54" t="str">
        <f>HYPERLINK("https://www.ghanahealthservice.org/covid19/","Source")</f>
        <v>Source</v>
      </c>
      <c r="J96" s="177"/>
      <c r="K96" s="36"/>
      <c r="L96" s="58">
        <v>641.0</v>
      </c>
      <c r="M96" s="58">
        <v>8.0</v>
      </c>
      <c r="N96" s="29"/>
      <c r="O96" s="29"/>
      <c r="P96" s="29"/>
    </row>
    <row r="97" ht="30.0" customHeight="1">
      <c r="A97" s="40" t="s">
        <v>298</v>
      </c>
      <c r="B97" s="58">
        <v>609.0</v>
      </c>
      <c r="C97" s="45">
        <f t="shared" si="1"/>
        <v>39</v>
      </c>
      <c r="D97" s="58">
        <v>15.0</v>
      </c>
      <c r="E97" s="48">
        <f t="shared" si="2"/>
        <v>1</v>
      </c>
      <c r="F97" s="60">
        <f t="shared" si="3"/>
        <v>0.02463054187</v>
      </c>
      <c r="G97" s="72" t="s">
        <v>26</v>
      </c>
      <c r="H97" s="72">
        <v>105.0</v>
      </c>
      <c r="I97" s="54" t="str">
        <f>HYPERLINK("https://coronavirus.ne/","Source")</f>
        <v>Source</v>
      </c>
      <c r="J97" s="66"/>
      <c r="K97" s="36"/>
      <c r="L97" s="58">
        <v>570.0</v>
      </c>
      <c r="M97" s="58">
        <v>14.0</v>
      </c>
      <c r="N97" s="29"/>
      <c r="O97" s="29"/>
      <c r="P97" s="182"/>
    </row>
    <row r="98" ht="30.0" customHeight="1">
      <c r="A98" s="40" t="s">
        <v>302</v>
      </c>
      <c r="B98" s="58">
        <v>591.0</v>
      </c>
      <c r="C98" s="45">
        <f t="shared" si="1"/>
        <v>228</v>
      </c>
      <c r="D98" s="58">
        <v>2.0</v>
      </c>
      <c r="E98" s="48">
        <f t="shared" si="2"/>
        <v>0</v>
      </c>
      <c r="F98" s="60">
        <f t="shared" si="3"/>
        <v>0.003384094755</v>
      </c>
      <c r="G98" s="72">
        <v>0.0</v>
      </c>
      <c r="H98" s="72">
        <v>73.0</v>
      </c>
      <c r="I98" s="99" t="str">
        <f>HYPERLINK("http://www.adi.dj/site/Plus/142552","Source")</f>
        <v>Source</v>
      </c>
      <c r="J98" s="66"/>
      <c r="K98" s="36"/>
      <c r="L98" s="58">
        <v>363.0</v>
      </c>
      <c r="M98" s="58">
        <v>2.0</v>
      </c>
      <c r="N98" s="29"/>
      <c r="O98" s="29"/>
      <c r="P98" s="29"/>
    </row>
    <row r="99" ht="27.75" customHeight="1">
      <c r="A99" s="40" t="s">
        <v>307</v>
      </c>
      <c r="B99" s="58">
        <v>546.0</v>
      </c>
      <c r="C99" s="45">
        <f t="shared" si="1"/>
        <v>18</v>
      </c>
      <c r="D99" s="58">
        <v>32.0</v>
      </c>
      <c r="E99" s="48">
        <f t="shared" si="2"/>
        <v>2</v>
      </c>
      <c r="F99" s="39">
        <f t="shared" si="3"/>
        <v>0.05860805861</v>
      </c>
      <c r="G99" s="72" t="s">
        <v>26</v>
      </c>
      <c r="H99" s="72">
        <v>257.0</v>
      </c>
      <c r="I99" s="54" t="str">
        <f>HYPERLINK("https://lefaso.net/spip.php?article96246","Source")</f>
        <v>Source</v>
      </c>
      <c r="J99" s="66"/>
      <c r="K99" s="36"/>
      <c r="L99" s="58">
        <v>528.0</v>
      </c>
      <c r="M99" s="58">
        <v>30.0</v>
      </c>
      <c r="N99" s="29"/>
      <c r="O99" s="29"/>
      <c r="P99" s="29"/>
    </row>
    <row r="100" ht="30.0" customHeight="1">
      <c r="A100" s="40" t="s">
        <v>311</v>
      </c>
      <c r="B100" s="58">
        <v>518.0</v>
      </c>
      <c r="C100" s="45">
        <f t="shared" si="1"/>
        <v>24</v>
      </c>
      <c r="D100" s="58">
        <v>26.0</v>
      </c>
      <c r="E100" s="48">
        <f t="shared" si="2"/>
        <v>1</v>
      </c>
      <c r="F100" s="39">
        <f t="shared" si="3"/>
        <v>0.05019305019</v>
      </c>
      <c r="G100" s="72">
        <v>5.0</v>
      </c>
      <c r="H100" s="72">
        <v>277.0</v>
      </c>
      <c r="I100" s="54" t="str">
        <f>HYPERLINK("https://new.shendetesia.gov.al/covid-19-ministria-e-shendetesise-24-raste-te-reja-shkon-ne-518-numri-i-te-prekurve/","Source")</f>
        <v>Source</v>
      </c>
      <c r="J100" s="66"/>
      <c r="K100" s="47" t="s">
        <v>19</v>
      </c>
      <c r="L100" s="58">
        <v>494.0</v>
      </c>
      <c r="M100" s="58">
        <v>25.0</v>
      </c>
      <c r="N100" s="29"/>
      <c r="O100" s="29"/>
      <c r="P100" s="29"/>
    </row>
    <row r="101" ht="30.0" customHeight="1">
      <c r="A101" s="40" t="s">
        <v>315</v>
      </c>
      <c r="B101" s="58">
        <v>502.0</v>
      </c>
      <c r="C101" s="45">
        <f t="shared" si="1"/>
        <v>10</v>
      </c>
      <c r="D101" s="58">
        <v>9.0</v>
      </c>
      <c r="E101" s="48">
        <f t="shared" si="2"/>
        <v>1</v>
      </c>
      <c r="F101" s="60">
        <f t="shared" si="3"/>
        <v>0.01792828685</v>
      </c>
      <c r="G101" s="72">
        <v>13.0</v>
      </c>
      <c r="H101" s="72">
        <v>286.0</v>
      </c>
      <c r="I101" s="54" t="str">
        <f>HYPERLINK("https://www.gub.uy/ministerio-salud-publica/comunicacion/noticias/informacion-interes-actualizada-sobre-coronavirus-covid-19-uruguay-1","Source")</f>
        <v>Source</v>
      </c>
      <c r="J101" s="66"/>
      <c r="K101" s="47" t="s">
        <v>19</v>
      </c>
      <c r="L101" s="58">
        <v>492.0</v>
      </c>
      <c r="M101" s="58">
        <v>8.0</v>
      </c>
      <c r="N101" s="29"/>
      <c r="O101" s="29"/>
      <c r="P101" s="29"/>
    </row>
    <row r="102" ht="30.0" customHeight="1">
      <c r="A102" s="40" t="s">
        <v>316</v>
      </c>
      <c r="B102" s="58">
        <v>466.0</v>
      </c>
      <c r="C102" s="45">
        <f t="shared" si="1"/>
        <v>36</v>
      </c>
      <c r="D102" s="58">
        <v>5.0</v>
      </c>
      <c r="E102" s="48">
        <f t="shared" si="2"/>
        <v>0</v>
      </c>
      <c r="F102" s="39">
        <f t="shared" si="3"/>
        <v>0.01072961373</v>
      </c>
      <c r="G102" s="72" t="s">
        <v>26</v>
      </c>
      <c r="H102" s="72">
        <v>91.0</v>
      </c>
      <c r="I102" s="54" t="str">
        <f>HYPERLINK("https://www.facebook.com/minzdravKR/posts/2834969459955692?__xts__[0]=68.ARClthfwNQ09viLTNxh_GNoaZU7ysbjxObWSD5tAPA-nzkpLDZPPFxpUXeGK_jHGNhBGK-tVvrcNyiwwqwu0NctNYeX2BaU5DiMR2kNZSMqLTdkZdz854b5e0jx0LxxmHGY9yJl60ibXKZl62tqahnxqxXg-U-WV9gqs1iL4D7K4vaMOTSGwWd"&amp;"r-e7RHq8crphkkM60fQcnuzgli-5W5fbmwK_UMzddkYKARneOZ2iRs5JHYkLv7D46zZRMX9oLXBZeq-NiWVgltM3U1tyWapCwokeKjE2pcmHy2gOw4DoiB9bhigcctyuKDthdCOmF9cIuh846BjiV7gWnrlKTUSVG-Uw&amp;__tn__=-R","Source")</f>
        <v>Source</v>
      </c>
      <c r="J102" s="66"/>
      <c r="K102" s="36"/>
      <c r="L102" s="58">
        <v>430.0</v>
      </c>
      <c r="M102" s="58">
        <v>5.0</v>
      </c>
      <c r="N102" s="29"/>
      <c r="O102" s="29"/>
      <c r="P102" s="29"/>
    </row>
    <row r="103" ht="30.0" customHeight="1">
      <c r="A103" s="40" t="s">
        <v>317</v>
      </c>
      <c r="B103" s="58">
        <v>449.0</v>
      </c>
      <c r="C103" s="45">
        <f t="shared" si="1"/>
        <v>62</v>
      </c>
      <c r="D103" s="58">
        <v>11.0</v>
      </c>
      <c r="E103" s="48">
        <f t="shared" si="2"/>
        <v>3</v>
      </c>
      <c r="F103" s="60">
        <f t="shared" si="3"/>
        <v>0.02449888641</v>
      </c>
      <c r="G103" s="72" t="s">
        <v>26</v>
      </c>
      <c r="H103" s="72">
        <v>79.0</v>
      </c>
      <c r="I103" s="54" t="str">
        <f>HYPERLINK("https://kosova.health/en/","Source")</f>
        <v>Source</v>
      </c>
      <c r="J103" s="66"/>
      <c r="K103" s="36"/>
      <c r="L103" s="58">
        <v>387.0</v>
      </c>
      <c r="M103" s="58">
        <v>8.0</v>
      </c>
      <c r="N103" s="29"/>
      <c r="O103" s="29"/>
      <c r="P103" s="29"/>
    </row>
    <row r="104" ht="30.0" customHeight="1">
      <c r="A104" s="40" t="s">
        <v>318</v>
      </c>
      <c r="B104" s="58">
        <v>442.0</v>
      </c>
      <c r="C104" s="45">
        <f t="shared" si="1"/>
        <v>35</v>
      </c>
      <c r="D104" s="58">
        <v>13.0</v>
      </c>
      <c r="E104" s="48">
        <f t="shared" si="2"/>
        <v>1</v>
      </c>
      <c r="F104" s="60">
        <f t="shared" si="3"/>
        <v>0.02941176471</v>
      </c>
      <c r="G104" s="72" t="s">
        <v>26</v>
      </c>
      <c r="H104" s="72">
        <v>152.0</v>
      </c>
      <c r="I104" s="54" t="str">
        <f>HYPERLINK("https://twitter.com/NCDCgov/status/1250896989706993666","Source")</f>
        <v>Source</v>
      </c>
      <c r="J104" s="66"/>
      <c r="K104" s="36"/>
      <c r="L104" s="58">
        <v>407.0</v>
      </c>
      <c r="M104" s="58">
        <v>12.0</v>
      </c>
      <c r="N104" s="29"/>
      <c r="O104" s="29"/>
      <c r="P104" s="29"/>
    </row>
    <row r="105" ht="30.0" customHeight="1">
      <c r="A105" s="40" t="s">
        <v>319</v>
      </c>
      <c r="B105" s="58">
        <v>441.0</v>
      </c>
      <c r="C105" s="45">
        <f t="shared" si="1"/>
        <v>44</v>
      </c>
      <c r="D105" s="58">
        <v>29.0</v>
      </c>
      <c r="E105" s="48">
        <f t="shared" si="2"/>
        <v>1</v>
      </c>
      <c r="F105" s="60">
        <f t="shared" si="3"/>
        <v>0.06575963719</v>
      </c>
      <c r="G105" s="72" t="s">
        <v>26</v>
      </c>
      <c r="H105" s="72">
        <v>14.0</v>
      </c>
      <c r="I105" s="54" t="str">
        <f>HYPERLINK("https://www.boliviasegura.gob.bo/","Source")</f>
        <v>Source</v>
      </c>
      <c r="J105" s="66"/>
      <c r="K105" s="47" t="s">
        <v>19</v>
      </c>
      <c r="L105" s="58">
        <v>397.0</v>
      </c>
      <c r="M105" s="58">
        <v>28.0</v>
      </c>
      <c r="N105" s="29"/>
      <c r="O105" s="29"/>
      <c r="P105" s="29"/>
    </row>
    <row r="106" ht="30.0" customHeight="1">
      <c r="A106" s="40" t="s">
        <v>320</v>
      </c>
      <c r="B106" s="58">
        <v>438.0</v>
      </c>
      <c r="C106" s="45">
        <f t="shared" si="1"/>
        <v>75</v>
      </c>
      <c r="D106" s="58">
        <v>1.0</v>
      </c>
      <c r="E106" s="48">
        <f t="shared" si="2"/>
        <v>1</v>
      </c>
      <c r="F106" s="39">
        <f t="shared" si="3"/>
        <v>0.002283105023</v>
      </c>
      <c r="G106" s="72" t="s">
        <v>26</v>
      </c>
      <c r="H106" s="72">
        <v>49.0</v>
      </c>
      <c r="I106" s="54" t="str">
        <f>HYPERLINK("https://www.facebook.com/Sanitaire.net/photos/a.209738779476555/895562234227536/?type=3&amp;theater","Source")</f>
        <v>Source</v>
      </c>
      <c r="J106" s="66"/>
      <c r="K106" s="36"/>
      <c r="L106" s="58">
        <v>363.0</v>
      </c>
      <c r="M106" s="58">
        <v>0.0</v>
      </c>
      <c r="N106" s="29"/>
      <c r="O106" s="29"/>
      <c r="P106" s="29"/>
    </row>
    <row r="107" ht="30.0" customHeight="1">
      <c r="A107" s="40" t="s">
        <v>321</v>
      </c>
      <c r="B107" s="58">
        <v>426.0</v>
      </c>
      <c r="C107" s="45">
        <f t="shared" si="1"/>
        <v>33</v>
      </c>
      <c r="D107" s="58">
        <v>38.0</v>
      </c>
      <c r="E107" s="48">
        <f t="shared" si="2"/>
        <v>2</v>
      </c>
      <c r="F107" s="60">
        <f t="shared" si="3"/>
        <v>0.08920187793</v>
      </c>
      <c r="G107" s="72">
        <v>15.0</v>
      </c>
      <c r="H107" s="72">
        <v>55.0</v>
      </c>
      <c r="I107" s="54" t="str">
        <f>HYPERLINK("http://www.iss.sm/on-line/home/articolo49014264.html","Source")</f>
        <v>Source</v>
      </c>
      <c r="J107" s="100"/>
      <c r="K107" s="47" t="s">
        <v>19</v>
      </c>
      <c r="L107" s="58">
        <v>393.0</v>
      </c>
      <c r="M107" s="58">
        <v>36.0</v>
      </c>
      <c r="N107" s="29"/>
      <c r="O107" s="29"/>
      <c r="P107" s="29"/>
    </row>
    <row r="108" ht="27.75" customHeight="1">
      <c r="A108" s="40" t="s">
        <v>322</v>
      </c>
      <c r="B108" s="58">
        <v>426.0</v>
      </c>
      <c r="C108" s="45">
        <f t="shared" si="1"/>
        <v>19</v>
      </c>
      <c r="D108" s="58">
        <v>35.0</v>
      </c>
      <c r="E108" s="48">
        <f t="shared" si="2"/>
        <v>9</v>
      </c>
      <c r="F108" s="60">
        <f t="shared" si="3"/>
        <v>0.08215962441</v>
      </c>
      <c r="G108" s="72" t="s">
        <v>26</v>
      </c>
      <c r="H108" s="72">
        <v>7.0</v>
      </c>
      <c r="I108" s="54" t="str">
        <f>HYPERLINK("https://covid19honduras.org/","Source")</f>
        <v>Source</v>
      </c>
      <c r="J108" s="66"/>
      <c r="K108" s="47" t="s">
        <v>19</v>
      </c>
      <c r="L108" s="58">
        <v>407.0</v>
      </c>
      <c r="M108" s="58">
        <v>26.0</v>
      </c>
      <c r="N108" s="29"/>
      <c r="O108" s="29"/>
      <c r="P108" s="29"/>
    </row>
    <row r="109" ht="27.75" customHeight="1">
      <c r="A109" s="40" t="s">
        <v>323</v>
      </c>
      <c r="B109" s="58">
        <v>412.0</v>
      </c>
      <c r="C109" s="45">
        <f t="shared" si="1"/>
        <v>13</v>
      </c>
      <c r="D109" s="58">
        <v>3.0</v>
      </c>
      <c r="E109" s="48">
        <f t="shared" si="2"/>
        <v>0</v>
      </c>
      <c r="F109" s="39">
        <f t="shared" si="3"/>
        <v>0.007281553398</v>
      </c>
      <c r="G109" s="72">
        <v>2.0</v>
      </c>
      <c r="H109" s="72">
        <v>82.0</v>
      </c>
      <c r="I109" s="54" t="str">
        <f>HYPERLINK("https://timesofmalta.com/articles/view/watch-daily-covid-19-update.785921","Source")</f>
        <v>Source</v>
      </c>
      <c r="J109" s="66"/>
      <c r="K109" s="47" t="s">
        <v>19</v>
      </c>
      <c r="L109" s="58">
        <v>399.0</v>
      </c>
      <c r="M109" s="58">
        <v>3.0</v>
      </c>
      <c r="N109" s="29"/>
      <c r="O109" s="29"/>
      <c r="P109" s="29"/>
    </row>
    <row r="110" ht="30.0" customHeight="1">
      <c r="A110" s="40" t="s">
        <v>324</v>
      </c>
      <c r="B110" s="58">
        <v>402.0</v>
      </c>
      <c r="C110" s="45">
        <f t="shared" si="1"/>
        <v>5</v>
      </c>
      <c r="D110" s="58">
        <v>7.0</v>
      </c>
      <c r="E110" s="48">
        <f t="shared" si="2"/>
        <v>0</v>
      </c>
      <c r="F110" s="60">
        <f t="shared" si="3"/>
        <v>0.01741293532</v>
      </c>
      <c r="G110" s="72" t="s">
        <v>26</v>
      </c>
      <c r="H110" s="72">
        <v>295.0</v>
      </c>
      <c r="I110" s="54" t="str">
        <f>HYPERLINK("https://corona.moh.gov.jo/ar","Source")</f>
        <v>Source</v>
      </c>
      <c r="J110" s="66"/>
      <c r="K110" s="47" t="s">
        <v>19</v>
      </c>
      <c r="L110" s="58">
        <v>397.0</v>
      </c>
      <c r="M110" s="58">
        <v>7.0</v>
      </c>
      <c r="N110" s="29"/>
      <c r="O110" s="29"/>
      <c r="P110" s="29"/>
    </row>
    <row r="111" ht="30.0" customHeight="1">
      <c r="A111" s="40" t="s">
        <v>325</v>
      </c>
      <c r="B111" s="58">
        <v>395.0</v>
      </c>
      <c r="C111" s="45">
        <f t="shared" si="1"/>
        <v>0</v>
      </c>
      <c r="D111" s="58">
        <v>6.0</v>
      </c>
      <c r="E111" s="48">
        <f t="shared" si="2"/>
        <v>0</v>
      </c>
      <c r="F111" s="60">
        <f t="shared" si="3"/>
        <v>0.01518987342</v>
      </c>
      <c r="G111" s="72">
        <v>0.0</v>
      </c>
      <c r="H111" s="72">
        <v>155.0</v>
      </c>
      <c r="I111" s="54" t="str">
        <f>HYPERLINK("https://www.cdc.gov.tw/Bulletin/Detail/gVvIaN60w43fMELpIYaVJA?typeid=9","Source")</f>
        <v>Source</v>
      </c>
      <c r="J111" s="66"/>
      <c r="K111" s="47" t="s">
        <v>19</v>
      </c>
      <c r="L111" s="58">
        <v>395.0</v>
      </c>
      <c r="M111" s="58">
        <v>6.0</v>
      </c>
      <c r="N111" s="29"/>
      <c r="O111" s="29"/>
      <c r="P111" s="29"/>
    </row>
    <row r="112" ht="30.0" customHeight="1">
      <c r="A112" s="40" t="s">
        <v>53</v>
      </c>
      <c r="B112" s="58">
        <v>336.0</v>
      </c>
      <c r="C112" s="45">
        <f t="shared" si="1"/>
        <v>30</v>
      </c>
      <c r="D112" s="58">
        <v>3.0</v>
      </c>
      <c r="E112" s="48">
        <f t="shared" si="2"/>
        <v>0</v>
      </c>
      <c r="F112" s="39">
        <f t="shared" si="3"/>
        <v>0.008928571429</v>
      </c>
      <c r="G112" s="72" t="s">
        <v>26</v>
      </c>
      <c r="H112" s="72">
        <v>74.0</v>
      </c>
      <c r="I112" s="54" t="str">
        <f>HYPERLINK("https://stopcov.ge/en","Source")</f>
        <v>Source</v>
      </c>
      <c r="J112" s="66"/>
      <c r="K112" s="47" t="s">
        <v>19</v>
      </c>
      <c r="L112" s="58">
        <v>306.0</v>
      </c>
      <c r="M112" s="58">
        <v>3.0</v>
      </c>
      <c r="N112" s="29"/>
      <c r="O112" s="29"/>
      <c r="P112" s="29"/>
    </row>
    <row r="113" ht="30.0" customHeight="1">
      <c r="A113" s="40" t="s">
        <v>326</v>
      </c>
      <c r="B113" s="58">
        <v>335.0</v>
      </c>
      <c r="C113" s="45">
        <f t="shared" si="1"/>
        <v>21</v>
      </c>
      <c r="D113" s="58">
        <v>2.0</v>
      </c>
      <c r="E113" s="48">
        <f t="shared" si="2"/>
        <v>0</v>
      </c>
      <c r="F113" s="39">
        <f t="shared" si="3"/>
        <v>0.005970149254</v>
      </c>
      <c r="G113" s="72" t="s">
        <v>26</v>
      </c>
      <c r="H113" s="72">
        <v>194.0</v>
      </c>
      <c r="I113" s="54" t="str">
        <f>HYPERLINK("https://twitter.com/MinisteredelaS1/status/1250729558594195456","Source")</f>
        <v>Source</v>
      </c>
      <c r="J113" s="98"/>
      <c r="K113" s="47" t="s">
        <v>19</v>
      </c>
      <c r="L113" s="58">
        <v>314.0</v>
      </c>
      <c r="M113" s="58">
        <v>2.0</v>
      </c>
      <c r="N113" s="29"/>
      <c r="O113" s="29"/>
      <c r="P113" s="29"/>
    </row>
    <row r="114" ht="30.0" customHeight="1">
      <c r="A114" s="40" t="s">
        <v>331</v>
      </c>
      <c r="B114" s="58">
        <v>324.0</v>
      </c>
      <c r="C114" s="45">
        <f t="shared" si="1"/>
        <v>0</v>
      </c>
      <c r="D114" s="58">
        <v>9.0</v>
      </c>
      <c r="E114" s="48">
        <f t="shared" si="2"/>
        <v>0</v>
      </c>
      <c r="F114" s="60">
        <f t="shared" si="3"/>
        <v>0.02777777778</v>
      </c>
      <c r="G114" s="72">
        <v>2.0</v>
      </c>
      <c r="H114" s="72">
        <v>81.0</v>
      </c>
      <c r="I114" s="54" t="str">
        <f>HYPERLINK("https://www.lemauricien.com/covid19/","Source")</f>
        <v>Source</v>
      </c>
      <c r="J114" s="177"/>
      <c r="K114" s="36"/>
      <c r="L114" s="58">
        <v>324.0</v>
      </c>
      <c r="M114" s="58">
        <v>9.0</v>
      </c>
      <c r="N114" s="29"/>
      <c r="O114" s="29"/>
      <c r="P114" s="29"/>
    </row>
    <row r="115" ht="30.0" customHeight="1">
      <c r="A115" s="40" t="s">
        <v>332</v>
      </c>
      <c r="B115" s="58">
        <v>294.0</v>
      </c>
      <c r="C115" s="45">
        <f t="shared" si="1"/>
        <v>6</v>
      </c>
      <c r="D115" s="58">
        <v>2.0</v>
      </c>
      <c r="E115" s="48">
        <f t="shared" si="2"/>
        <v>0</v>
      </c>
      <c r="F115" s="60">
        <f t="shared" si="3"/>
        <v>0.006802721088</v>
      </c>
      <c r="G115" s="72" t="s">
        <v>26</v>
      </c>
      <c r="H115" s="72" t="s">
        <v>26</v>
      </c>
      <c r="I115" s="54" t="str">
        <f>HYPERLINK("https://twitter.com/ijzcg/status/1250803616778268672","Source")</f>
        <v>Source</v>
      </c>
      <c r="J115" s="66"/>
      <c r="K115" s="47" t="s">
        <v>71</v>
      </c>
      <c r="L115" s="58">
        <v>288.0</v>
      </c>
      <c r="M115" s="58">
        <v>2.0</v>
      </c>
      <c r="N115" s="29"/>
      <c r="O115" s="29"/>
      <c r="P115" s="29"/>
    </row>
    <row r="116" ht="30.0" customHeight="1">
      <c r="A116" s="40" t="s">
        <v>339</v>
      </c>
      <c r="B116" s="58">
        <v>295.0</v>
      </c>
      <c r="C116" s="45">
        <f t="shared" si="1"/>
        <v>7</v>
      </c>
      <c r="D116" s="58">
        <v>2.0</v>
      </c>
      <c r="E116" s="48">
        <f t="shared" si="2"/>
        <v>0</v>
      </c>
      <c r="F116" s="60">
        <f t="shared" si="3"/>
        <v>0.006779661017</v>
      </c>
      <c r="G116" s="72">
        <v>0.0</v>
      </c>
      <c r="H116" s="72">
        <v>61.0</v>
      </c>
      <c r="I116" s="54" t="str">
        <f>HYPERLINK("https://corona.ps/","Source")</f>
        <v>Source</v>
      </c>
      <c r="J116" s="177"/>
      <c r="K116" s="47" t="s">
        <v>196</v>
      </c>
      <c r="L116" s="58">
        <v>288.0</v>
      </c>
      <c r="M116" s="58">
        <v>2.0</v>
      </c>
      <c r="N116" s="29"/>
      <c r="O116" s="29"/>
      <c r="P116" s="29"/>
    </row>
    <row r="117" ht="30.0" customHeight="1">
      <c r="A117" s="40" t="s">
        <v>342</v>
      </c>
      <c r="B117" s="58">
        <v>284.0</v>
      </c>
      <c r="C117" s="45">
        <f t="shared" si="1"/>
        <v>26</v>
      </c>
      <c r="D117" s="58">
        <v>4.0</v>
      </c>
      <c r="E117" s="48">
        <f t="shared" si="2"/>
        <v>0</v>
      </c>
      <c r="F117" s="60">
        <f t="shared" si="3"/>
        <v>0.01408450704</v>
      </c>
      <c r="G117" s="72" t="s">
        <v>26</v>
      </c>
      <c r="H117" s="72">
        <v>154.0</v>
      </c>
      <c r="I117" s="54" t="str">
        <f>HYPERLINK("https://covid19.gov.im/general-information/latest-updates/","Source")</f>
        <v>Source</v>
      </c>
      <c r="J117" s="66"/>
      <c r="K117" s="47" t="s">
        <v>45</v>
      </c>
      <c r="L117" s="58">
        <v>258.0</v>
      </c>
      <c r="M117" s="58">
        <v>4.0</v>
      </c>
      <c r="N117" s="29"/>
      <c r="O117" s="29"/>
      <c r="P117" s="29"/>
    </row>
    <row r="118" ht="30.0" customHeight="1">
      <c r="A118" s="40" t="s">
        <v>344</v>
      </c>
      <c r="B118" s="58">
        <v>268.0</v>
      </c>
      <c r="C118" s="45">
        <f t="shared" si="1"/>
        <v>1</v>
      </c>
      <c r="D118" s="58">
        <v>0.0</v>
      </c>
      <c r="E118" s="48">
        <f t="shared" si="2"/>
        <v>0</v>
      </c>
      <c r="F118" s="60">
        <f t="shared" si="3"/>
        <v>0</v>
      </c>
      <c r="G118" s="72" t="s">
        <v>26</v>
      </c>
      <c r="H118" s="72">
        <v>173.0</v>
      </c>
      <c r="I118" s="54" t="str">
        <f>HYPERLINK("http://news.chinhphu.vn/Home/Health-ministry-confirms-268th-COVID19-infection-case/20204/39745.vgp","Source")</f>
        <v>Source</v>
      </c>
      <c r="J118" s="177"/>
      <c r="K118" s="36"/>
      <c r="L118" s="58">
        <v>267.0</v>
      </c>
      <c r="M118" s="58">
        <v>0.0</v>
      </c>
      <c r="N118" s="29"/>
      <c r="O118" s="29"/>
      <c r="P118" s="29"/>
    </row>
    <row r="119" ht="30.0" customHeight="1">
      <c r="A119" s="40" t="s">
        <v>348</v>
      </c>
      <c r="B119" s="58">
        <v>267.0</v>
      </c>
      <c r="C119" s="45">
        <f t="shared" si="1"/>
        <v>13</v>
      </c>
      <c r="D119" s="58">
        <v>22.0</v>
      </c>
      <c r="E119" s="48">
        <f t="shared" si="2"/>
        <v>1</v>
      </c>
      <c r="F119" s="60">
        <f t="shared" si="3"/>
        <v>0.08239700375</v>
      </c>
      <c r="G119" s="72" t="s">
        <v>26</v>
      </c>
      <c r="H119" s="72">
        <v>23.0</v>
      </c>
      <c r="I119" s="54" t="str">
        <f>HYPERLINK("https://us3.campaign-archive.com/?u=b34a30571d429859fb249533d&amp;id=00ae9c6ad7","Source")</f>
        <v>Source</v>
      </c>
      <c r="J119" s="66"/>
      <c r="K119" s="47" t="s">
        <v>350</v>
      </c>
      <c r="L119" s="58">
        <v>254.0</v>
      </c>
      <c r="M119" s="58">
        <v>21.0</v>
      </c>
      <c r="N119" s="29"/>
      <c r="O119" s="29"/>
      <c r="P119" s="29"/>
    </row>
    <row r="120" ht="30.0" customHeight="1">
      <c r="A120" s="40" t="s">
        <v>351</v>
      </c>
      <c r="B120" s="58">
        <v>238.0</v>
      </c>
      <c r="C120" s="45">
        <f t="shared" si="1"/>
        <v>1</v>
      </c>
      <c r="D120" s="58">
        <v>7.0</v>
      </c>
      <c r="E120" s="48">
        <f t="shared" si="2"/>
        <v>0</v>
      </c>
      <c r="F120" s="60">
        <f t="shared" si="3"/>
        <v>0.02941176471</v>
      </c>
      <c r="G120" s="72" t="s">
        <v>26</v>
      </c>
      <c r="H120" s="72">
        <v>68.0</v>
      </c>
      <c r="I120" s="54" t="str">
        <f>HYPERLINK("http://epid.gov.lk/web/index.php?lang=en","Source")</f>
        <v>Source</v>
      </c>
      <c r="J120" s="66"/>
      <c r="K120" s="36"/>
      <c r="L120" s="58">
        <v>237.0</v>
      </c>
      <c r="M120" s="58">
        <v>7.0</v>
      </c>
      <c r="N120" s="29"/>
      <c r="O120" s="29"/>
      <c r="P120" s="29"/>
    </row>
    <row r="121" ht="30.0" customHeight="1">
      <c r="A121" s="40" t="s">
        <v>352</v>
      </c>
      <c r="B121" s="58">
        <v>234.0</v>
      </c>
      <c r="C121" s="45">
        <f t="shared" si="1"/>
        <v>18</v>
      </c>
      <c r="D121" s="58">
        <v>11.0</v>
      </c>
      <c r="E121" s="48">
        <f t="shared" si="2"/>
        <v>2</v>
      </c>
      <c r="F121" s="39">
        <f t="shared" si="3"/>
        <v>0.04700854701</v>
      </c>
      <c r="G121" s="72">
        <v>0.0</v>
      </c>
      <c r="H121" s="72">
        <v>53.0</v>
      </c>
      <c r="I121" s="54" t="str">
        <f>HYPERLINK("https://www.nation.co.ke/news/Kenya-Covid-19-cases-rise-to-234/1056-5525936-2fetj8/index.html","Source")</f>
        <v>Source</v>
      </c>
      <c r="J121" s="91"/>
      <c r="K121" s="36"/>
      <c r="L121" s="58">
        <v>216.0</v>
      </c>
      <c r="M121" s="58">
        <v>9.0</v>
      </c>
      <c r="N121" s="29"/>
      <c r="O121" s="29"/>
      <c r="P121" s="29"/>
    </row>
    <row r="122" ht="30.0" customHeight="1">
      <c r="A122" s="40" t="s">
        <v>353</v>
      </c>
      <c r="B122" s="58">
        <v>234.0</v>
      </c>
      <c r="C122" s="45">
        <f t="shared" si="1"/>
        <v>11</v>
      </c>
      <c r="D122" s="58">
        <v>9.0</v>
      </c>
      <c r="E122" s="48">
        <f t="shared" si="2"/>
        <v>2</v>
      </c>
      <c r="F122" s="60">
        <f t="shared" si="3"/>
        <v>0.03846153846</v>
      </c>
      <c r="G122" s="72">
        <v>0.0</v>
      </c>
      <c r="H122" s="72">
        <v>73.0</v>
      </c>
      <c r="I122" s="54" t="str">
        <f>HYPERLINK("https://www.itv.com/news/channel/2020-03-12/live-updates-number-of-coronavirus-cases-in-the-channel-islands/","Source")</f>
        <v>Source</v>
      </c>
      <c r="J122" s="66"/>
      <c r="K122" s="47" t="s">
        <v>19</v>
      </c>
      <c r="L122" s="58">
        <v>223.0</v>
      </c>
      <c r="M122" s="58">
        <v>7.0</v>
      </c>
      <c r="N122" s="29"/>
      <c r="O122" s="29"/>
      <c r="P122" s="29"/>
    </row>
    <row r="123" ht="30.0" customHeight="1">
      <c r="A123" s="40" t="s">
        <v>354</v>
      </c>
      <c r="B123" s="58">
        <v>223.0</v>
      </c>
      <c r="C123" s="45">
        <f t="shared" si="1"/>
        <v>6</v>
      </c>
      <c r="D123" s="58">
        <v>10.0</v>
      </c>
      <c r="E123" s="48">
        <f t="shared" si="2"/>
        <v>4</v>
      </c>
      <c r="F123" s="60">
        <f t="shared" si="3"/>
        <v>0.04484304933</v>
      </c>
      <c r="G123" s="72" t="s">
        <v>26</v>
      </c>
      <c r="H123" s="72" t="s">
        <v>26</v>
      </c>
      <c r="I123" s="54" t="str">
        <f>HYPERLINK("https://www.gov.je/Health/Coronavirus/Pages/CoronavirusCases.aspx","Source")</f>
        <v>Source</v>
      </c>
      <c r="J123" s="66"/>
      <c r="K123" s="36"/>
      <c r="L123" s="58">
        <v>217.0</v>
      </c>
      <c r="M123" s="58">
        <v>6.0</v>
      </c>
      <c r="N123" s="29"/>
      <c r="O123" s="29"/>
      <c r="P123" s="29"/>
    </row>
    <row r="124" ht="30.0" customHeight="1">
      <c r="A124" s="40" t="s">
        <v>355</v>
      </c>
      <c r="B124" s="58">
        <v>204.0</v>
      </c>
      <c r="C124" s="45">
        <f t="shared" si="1"/>
        <v>11</v>
      </c>
      <c r="D124" s="58">
        <v>9.0</v>
      </c>
      <c r="E124" s="48">
        <f t="shared" si="2"/>
        <v>0</v>
      </c>
      <c r="F124" s="39">
        <f t="shared" si="3"/>
        <v>0.04411764706</v>
      </c>
      <c r="G124" s="72">
        <v>4.0</v>
      </c>
      <c r="H124" s="72">
        <v>111.0</v>
      </c>
      <c r="I124" s="54" t="str">
        <f>HYPERLINK("https://www.ntn24.com/america-latina/venezuela/cuatro-medicos-cubanos-se-suman-nuevos-casos-de-covid-19-en-venezuela","Source")</f>
        <v>Source</v>
      </c>
      <c r="J124" s="66"/>
      <c r="K124" s="47" t="s">
        <v>19</v>
      </c>
      <c r="L124" s="58">
        <v>193.0</v>
      </c>
      <c r="M124" s="58">
        <v>9.0</v>
      </c>
      <c r="N124" s="29"/>
      <c r="O124" s="29"/>
      <c r="P124" s="29"/>
    </row>
    <row r="125" ht="27.75" customHeight="1">
      <c r="A125" s="40" t="s">
        <v>346</v>
      </c>
      <c r="B125" s="58">
        <v>196.0</v>
      </c>
      <c r="C125" s="45">
        <f t="shared" si="1"/>
        <v>29</v>
      </c>
      <c r="D125" s="58">
        <v>6.0</v>
      </c>
      <c r="E125" s="48">
        <f t="shared" si="2"/>
        <v>1</v>
      </c>
      <c r="F125" s="39">
        <f t="shared" si="3"/>
        <v>0.0306122449</v>
      </c>
      <c r="G125" s="72" t="s">
        <v>26</v>
      </c>
      <c r="H125" s="72">
        <v>19.0</v>
      </c>
      <c r="I125" s="54" t="str">
        <f>HYPERLINK("https://www.mspas.gob.gt/index.php/noticias/covid-19/casos","Source")</f>
        <v>Source</v>
      </c>
      <c r="J125" s="66"/>
      <c r="K125" s="36"/>
      <c r="L125" s="58">
        <v>167.0</v>
      </c>
      <c r="M125" s="58">
        <v>5.0</v>
      </c>
      <c r="N125" s="29"/>
      <c r="O125" s="29"/>
      <c r="P125" s="29"/>
    </row>
    <row r="126" ht="27.75" customHeight="1">
      <c r="A126" s="40" t="s">
        <v>345</v>
      </c>
      <c r="B126" s="58">
        <v>174.0</v>
      </c>
      <c r="C126" s="45">
        <f t="shared" si="1"/>
        <v>13</v>
      </c>
      <c r="D126" s="58">
        <v>8.0</v>
      </c>
      <c r="E126" s="48">
        <f t="shared" si="2"/>
        <v>0</v>
      </c>
      <c r="F126" s="39">
        <f t="shared" si="3"/>
        <v>0.04597701149</v>
      </c>
      <c r="G126" s="72" t="s">
        <v>26</v>
      </c>
      <c r="H126" s="72">
        <v>30.0</v>
      </c>
      <c r="I126" s="54" t="str">
        <f>HYPERLINK("https://twitter.com/msaludpy/status/1250587695044329472","Source")</f>
        <v>Source</v>
      </c>
      <c r="J126" s="66"/>
      <c r="K126" s="36"/>
      <c r="L126" s="58">
        <v>161.0</v>
      </c>
      <c r="M126" s="58">
        <v>8.0</v>
      </c>
      <c r="N126" s="29"/>
      <c r="O126" s="29"/>
      <c r="P126" s="29"/>
    </row>
    <row r="127" ht="30.0" customHeight="1">
      <c r="A127" s="40" t="s">
        <v>356</v>
      </c>
      <c r="B127" s="58">
        <v>171.0</v>
      </c>
      <c r="C127" s="45">
        <f t="shared" si="1"/>
        <v>27</v>
      </c>
      <c r="D127" s="58">
        <v>13.0</v>
      </c>
      <c r="E127" s="48">
        <f t="shared" si="2"/>
        <v>0</v>
      </c>
      <c r="F127" s="60">
        <f t="shared" si="3"/>
        <v>0.07602339181</v>
      </c>
      <c r="G127" s="72" t="s">
        <v>26</v>
      </c>
      <c r="H127" s="72">
        <v>34.0</v>
      </c>
      <c r="I127" s="54" t="str">
        <f>HYPERLINK("https://www.maliweb.net/sante/mali-23-nouveaux-cas-confirmes-au-covid-19-ce-jeudi-2868721.html","Source")</f>
        <v>Source</v>
      </c>
      <c r="J127" s="66"/>
      <c r="K127" s="36"/>
      <c r="L127" s="58">
        <v>144.0</v>
      </c>
      <c r="M127" s="58">
        <v>13.0</v>
      </c>
      <c r="N127" s="29"/>
      <c r="O127" s="29"/>
      <c r="P127" s="29"/>
    </row>
    <row r="128" ht="30.0" customHeight="1">
      <c r="A128" s="40" t="s">
        <v>347</v>
      </c>
      <c r="B128" s="58">
        <v>159.0</v>
      </c>
      <c r="C128" s="45">
        <f t="shared" si="1"/>
        <v>0</v>
      </c>
      <c r="D128" s="58">
        <v>6.0</v>
      </c>
      <c r="E128" s="48">
        <f t="shared" si="2"/>
        <v>0</v>
      </c>
      <c r="F128" s="39">
        <f t="shared" si="3"/>
        <v>0.03773584906</v>
      </c>
      <c r="G128" s="72" t="s">
        <v>26</v>
      </c>
      <c r="H128" s="72">
        <v>33.0</v>
      </c>
      <c r="I128" s="54" t="str">
        <f>HYPERLINK("https://covid19.gob.sv/","Source")</f>
        <v>Source</v>
      </c>
      <c r="J128" s="66"/>
      <c r="K128" s="47" t="s">
        <v>19</v>
      </c>
      <c r="L128" s="58">
        <v>159.0</v>
      </c>
      <c r="M128" s="58">
        <v>6.0</v>
      </c>
      <c r="N128" s="29"/>
      <c r="O128" s="29"/>
      <c r="P128" s="29"/>
    </row>
    <row r="129" ht="30.0" customHeight="1">
      <c r="A129" s="40" t="s">
        <v>357</v>
      </c>
      <c r="B129" s="58">
        <v>143.0</v>
      </c>
      <c r="C129" s="45">
        <f t="shared" si="1"/>
        <v>18</v>
      </c>
      <c r="D129" s="58">
        <v>5.0</v>
      </c>
      <c r="E129" s="48">
        <f t="shared" si="2"/>
        <v>0</v>
      </c>
      <c r="F129" s="60">
        <f t="shared" si="3"/>
        <v>0.03496503497</v>
      </c>
      <c r="G129" s="72" t="s">
        <v>26</v>
      </c>
      <c r="H129" s="72">
        <v>21.0</v>
      </c>
      <c r="I129" s="54" t="str">
        <f>HYPERLINK("https://twitter.com/JamaicaGleaner/status/1250821307287175172","Source")</f>
        <v>Source</v>
      </c>
      <c r="J129" s="66"/>
      <c r="K129" s="36"/>
      <c r="L129" s="58">
        <v>125.0</v>
      </c>
      <c r="M129" s="58">
        <v>5.0</v>
      </c>
      <c r="N129" s="29"/>
      <c r="O129" s="29"/>
      <c r="P129" s="29"/>
    </row>
    <row r="130" ht="30.0" customHeight="1">
      <c r="A130" s="40" t="s">
        <v>358</v>
      </c>
      <c r="B130" s="58">
        <v>138.0</v>
      </c>
      <c r="C130" s="45">
        <f t="shared" si="1"/>
        <v>2</v>
      </c>
      <c r="D130" s="58">
        <v>0.0</v>
      </c>
      <c r="E130" s="48">
        <f t="shared" si="2"/>
        <v>0</v>
      </c>
      <c r="F130" s="39">
        <f t="shared" si="3"/>
        <v>0</v>
      </c>
      <c r="G130" s="72">
        <v>0.0</v>
      </c>
      <c r="H130" s="72">
        <v>60.0</v>
      </c>
      <c r="I130" s="54" t="str">
        <f>HYPERLINK("https://twitter.com/RwandaHealth/status/1250846983616696320","Source")</f>
        <v>Source</v>
      </c>
      <c r="J130" s="66"/>
      <c r="K130" s="36"/>
      <c r="L130" s="58">
        <v>136.0</v>
      </c>
      <c r="M130" s="58">
        <v>0.0</v>
      </c>
      <c r="N130" s="29"/>
      <c r="O130" s="29"/>
    </row>
    <row r="131" ht="30.0" customHeight="1">
      <c r="A131" s="40" t="s">
        <v>359</v>
      </c>
      <c r="B131" s="58">
        <v>136.0</v>
      </c>
      <c r="C131" s="45">
        <f t="shared" si="1"/>
        <v>0</v>
      </c>
      <c r="D131" s="58">
        <v>1.0</v>
      </c>
      <c r="E131" s="48">
        <f t="shared" si="2"/>
        <v>0</v>
      </c>
      <c r="F131" s="60">
        <f t="shared" si="3"/>
        <v>0.007352941176</v>
      </c>
      <c r="G131" s="72" t="s">
        <v>26</v>
      </c>
      <c r="H131" s="72">
        <v>108.0</v>
      </c>
      <c r="I131" s="54" t="str">
        <f>HYPERLINK("https://twitter.com/borneo_bulletin/status/1250715930557997058","Source")</f>
        <v>Source</v>
      </c>
      <c r="J131" s="66"/>
      <c r="K131" s="47" t="s">
        <v>19</v>
      </c>
      <c r="L131" s="58">
        <v>136.0</v>
      </c>
      <c r="M131" s="58">
        <v>1.0</v>
      </c>
      <c r="N131" s="29"/>
      <c r="O131" s="29"/>
      <c r="P131" s="29"/>
    </row>
    <row r="132" ht="27.75" customHeight="1">
      <c r="A132" s="40" t="s">
        <v>360</v>
      </c>
      <c r="B132" s="58">
        <v>133.0</v>
      </c>
      <c r="C132" s="45">
        <f t="shared" si="1"/>
        <v>2</v>
      </c>
      <c r="D132" s="58">
        <v>0.0</v>
      </c>
      <c r="E132" s="48">
        <f t="shared" si="2"/>
        <v>0</v>
      </c>
      <c r="F132" s="39">
        <f t="shared" si="3"/>
        <v>0</v>
      </c>
      <c r="G132" s="72">
        <v>0.0</v>
      </c>
      <c r="H132" s="72">
        <v>105.0</v>
      </c>
      <c r="I132" s="54" t="str">
        <f>HYPERLINK("https://www.gibraltar.gov.gi/covid19","Source")</f>
        <v>Source</v>
      </c>
      <c r="J132" s="66"/>
      <c r="K132" s="36"/>
      <c r="L132" s="58">
        <v>131.0</v>
      </c>
      <c r="M132" s="58">
        <v>0.0</v>
      </c>
      <c r="N132" s="29"/>
      <c r="O132" s="29"/>
      <c r="P132" s="29"/>
    </row>
    <row r="133" ht="30.0" customHeight="1">
      <c r="A133" s="40" t="s">
        <v>361</v>
      </c>
      <c r="B133" s="58">
        <v>122.0</v>
      </c>
      <c r="C133" s="45">
        <f t="shared" si="1"/>
        <v>0</v>
      </c>
      <c r="D133" s="58">
        <v>0.0</v>
      </c>
      <c r="E133" s="48">
        <f t="shared" si="2"/>
        <v>0</v>
      </c>
      <c r="F133" s="60">
        <f t="shared" si="3"/>
        <v>0</v>
      </c>
      <c r="G133" s="72" t="s">
        <v>26</v>
      </c>
      <c r="H133" s="72">
        <v>98.0</v>
      </c>
      <c r="I133" s="54" t="str">
        <f>HYPERLINK("https://covid19-map.cdcmoh.gov.kh/","Source")</f>
        <v>Source</v>
      </c>
      <c r="J133" s="177"/>
      <c r="K133" s="36"/>
      <c r="L133" s="58">
        <v>122.0</v>
      </c>
      <c r="M133" s="58">
        <v>0.0</v>
      </c>
      <c r="N133" s="29"/>
      <c r="O133" s="29"/>
      <c r="P133" s="29"/>
    </row>
    <row r="134" ht="30.0" customHeight="1">
      <c r="A134" s="40" t="s">
        <v>362</v>
      </c>
      <c r="B134" s="58">
        <v>117.0</v>
      </c>
      <c r="C134" s="45">
        <f t="shared" si="1"/>
        <v>43</v>
      </c>
      <c r="D134" s="58">
        <v>5.0</v>
      </c>
      <c r="E134" s="48">
        <f t="shared" si="2"/>
        <v>0</v>
      </c>
      <c r="F134" s="60">
        <f t="shared" si="3"/>
        <v>0.04273504274</v>
      </c>
      <c r="G134" s="72" t="s">
        <v>26</v>
      </c>
      <c r="H134" s="72" t="s">
        <v>26</v>
      </c>
      <c r="I134" s="54" t="str">
        <f>HYPERLINK("https://pbs.twimg.com/media/EVuB7H-XQAA3JAR.jpg","Source")</f>
        <v>Source</v>
      </c>
      <c r="J134" s="66"/>
      <c r="K134" s="36"/>
      <c r="L134" s="58">
        <v>74.0</v>
      </c>
      <c r="M134" s="58">
        <v>5.0</v>
      </c>
      <c r="N134" s="29"/>
      <c r="O134" s="29"/>
      <c r="P134" s="29"/>
    </row>
    <row r="135" ht="30.0" customHeight="1">
      <c r="A135" s="40" t="s">
        <v>363</v>
      </c>
      <c r="B135" s="58">
        <v>114.0</v>
      </c>
      <c r="C135" s="45">
        <f t="shared" si="1"/>
        <v>0</v>
      </c>
      <c r="D135" s="58">
        <v>8.0</v>
      </c>
      <c r="E135" s="48">
        <f t="shared" si="2"/>
        <v>0</v>
      </c>
      <c r="F135" s="39">
        <f t="shared" si="3"/>
        <v>0.0701754386</v>
      </c>
      <c r="G135" s="72" t="s">
        <v>26</v>
      </c>
      <c r="H135" s="72">
        <v>20.0</v>
      </c>
      <c r="I135" s="54" t="str">
        <f>HYPERLINK("https://twitter.com/MOH_TT/status/1250880064142663680","Source")</f>
        <v>Source</v>
      </c>
      <c r="J135" s="66"/>
      <c r="K135" s="47" t="s">
        <v>19</v>
      </c>
      <c r="L135" s="58">
        <v>114.0</v>
      </c>
      <c r="M135" s="58">
        <v>8.0</v>
      </c>
      <c r="N135" s="29"/>
      <c r="O135" s="29"/>
      <c r="P135" s="29"/>
    </row>
    <row r="136" ht="30.0" customHeight="1">
      <c r="A136" s="40" t="s">
        <v>364</v>
      </c>
      <c r="B136" s="58">
        <v>110.0</v>
      </c>
      <c r="C136" s="45">
        <f t="shared" si="1"/>
        <v>4</v>
      </c>
      <c r="D136" s="58">
        <v>0.0</v>
      </c>
      <c r="E136" s="48">
        <f t="shared" si="2"/>
        <v>0</v>
      </c>
      <c r="F136" s="60">
        <f t="shared" si="3"/>
        <v>0</v>
      </c>
      <c r="G136" s="72">
        <v>1.0</v>
      </c>
      <c r="H136" s="72">
        <v>29.0</v>
      </c>
      <c r="I136" s="54" t="str">
        <f>HYPERLINK("https://www.madagascar-tribune.com/Six-personnes-nouvellement-gueries-du-Covid-19-quittent-l-hopital.html","Source")</f>
        <v>Source</v>
      </c>
      <c r="J136" s="66"/>
      <c r="K136" s="36"/>
      <c r="L136" s="58">
        <v>106.0</v>
      </c>
      <c r="M136" s="58">
        <v>0.0</v>
      </c>
      <c r="N136" s="29"/>
      <c r="O136" s="29"/>
      <c r="P136" s="29"/>
    </row>
    <row r="137" ht="27.75" customHeight="1">
      <c r="A137" s="40" t="s">
        <v>365</v>
      </c>
      <c r="B137" s="58">
        <v>105.0</v>
      </c>
      <c r="C137" s="45">
        <f t="shared" si="1"/>
        <v>5</v>
      </c>
      <c r="D137" s="58">
        <v>4.0</v>
      </c>
      <c r="E137" s="48">
        <f t="shared" si="2"/>
        <v>0</v>
      </c>
      <c r="F137" s="60">
        <f t="shared" si="3"/>
        <v>0.0380952381</v>
      </c>
      <c r="G137" s="72" t="s">
        <v>26</v>
      </c>
      <c r="H137" s="72">
        <v>8.0</v>
      </c>
      <c r="I137" s="54" t="str">
        <f>HYPERLINK("https://in-cyprus.philenews.com/three-more-covid-19-cases-in-turkish-held-north/","Source")</f>
        <v>Source</v>
      </c>
      <c r="J137" s="66"/>
      <c r="K137" s="36"/>
      <c r="L137" s="58">
        <v>100.0</v>
      </c>
      <c r="M137" s="58">
        <v>4.0</v>
      </c>
      <c r="N137" s="29"/>
      <c r="O137" s="29"/>
      <c r="P137" s="29"/>
    </row>
    <row r="138" ht="30.0" customHeight="1">
      <c r="A138" s="40" t="s">
        <v>366</v>
      </c>
      <c r="B138" s="58">
        <v>95.0</v>
      </c>
      <c r="C138" s="45">
        <f t="shared" si="1"/>
        <v>2</v>
      </c>
      <c r="D138" s="58">
        <v>2.0</v>
      </c>
      <c r="E138" s="48">
        <f t="shared" si="2"/>
        <v>1</v>
      </c>
      <c r="F138" s="39">
        <f t="shared" si="3"/>
        <v>0.02105263158</v>
      </c>
      <c r="G138" s="72" t="s">
        <v>26</v>
      </c>
      <c r="H138" s="72">
        <v>39.0</v>
      </c>
      <c r="I138" s="54" t="str">
        <f>HYPERLINK("https://www.arubacovid19.org/","Source")</f>
        <v>Source</v>
      </c>
      <c r="J138" s="66"/>
      <c r="K138" s="47" t="s">
        <v>19</v>
      </c>
      <c r="L138" s="58">
        <v>93.0</v>
      </c>
      <c r="M138" s="58">
        <v>1.0</v>
      </c>
      <c r="N138" s="29"/>
      <c r="O138" s="29"/>
      <c r="P138" s="29"/>
    </row>
    <row r="139" ht="30.0" customHeight="1">
      <c r="A139" s="40" t="s">
        <v>367</v>
      </c>
      <c r="B139" s="58">
        <v>95.0</v>
      </c>
      <c r="C139" s="45">
        <f t="shared" si="1"/>
        <v>15</v>
      </c>
      <c r="D139" s="58">
        <v>1.0</v>
      </c>
      <c r="E139" s="48">
        <f t="shared" si="2"/>
        <v>0</v>
      </c>
      <c r="F139" s="60">
        <f t="shared" si="3"/>
        <v>0.01052631579</v>
      </c>
      <c r="G139" s="72" t="s">
        <v>26</v>
      </c>
      <c r="H139" s="72">
        <v>6.0</v>
      </c>
      <c r="I139" s="54" t="str">
        <f>HYPERLINK("https://www.facebook.com/Covid19GOUVGA/photos/a.121367692807021/130001521943638/?type=3&amp;theater","Source")</f>
        <v>Source</v>
      </c>
      <c r="J139" s="66"/>
      <c r="K139" s="36"/>
      <c r="L139" s="58">
        <v>80.0</v>
      </c>
      <c r="M139" s="58">
        <v>1.0</v>
      </c>
      <c r="N139" s="29"/>
      <c r="O139" s="29"/>
      <c r="P139" s="29"/>
    </row>
    <row r="140" ht="30.0" customHeight="1">
      <c r="A140" s="40" t="s">
        <v>368</v>
      </c>
      <c r="B140" s="58">
        <v>94.0</v>
      </c>
      <c r="C140" s="45">
        <f t="shared" si="1"/>
        <v>41</v>
      </c>
      <c r="D140" s="58">
        <v>4.0</v>
      </c>
      <c r="E140" s="48">
        <f t="shared" si="2"/>
        <v>1</v>
      </c>
      <c r="F140" s="60">
        <f t="shared" si="3"/>
        <v>0.04255319149</v>
      </c>
      <c r="G140" s="72" t="s">
        <v>26</v>
      </c>
      <c r="H140" s="72">
        <v>5.0</v>
      </c>
      <c r="I140" s="54" t="str">
        <f>HYPERLINK("https://www.thecitizen.co.tz/news/Six-more-test-positive-in-Zanzibar-as-Covid-19-cases-reach-24/1840340-5525914-ag70csz/index.html","Source")</f>
        <v>Source</v>
      </c>
      <c r="J140" s="66"/>
      <c r="K140" s="36"/>
      <c r="L140" s="58">
        <v>53.0</v>
      </c>
      <c r="M140" s="58">
        <v>3.0</v>
      </c>
      <c r="N140" s="29"/>
      <c r="O140" s="29"/>
      <c r="P140" s="29"/>
    </row>
    <row r="141" ht="30.0" customHeight="1">
      <c r="A141" s="40" t="s">
        <v>369</v>
      </c>
      <c r="B141" s="58">
        <v>93.0</v>
      </c>
      <c r="C141" s="45">
        <f t="shared" si="1"/>
        <v>0</v>
      </c>
      <c r="D141" s="58">
        <v>1.0</v>
      </c>
      <c r="E141" s="48">
        <f t="shared" si="2"/>
        <v>0</v>
      </c>
      <c r="F141" s="39">
        <f t="shared" si="3"/>
        <v>0.01075268817</v>
      </c>
      <c r="G141" s="72">
        <v>2.0</v>
      </c>
      <c r="H141" s="72">
        <v>15.0</v>
      </c>
      <c r="I141" s="54" t="str">
        <f>HYPERLINK("https://en.gouv.mc/Policy-Practice/Coronavirus-Covid-2019/Actualites/CORONAVIRUS-pas-de-nouveau-cas-positif-revele-a-Monaco-ce-jeudi","Source")</f>
        <v>Source</v>
      </c>
      <c r="J141" s="66"/>
      <c r="K141" s="36"/>
      <c r="L141" s="58">
        <v>93.0</v>
      </c>
      <c r="M141" s="58">
        <v>1.0</v>
      </c>
      <c r="N141" s="29"/>
      <c r="O141" s="29"/>
      <c r="P141" s="29"/>
    </row>
    <row r="142" ht="30.0" customHeight="1">
      <c r="A142" s="40" t="s">
        <v>370</v>
      </c>
      <c r="B142" s="58">
        <v>92.0</v>
      </c>
      <c r="C142" s="45">
        <f t="shared" si="1"/>
        <v>7</v>
      </c>
      <c r="D142" s="58">
        <v>3.0</v>
      </c>
      <c r="E142" s="48">
        <f t="shared" si="2"/>
        <v>0</v>
      </c>
      <c r="F142" s="60">
        <f t="shared" si="3"/>
        <v>0.03260869565</v>
      </c>
      <c r="G142" s="72" t="s">
        <v>26</v>
      </c>
      <c r="H142" s="72">
        <v>15.0</v>
      </c>
      <c r="I142" s="54" t="str">
        <f>HYPERLINK("https://twitter.com/lia_tadesse/status/1250717575056670721","Source")</f>
        <v>Source</v>
      </c>
      <c r="J142" s="66"/>
      <c r="K142" s="47" t="s">
        <v>19</v>
      </c>
      <c r="L142" s="58">
        <v>85.0</v>
      </c>
      <c r="M142" s="58">
        <v>3.0</v>
      </c>
      <c r="N142" s="29"/>
      <c r="O142" s="29"/>
      <c r="P142" s="29"/>
    </row>
    <row r="143" ht="30.0" customHeight="1">
      <c r="A143" s="40" t="s">
        <v>371</v>
      </c>
      <c r="B143" s="58">
        <v>85.0</v>
      </c>
      <c r="C143" s="45">
        <f t="shared" si="1"/>
        <v>11</v>
      </c>
      <c r="D143" s="58">
        <v>4.0</v>
      </c>
      <c r="E143" s="48">
        <f t="shared" si="2"/>
        <v>0</v>
      </c>
      <c r="F143" s="39">
        <f t="shared" si="3"/>
        <v>0.04705882353</v>
      </c>
      <c r="G143" s="72" t="s">
        <v>26</v>
      </c>
      <c r="H143" s="72">
        <v>2.0</v>
      </c>
      <c r="I143" s="54" t="str">
        <f>HYPERLINK("https://www.facebook.com/MinistryOfHealthAndSportsMyanmar/posts/3331072506922031?__xts__%5B0%5D=68.ARBksxM-CsklmhS3vgZbPgnR6ZNmavTzAvQAiID0OsmoA_DPl9EQd6ZmZRrObt34-PNkeZ9bjGqXz6gG4fHCSTbZDUtKrnKdfFr2ZVUXORDXQxTBZCTl3NNI06WKlXmSHuDipY7K89XmIrr3K6XL1B3ymKRx"&amp;"kltSM8ZOl5wQQd65o50IoRr7vB0Vg4LagTcwRUddqScVjruxqVZqnK357quM7qe8ll_IefV2S_vDM_KJeN9qEa8jao5jjrMecsgoNnolHXdkXDg6bDZ1tqYerbxS551W6YBvHZSwTdVB7p9GxCO6h5YzO85WKACvOwnLTpAocwro_BprqG-ogplevYffYQ&amp;__tn__=-R","Source")</f>
        <v>Source</v>
      </c>
      <c r="J143" s="66"/>
      <c r="K143" s="36"/>
      <c r="L143" s="58">
        <v>74.0</v>
      </c>
      <c r="M143" s="58">
        <v>4.0</v>
      </c>
      <c r="N143" s="29"/>
      <c r="O143" s="29"/>
      <c r="P143" s="29"/>
    </row>
    <row r="144" ht="30.0" customHeight="1">
      <c r="A144" s="40" t="s">
        <v>372</v>
      </c>
      <c r="B144" s="58">
        <v>83.0</v>
      </c>
      <c r="C144" s="45">
        <f t="shared" si="1"/>
        <v>26</v>
      </c>
      <c r="D144" s="58">
        <v>5.0</v>
      </c>
      <c r="E144" s="48">
        <f t="shared" si="2"/>
        <v>0</v>
      </c>
      <c r="F144" s="39">
        <f t="shared" si="3"/>
        <v>0.06024096386</v>
      </c>
      <c r="G144" s="72" t="s">
        <v>26</v>
      </c>
      <c r="H144" s="72">
        <v>35.0</v>
      </c>
      <c r="I144" s="54" t="str">
        <f>HYPERLINK("https://www.gov.bm/coronavirus","Source")</f>
        <v>Source</v>
      </c>
      <c r="J144" s="66"/>
      <c r="K144" s="36"/>
      <c r="L144" s="58">
        <v>57.0</v>
      </c>
      <c r="M144" s="58">
        <v>5.0</v>
      </c>
      <c r="N144" s="29"/>
      <c r="O144" s="29"/>
      <c r="P144" s="29"/>
    </row>
    <row r="145" ht="27.75" customHeight="1">
      <c r="A145" s="40" t="s">
        <v>373</v>
      </c>
      <c r="B145" s="58">
        <v>81.0</v>
      </c>
      <c r="C145" s="45">
        <f t="shared" si="1"/>
        <v>4</v>
      </c>
      <c r="D145" s="58">
        <v>5.0</v>
      </c>
      <c r="E145" s="48">
        <f t="shared" si="2"/>
        <v>2</v>
      </c>
      <c r="F145" s="60">
        <f t="shared" si="3"/>
        <v>0.06172839506</v>
      </c>
      <c r="G145" s="72" t="s">
        <v>26</v>
      </c>
      <c r="H145" s="72">
        <v>45.0</v>
      </c>
      <c r="I145" s="54" t="str">
        <f>HYPERLINK("https://covid19.gouv.tg/","Source")</f>
        <v>Source</v>
      </c>
      <c r="J145" s="66"/>
      <c r="K145" s="47" t="s">
        <v>374</v>
      </c>
      <c r="L145" s="58">
        <v>77.0</v>
      </c>
      <c r="M145" s="58">
        <v>3.0</v>
      </c>
      <c r="N145" s="29"/>
      <c r="O145" s="29"/>
      <c r="P145" s="29"/>
    </row>
    <row r="146" ht="30.0" customHeight="1">
      <c r="A146" s="40" t="s">
        <v>375</v>
      </c>
      <c r="B146" s="58">
        <v>80.0</v>
      </c>
      <c r="C146" s="45">
        <f t="shared" si="1"/>
        <v>20</v>
      </c>
      <c r="D146" s="58">
        <v>5.0</v>
      </c>
      <c r="E146" s="48">
        <f t="shared" si="2"/>
        <v>4</v>
      </c>
      <c r="F146" s="39">
        <f t="shared" si="3"/>
        <v>0.0625</v>
      </c>
      <c r="G146" s="72" t="s">
        <v>26</v>
      </c>
      <c r="H146" s="72">
        <v>2.0</v>
      </c>
      <c r="I146" s="54" t="str">
        <f>HYPERLINK("https://twitter.com/SomaliaCovid19/status/1250846680750178312","Source")</f>
        <v>Source</v>
      </c>
      <c r="J146" s="66"/>
      <c r="K146" s="36"/>
      <c r="L146" s="58">
        <v>60.0</v>
      </c>
      <c r="M146" s="58">
        <v>1.0</v>
      </c>
      <c r="N146" s="29"/>
      <c r="O146" s="29"/>
      <c r="P146" s="29"/>
    </row>
    <row r="147" ht="27.75" customHeight="1">
      <c r="A147" s="40" t="s">
        <v>376</v>
      </c>
      <c r="B147" s="58">
        <v>80.0</v>
      </c>
      <c r="C147" s="45">
        <f t="shared" si="1"/>
        <v>0</v>
      </c>
      <c r="D147" s="58">
        <v>1.0</v>
      </c>
      <c r="E147" s="48">
        <f t="shared" si="2"/>
        <v>0</v>
      </c>
      <c r="F147" s="39">
        <f t="shared" si="3"/>
        <v>0.0125</v>
      </c>
      <c r="G147" s="72" t="s">
        <v>26</v>
      </c>
      <c r="H147" s="72">
        <v>55.0</v>
      </c>
      <c r="I147" s="54" t="str">
        <f>HYPERLINK("https://www.regierung.li/de/mitteilungen/223399/?typ=news","Source")</f>
        <v>Source</v>
      </c>
      <c r="J147" s="66"/>
      <c r="K147" s="36"/>
      <c r="L147" s="58">
        <v>80.0</v>
      </c>
      <c r="M147" s="58">
        <v>1.0</v>
      </c>
      <c r="N147" s="29"/>
      <c r="O147" s="29"/>
      <c r="P147" s="29"/>
    </row>
    <row r="148" ht="30.0" customHeight="1">
      <c r="A148" s="40" t="s">
        <v>377</v>
      </c>
      <c r="B148" s="58">
        <v>75.0</v>
      </c>
      <c r="C148" s="45">
        <f t="shared" si="1"/>
        <v>2</v>
      </c>
      <c r="D148" s="58">
        <v>5.0</v>
      </c>
      <c r="E148" s="48">
        <f t="shared" si="2"/>
        <v>0</v>
      </c>
      <c r="F148" s="39">
        <f t="shared" si="3"/>
        <v>0.06666666667</v>
      </c>
      <c r="G148" s="72">
        <v>2.0</v>
      </c>
      <c r="H148" s="72">
        <v>15.0</v>
      </c>
      <c r="I148" s="54" t="str">
        <f>HYPERLINK("https://www.facebook.com/moh.barbados/photos/a.768944336470972/3082953421736707/?type=3&amp;theater","Source")</f>
        <v>Source</v>
      </c>
      <c r="J148" s="66"/>
      <c r="K148" s="36"/>
      <c r="L148" s="58">
        <v>73.0</v>
      </c>
      <c r="M148" s="58">
        <v>5.0</v>
      </c>
      <c r="N148" s="29"/>
      <c r="O148" s="29"/>
      <c r="P148" s="29"/>
    </row>
    <row r="149" ht="30.0" customHeight="1">
      <c r="A149" s="40" t="s">
        <v>378</v>
      </c>
      <c r="B149" s="58">
        <v>73.0</v>
      </c>
      <c r="C149" s="45">
        <f t="shared" si="1"/>
        <v>14</v>
      </c>
      <c r="D149" s="58">
        <v>6.0</v>
      </c>
      <c r="E149" s="48">
        <f t="shared" si="2"/>
        <v>0</v>
      </c>
      <c r="F149" s="39">
        <f t="shared" si="3"/>
        <v>0.08219178082</v>
      </c>
      <c r="G149" s="72" t="s">
        <v>26</v>
      </c>
      <c r="H149" s="72">
        <v>4.0</v>
      </c>
      <c r="I149" s="54" t="str">
        <f>HYPERLINK("https://www.facebook.com/notes/national-public-health-institute-of-liberia-nphil/lr-covid-19-situation-reports-30-31-april-14-15-2020/972586069827895/","Source")</f>
        <v>Source</v>
      </c>
      <c r="J149" s="66"/>
      <c r="K149" s="36"/>
      <c r="L149" s="58">
        <v>59.0</v>
      </c>
      <c r="M149" s="58">
        <v>6.0</v>
      </c>
      <c r="N149" s="29"/>
      <c r="O149" s="29"/>
      <c r="P149" s="29"/>
    </row>
    <row r="150" ht="30.0" customHeight="1">
      <c r="A150" s="40" t="s">
        <v>379</v>
      </c>
      <c r="B150" s="58">
        <v>60.0</v>
      </c>
      <c r="C150" s="45">
        <f t="shared" si="1"/>
        <v>6</v>
      </c>
      <c r="D150" s="58">
        <v>1.0</v>
      </c>
      <c r="E150" s="48">
        <f t="shared" si="2"/>
        <v>0</v>
      </c>
      <c r="F150" s="39">
        <f t="shared" si="3"/>
        <v>0.01666666667</v>
      </c>
      <c r="G150" s="72">
        <v>1.0</v>
      </c>
      <c r="H150" s="72">
        <v>6.0</v>
      </c>
      <c r="I150" s="54" t="str">
        <f>HYPERLINK("http://www.gov.ky/portal/page/portal/cighome/pressroom/archive/202004/wednesday-15-april-update","Source")</f>
        <v>Source</v>
      </c>
      <c r="J150" s="66"/>
      <c r="K150" s="36"/>
      <c r="L150" s="58">
        <v>54.0</v>
      </c>
      <c r="M150" s="58">
        <v>1.0</v>
      </c>
      <c r="N150" s="29"/>
      <c r="O150" s="29"/>
      <c r="P150" s="29"/>
    </row>
    <row r="151" ht="30.0" customHeight="1">
      <c r="A151" s="40" t="s">
        <v>380</v>
      </c>
      <c r="B151" s="58">
        <v>57.0</v>
      </c>
      <c r="C151" s="45">
        <f t="shared" si="1"/>
        <v>5</v>
      </c>
      <c r="D151" s="58">
        <v>9.0</v>
      </c>
      <c r="E151" s="48">
        <f t="shared" si="2"/>
        <v>0</v>
      </c>
      <c r="F151" s="39">
        <f t="shared" si="3"/>
        <v>0.1578947368</v>
      </c>
      <c r="G151" s="72">
        <v>1.0</v>
      </c>
      <c r="H151" s="72">
        <v>12.0</v>
      </c>
      <c r="I151" s="54" t="str">
        <f>HYPERLINK("http://www.sintmaartengov.org/government/VSA/Health-Updates/NOVELCORONAVIRUS/Pages/Current-Situation.aspx","Source")</f>
        <v>Source</v>
      </c>
      <c r="J151" s="66"/>
      <c r="K151" s="36"/>
      <c r="L151" s="58">
        <v>52.0</v>
      </c>
      <c r="M151" s="58">
        <v>9.0</v>
      </c>
      <c r="N151" s="29"/>
      <c r="O151" s="29"/>
      <c r="P151" s="29"/>
    </row>
    <row r="152" ht="30.0" customHeight="1">
      <c r="A152" s="40" t="s">
        <v>381</v>
      </c>
      <c r="B152" s="58">
        <v>55.0</v>
      </c>
      <c r="C152" s="45">
        <f t="shared" si="1"/>
        <v>8</v>
      </c>
      <c r="D152" s="58">
        <v>6.0</v>
      </c>
      <c r="E152" s="48">
        <f t="shared" si="2"/>
        <v>0</v>
      </c>
      <c r="F152" s="60">
        <f t="shared" si="3"/>
        <v>0.1090909091</v>
      </c>
      <c r="G152" s="72">
        <v>5.0</v>
      </c>
      <c r="H152" s="72">
        <v>8.0</v>
      </c>
      <c r="I152" s="54" t="str">
        <f>HYPERLINK("https://health.gov.gy/","Source")</f>
        <v>Source</v>
      </c>
      <c r="J152" s="66"/>
      <c r="K152" s="36"/>
      <c r="L152" s="58">
        <v>47.0</v>
      </c>
      <c r="M152" s="58">
        <v>6.0</v>
      </c>
      <c r="N152" s="29"/>
      <c r="O152" s="29"/>
      <c r="P152" s="29"/>
    </row>
    <row r="153" ht="30.0" customHeight="1">
      <c r="A153" s="40" t="s">
        <v>382</v>
      </c>
      <c r="B153" s="58">
        <v>55.0</v>
      </c>
      <c r="C153" s="45">
        <f t="shared" si="1"/>
        <v>44</v>
      </c>
      <c r="D153" s="58">
        <v>1.0</v>
      </c>
      <c r="E153" s="48">
        <f t="shared" si="2"/>
        <v>0</v>
      </c>
      <c r="F153" s="39">
        <f t="shared" si="3"/>
        <v>0.01818181818</v>
      </c>
      <c r="G153" s="72">
        <v>0.0</v>
      </c>
      <c r="H153" s="72">
        <v>1.0</v>
      </c>
      <c r="I153" s="54" t="str">
        <f>HYPERLINK("https://covid19.cv/","Source")</f>
        <v>Source</v>
      </c>
      <c r="J153" s="66"/>
      <c r="K153" s="36"/>
      <c r="L153" s="58">
        <v>11.0</v>
      </c>
      <c r="M153" s="58">
        <v>1.0</v>
      </c>
      <c r="N153" s="29"/>
      <c r="O153" s="29"/>
      <c r="P153" s="29"/>
    </row>
    <row r="154" ht="30.0" customHeight="1">
      <c r="A154" s="40" t="s">
        <v>383</v>
      </c>
      <c r="B154" s="58">
        <v>55.0</v>
      </c>
      <c r="C154" s="45">
        <f t="shared" si="1"/>
        <v>0</v>
      </c>
      <c r="D154" s="58">
        <v>0.0</v>
      </c>
      <c r="E154" s="48">
        <f t="shared" si="2"/>
        <v>0</v>
      </c>
      <c r="F154" s="39">
        <f t="shared" si="3"/>
        <v>0</v>
      </c>
      <c r="G154" s="72" t="s">
        <v>26</v>
      </c>
      <c r="H154" s="72" t="s">
        <v>26</v>
      </c>
      <c r="I154" s="54" t="str">
        <f>HYPERLINK("https://www.presidence.pf/point-de-situation-sur-le-coronavirus-au-15-avril/","Source")</f>
        <v>Source</v>
      </c>
      <c r="J154" s="66"/>
      <c r="K154" s="36"/>
      <c r="L154" s="58">
        <v>55.0</v>
      </c>
      <c r="M154" s="58">
        <v>0.0</v>
      </c>
      <c r="N154" s="29"/>
      <c r="O154" s="29"/>
      <c r="P154" s="29"/>
    </row>
    <row r="155" ht="30.0" customHeight="1">
      <c r="A155" s="40" t="s">
        <v>384</v>
      </c>
      <c r="B155" s="58">
        <v>55.0</v>
      </c>
      <c r="C155" s="45">
        <f t="shared" si="1"/>
        <v>0</v>
      </c>
      <c r="D155" s="58">
        <v>0.0</v>
      </c>
      <c r="E155" s="48">
        <f t="shared" si="2"/>
        <v>0</v>
      </c>
      <c r="F155" s="39">
        <f t="shared" si="3"/>
        <v>0</v>
      </c>
      <c r="G155" s="72" t="s">
        <v>26</v>
      </c>
      <c r="H155" s="72">
        <v>20.0</v>
      </c>
      <c r="I155" s="54" t="str">
        <f>HYPERLINK("https://covid19.gou.go.ug/","Source")</f>
        <v>Source</v>
      </c>
      <c r="J155" s="177"/>
      <c r="K155" s="36"/>
      <c r="L155" s="58">
        <v>55.0</v>
      </c>
      <c r="M155" s="58">
        <v>0.0</v>
      </c>
      <c r="N155" s="29"/>
      <c r="O155" s="29"/>
      <c r="P155" s="29"/>
    </row>
    <row r="156" ht="30.0" customHeight="1">
      <c r="A156" s="40" t="s">
        <v>385</v>
      </c>
      <c r="B156" s="58">
        <v>54.0</v>
      </c>
      <c r="C156" s="45">
        <f t="shared" si="1"/>
        <v>1</v>
      </c>
      <c r="D156" s="58">
        <v>9.0</v>
      </c>
      <c r="E156" s="48">
        <f t="shared" si="2"/>
        <v>1</v>
      </c>
      <c r="F156" s="60">
        <f t="shared" si="3"/>
        <v>0.1666666667</v>
      </c>
      <c r="G156" s="72" t="s">
        <v>26</v>
      </c>
      <c r="H156" s="72">
        <v>9.0</v>
      </c>
      <c r="I156" s="54" t="str">
        <f>HYPERLINK("https://www.facebook.com/MOHBahamas/posts/1092350881148061?__xts__%5B0%5D=68.ARDzRQzRMDPOjQsTcsBR-i3GJQRX5S33JMI38Re42p8b8coDWkHSnB0xLDQjn9Co5ahCvOMK-ukzCM2k1J4qc3nxP2OFaMkO1GsukCmtQlFw86xbQkAEDNaNWvEuSU8vNPRhL9yZViGB_LTZG5vxDXP_nxfBNsjoHS8VEyExToAMZHtRe2"&amp;"htjGiGFkWEdfoV-j5vsady7VNf_99pKFlGVFnju14hBMTUsOkkrOTzM_Y-ovvglEe7UZvyPvghZQkyRibsJlxJaQi88eORW_U_2rMwqBgM4J8oLrBoDs1xj5mkLGQYRmNIN1joUPq3FypVx-Toy8ZJeQMBFizMyy6TA_1bpw&amp;__tn__=-R","Source")</f>
        <v>Source</v>
      </c>
      <c r="J156" s="66"/>
      <c r="K156" s="47" t="s">
        <v>19</v>
      </c>
      <c r="L156" s="58">
        <v>53.0</v>
      </c>
      <c r="M156" s="58">
        <v>8.0</v>
      </c>
      <c r="N156" s="29"/>
      <c r="O156" s="29"/>
      <c r="P156" s="29"/>
    </row>
    <row r="157" ht="30.0" customHeight="1">
      <c r="A157" s="40" t="s">
        <v>386</v>
      </c>
      <c r="B157" s="58">
        <v>51.0</v>
      </c>
      <c r="C157" s="45">
        <f t="shared" si="1"/>
        <v>10</v>
      </c>
      <c r="D157" s="58">
        <v>0.0</v>
      </c>
      <c r="E157" s="48">
        <f t="shared" si="2"/>
        <v>0</v>
      </c>
      <c r="F157" s="39">
        <f t="shared" si="3"/>
        <v>0</v>
      </c>
      <c r="G157" s="72" t="s">
        <v>26</v>
      </c>
      <c r="H157" s="72">
        <v>4.0</v>
      </c>
      <c r="I157" s="54" t="str">
        <f>HYPERLINK("https://ahoraeg.com/salud/2020/04/15/se-confirman-10-nuevos-casos-de-coronavirus-en-malabo/","Source")</f>
        <v>Source</v>
      </c>
      <c r="J157" s="66"/>
      <c r="K157" s="36"/>
      <c r="L157" s="58">
        <v>41.0</v>
      </c>
      <c r="M157" s="58">
        <v>0.0</v>
      </c>
      <c r="N157" s="29"/>
      <c r="O157" s="29"/>
      <c r="P157" s="29"/>
    </row>
    <row r="158" ht="30.0" customHeight="1">
      <c r="A158" s="40" t="s">
        <v>387</v>
      </c>
      <c r="B158" s="58">
        <v>48.0</v>
      </c>
      <c r="C158" s="45">
        <f t="shared" si="1"/>
        <v>3</v>
      </c>
      <c r="D158" s="58">
        <v>2.0</v>
      </c>
      <c r="E158" s="48">
        <f t="shared" si="2"/>
        <v>0</v>
      </c>
      <c r="F158" s="39">
        <f t="shared" si="3"/>
        <v>0.04166666667</v>
      </c>
      <c r="G158" s="72">
        <v>1.0</v>
      </c>
      <c r="H158" s="72">
        <v>30.0</v>
      </c>
      <c r="I158" s="54" t="str">
        <f>HYPERLINK("https://www.facebook.com/EdgarChagwaLungu/photos/a.831065900282970/3003826633006875/?type=3&amp;theater","Source")</f>
        <v>Source</v>
      </c>
      <c r="J158" s="66"/>
      <c r="K158" s="36"/>
      <c r="L158" s="58">
        <v>45.0</v>
      </c>
      <c r="M158" s="58">
        <v>2.0</v>
      </c>
      <c r="N158" s="29"/>
      <c r="O158" s="29"/>
      <c r="P158" s="29"/>
    </row>
    <row r="159" ht="30.0" customHeight="1">
      <c r="A159" s="40" t="s">
        <v>388</v>
      </c>
      <c r="B159" s="58">
        <v>48.0</v>
      </c>
      <c r="C159" s="45">
        <f t="shared" si="1"/>
        <v>23</v>
      </c>
      <c r="D159" s="58">
        <v>1.0</v>
      </c>
      <c r="E159" s="48">
        <f t="shared" si="2"/>
        <v>0</v>
      </c>
      <c r="F159" s="39">
        <f t="shared" si="3"/>
        <v>0.02083333333</v>
      </c>
      <c r="G159" s="72" t="s">
        <v>26</v>
      </c>
      <c r="H159" s="72">
        <v>11.0</v>
      </c>
      <c r="I159" s="54" t="str">
        <f>HYPERLINK("https://www.libyaobserver.ly/health/libyas-coronavirus-cases-rise-48-two-new-recoveries","Source")</f>
        <v>Source</v>
      </c>
      <c r="J159" s="66"/>
      <c r="K159" s="36"/>
      <c r="L159" s="58">
        <v>25.0</v>
      </c>
      <c r="M159" s="58">
        <v>1.0</v>
      </c>
      <c r="N159" s="29"/>
      <c r="O159" s="29"/>
      <c r="P159" s="29"/>
    </row>
    <row r="160" ht="30.0" customHeight="1">
      <c r="A160" s="40" t="s">
        <v>389</v>
      </c>
      <c r="B160" s="58">
        <v>46.0</v>
      </c>
      <c r="C160" s="45">
        <f t="shared" si="1"/>
        <v>3</v>
      </c>
      <c r="D160" s="58">
        <v>0.0</v>
      </c>
      <c r="E160" s="48">
        <f t="shared" si="2"/>
        <v>0</v>
      </c>
      <c r="F160" s="60">
        <f t="shared" si="3"/>
        <v>0</v>
      </c>
      <c r="G160" s="72" t="s">
        <v>26</v>
      </c>
      <c r="H160" s="72">
        <v>3.0</v>
      </c>
      <c r="I160" s="54" t="str">
        <f>HYPERLINK("https://www.saudemais.tv/noticia/14290-covid-19-autoridades-congratulam-se-por-bissau-estar-sem-novos-casos-ha-uma-semana","Source")</f>
        <v>Source</v>
      </c>
      <c r="J160" s="66"/>
      <c r="K160" s="36"/>
      <c r="L160" s="58">
        <v>43.0</v>
      </c>
      <c r="M160" s="58">
        <v>0.0</v>
      </c>
      <c r="N160" s="29"/>
      <c r="O160" s="29"/>
      <c r="P160" s="29"/>
    </row>
    <row r="161" ht="30.0" customHeight="1">
      <c r="A161" s="40" t="s">
        <v>390</v>
      </c>
      <c r="B161" s="58">
        <v>45.0</v>
      </c>
      <c r="C161" s="45">
        <f t="shared" si="1"/>
        <v>0</v>
      </c>
      <c r="D161" s="58">
        <v>0.0</v>
      </c>
      <c r="E161" s="48">
        <f t="shared" si="2"/>
        <v>0</v>
      </c>
      <c r="F161" s="60">
        <f t="shared" si="3"/>
        <v>0</v>
      </c>
      <c r="G161" s="72">
        <v>1.0</v>
      </c>
      <c r="H161" s="72">
        <v>16.0</v>
      </c>
      <c r="I161" s="54" t="str">
        <f>HYPERLINK("https://www.ssm.gov.mo/portal/","Source")</f>
        <v>Source</v>
      </c>
      <c r="J161" s="66"/>
      <c r="K161" s="36"/>
      <c r="L161" s="58">
        <v>45.0</v>
      </c>
      <c r="M161" s="58">
        <v>0.0</v>
      </c>
      <c r="N161" s="29"/>
      <c r="O161" s="29"/>
      <c r="P161" s="29"/>
    </row>
    <row r="162" ht="30.0" customHeight="1">
      <c r="A162" s="40" t="s">
        <v>391</v>
      </c>
      <c r="B162" s="58">
        <v>43.0</v>
      </c>
      <c r="C162" s="45">
        <f t="shared" si="1"/>
        <v>3</v>
      </c>
      <c r="D162" s="58">
        <v>3.0</v>
      </c>
      <c r="E162" s="48">
        <f t="shared" si="2"/>
        <v>0</v>
      </c>
      <c r="F162" s="39">
        <f t="shared" si="3"/>
        <v>0.06976744186</v>
      </c>
      <c r="G162" s="72" t="s">
        <v>26</v>
      </c>
      <c r="H162" s="72" t="s">
        <v>26</v>
      </c>
      <c r="I162" s="54" t="str">
        <f>HYPERLINK("https://twitter.com/MsppOfficiel/status/1250902464775237632","Source")</f>
        <v>Source</v>
      </c>
      <c r="J162" s="66"/>
      <c r="K162" s="36"/>
      <c r="L162" s="58">
        <v>40.0</v>
      </c>
      <c r="M162" s="58">
        <v>3.0</v>
      </c>
      <c r="N162" s="29"/>
      <c r="O162" s="29"/>
      <c r="P162" s="29"/>
    </row>
    <row r="163" ht="30.0" customHeight="1">
      <c r="A163" s="40" t="s">
        <v>205</v>
      </c>
      <c r="B163" s="58">
        <v>43.0</v>
      </c>
      <c r="C163" s="45">
        <f t="shared" si="1"/>
        <v>0</v>
      </c>
      <c r="D163" s="58">
        <v>0.0</v>
      </c>
      <c r="E163" s="48">
        <f t="shared" si="2"/>
        <v>0</v>
      </c>
      <c r="F163" s="39">
        <f t="shared" si="3"/>
        <v>0</v>
      </c>
      <c r="G163" s="72" t="s">
        <v>26</v>
      </c>
      <c r="H163" s="72">
        <v>3.0</v>
      </c>
      <c r="I163" s="54" t="str">
        <f>HYPERLINK("https://dan-news.info/en/society/no-new-covid-19-cases-in-dpr-over-weekend-health-ministry.html","Source")</f>
        <v>Source</v>
      </c>
      <c r="J163" s="28"/>
      <c r="K163" s="36"/>
      <c r="L163" s="58">
        <v>43.0</v>
      </c>
      <c r="M163" s="58">
        <v>0.0</v>
      </c>
      <c r="N163" s="29"/>
      <c r="O163" s="29"/>
      <c r="P163" s="29"/>
    </row>
    <row r="164" ht="30.0" customHeight="1">
      <c r="A164" s="40" t="s">
        <v>392</v>
      </c>
      <c r="B164" s="58">
        <v>35.0</v>
      </c>
      <c r="C164" s="45">
        <f t="shared" si="1"/>
        <v>0</v>
      </c>
      <c r="D164" s="58">
        <v>1.0</v>
      </c>
      <c r="E164" s="48">
        <f t="shared" si="2"/>
        <v>0</v>
      </c>
      <c r="F164" s="60">
        <f t="shared" si="3"/>
        <v>0.02857142857</v>
      </c>
      <c r="G164" s="72" t="s">
        <v>26</v>
      </c>
      <c r="H164" s="72">
        <v>18.0</v>
      </c>
      <c r="I164" s="54" t="str">
        <f>HYPERLINK("https://www.gouv.bj/coronavirus/","Source")</f>
        <v>Source</v>
      </c>
      <c r="J164" s="177"/>
      <c r="K164" s="36"/>
      <c r="L164" s="58">
        <v>35.0</v>
      </c>
      <c r="M164" s="58">
        <v>1.0</v>
      </c>
      <c r="N164" s="29"/>
      <c r="O164" s="29"/>
      <c r="P164" s="29"/>
    </row>
    <row r="165" ht="30.0" customHeight="1">
      <c r="A165" s="40" t="s">
        <v>393</v>
      </c>
      <c r="B165" s="58">
        <v>35.0</v>
      </c>
      <c r="C165" s="45">
        <f t="shared" si="1"/>
        <v>0</v>
      </c>
      <c r="D165" s="58">
        <v>0.0</v>
      </c>
      <c r="E165" s="48">
        <f t="shared" si="2"/>
        <v>0</v>
      </c>
      <c r="F165" s="39">
        <f t="shared" si="3"/>
        <v>0</v>
      </c>
      <c r="G165" s="72" t="s">
        <v>26</v>
      </c>
      <c r="H165" s="72">
        <v>0.0</v>
      </c>
      <c r="I165" s="54" t="str">
        <f>HYPERLINK("http://www.shabait.com/news/local-news/30456-announcement-from-the-ministry-of-health","Source")</f>
        <v>Source</v>
      </c>
      <c r="J165" s="177"/>
      <c r="K165" s="36"/>
      <c r="L165" s="58">
        <v>35.0</v>
      </c>
      <c r="M165" s="58">
        <v>0.0</v>
      </c>
      <c r="N165" s="29"/>
      <c r="O165" s="38"/>
      <c r="P165" s="29"/>
    </row>
    <row r="166" ht="30.0" customHeight="1">
      <c r="A166" s="40" t="s">
        <v>394</v>
      </c>
      <c r="B166" s="58">
        <v>33.0</v>
      </c>
      <c r="C166" s="45">
        <f t="shared" si="1"/>
        <v>0</v>
      </c>
      <c r="D166" s="58">
        <v>2.0</v>
      </c>
      <c r="E166" s="48">
        <f t="shared" si="2"/>
        <v>0</v>
      </c>
      <c r="F166" s="39">
        <f t="shared" si="3"/>
        <v>0.06060606061</v>
      </c>
      <c r="G166" s="72">
        <v>0.0</v>
      </c>
      <c r="H166" s="72">
        <v>5.0</v>
      </c>
      <c r="I166" s="54" t="str">
        <f>HYPERLINK("https://sana.sy/en/?p=189988","Source")</f>
        <v>Source</v>
      </c>
      <c r="J166" s="177"/>
      <c r="K166" s="47" t="s">
        <v>19</v>
      </c>
      <c r="L166" s="58">
        <v>33.0</v>
      </c>
      <c r="M166" s="58">
        <v>2.0</v>
      </c>
      <c r="N166" s="29"/>
      <c r="O166" s="29"/>
      <c r="P166" s="29"/>
    </row>
    <row r="167" ht="30.0" customHeight="1">
      <c r="A167" s="40" t="s">
        <v>395</v>
      </c>
      <c r="B167" s="58">
        <v>32.0</v>
      </c>
      <c r="C167" s="45">
        <f t="shared" si="1"/>
        <v>0</v>
      </c>
      <c r="D167" s="58">
        <v>5.0</v>
      </c>
      <c r="E167" s="48">
        <f t="shared" si="2"/>
        <v>0</v>
      </c>
      <c r="F167" s="39">
        <f t="shared" si="3"/>
        <v>0.15625</v>
      </c>
      <c r="G167" s="72" t="s">
        <v>26</v>
      </c>
      <c r="H167" s="72">
        <v>3.0</v>
      </c>
      <c r="I167" s="54" t="str">
        <f>HYPERLINK("https://www.fmoh.gov.sd/","Source")</f>
        <v>Source</v>
      </c>
      <c r="J167" s="177"/>
      <c r="K167" s="36"/>
      <c r="L167" s="58">
        <v>32.0</v>
      </c>
      <c r="M167" s="58">
        <v>5.0</v>
      </c>
      <c r="N167" s="29"/>
      <c r="O167" s="29"/>
      <c r="P167" s="29"/>
    </row>
    <row r="168" ht="30.0" customHeight="1">
      <c r="A168" s="40" t="s">
        <v>396</v>
      </c>
      <c r="B168" s="58">
        <v>31.0</v>
      </c>
      <c r="C168" s="45">
        <f t="shared" si="1"/>
        <v>1</v>
      </c>
      <c r="D168" s="58">
        <v>0.0</v>
      </c>
      <c r="E168" s="48">
        <f t="shared" si="2"/>
        <v>0</v>
      </c>
      <c r="F168" s="39">
        <f t="shared" si="3"/>
        <v>0</v>
      </c>
      <c r="G168" s="72" t="s">
        <v>26</v>
      </c>
      <c r="H168" s="72">
        <v>5.0</v>
      </c>
      <c r="I168" s="54" t="str">
        <f>HYPERLINK("https://montsame.mn/en/read/222512","Source")</f>
        <v>Source</v>
      </c>
      <c r="J168" s="66"/>
      <c r="K168" s="36"/>
      <c r="L168" s="58">
        <v>30.0</v>
      </c>
      <c r="M168" s="58">
        <v>0.0</v>
      </c>
      <c r="N168" s="29"/>
      <c r="O168" s="29"/>
      <c r="P168" s="29"/>
    </row>
    <row r="169" ht="30.0" customHeight="1">
      <c r="A169" s="40" t="s">
        <v>397</v>
      </c>
      <c r="B169" s="58">
        <v>31.0</v>
      </c>
      <c r="C169" s="45">
        <f t="shared" si="1"/>
        <v>3</v>
      </c>
      <c r="D169" s="58">
        <v>0.0</v>
      </c>
      <c r="E169" s="48">
        <f t="shared" si="2"/>
        <v>0</v>
      </c>
      <c r="F169" s="39">
        <f t="shared" si="3"/>
        <v>0</v>
      </c>
      <c r="G169" s="72" t="s">
        <v>26</v>
      </c>
      <c r="H169" s="72">
        <v>2.0</v>
      </c>
      <c r="I169" s="54" t="str">
        <f>HYPERLINK("http://www.misau.gov.mz/index.php/147-subiu-para-31-o-numero-de-casos-positivos-para-a-covid-19-em-mocambique","Source")</f>
        <v>Source</v>
      </c>
      <c r="J169" s="66"/>
      <c r="K169" s="36"/>
      <c r="L169" s="58">
        <v>28.0</v>
      </c>
      <c r="M169" s="58">
        <v>0.0</v>
      </c>
      <c r="N169" s="29"/>
      <c r="O169" s="29"/>
      <c r="P169" s="29"/>
    </row>
    <row r="170" ht="30.0" customHeight="1">
      <c r="A170" s="40" t="s">
        <v>398</v>
      </c>
      <c r="B170" s="58">
        <v>27.0</v>
      </c>
      <c r="C170" s="45">
        <f t="shared" si="1"/>
        <v>4</v>
      </c>
      <c r="D170" s="58">
        <v>0.0</v>
      </c>
      <c r="E170" s="48">
        <f t="shared" si="2"/>
        <v>0</v>
      </c>
      <c r="F170" s="60">
        <f t="shared" si="3"/>
        <v>0</v>
      </c>
      <c r="G170" s="72" t="s">
        <v>26</v>
      </c>
      <c r="H170" s="72">
        <v>5.0</v>
      </c>
      <c r="I170" s="54" t="str">
        <f>HYPERLINK("https://tchadinfos.com/tchad/coronavirus-le-tchad-annonce-4-nouveaux/","Source")</f>
        <v>Source</v>
      </c>
      <c r="J170" s="177"/>
      <c r="K170" s="36"/>
      <c r="L170" s="58">
        <v>23.0</v>
      </c>
      <c r="M170" s="58">
        <v>0.0</v>
      </c>
      <c r="N170" s="29"/>
      <c r="O170" s="29"/>
      <c r="P170" s="29"/>
    </row>
    <row r="171" ht="27.75" customHeight="1">
      <c r="A171" s="40" t="s">
        <v>399</v>
      </c>
      <c r="B171" s="58">
        <v>25.0</v>
      </c>
      <c r="C171" s="45">
        <f t="shared" si="1"/>
        <v>2</v>
      </c>
      <c r="D171" s="58">
        <v>0.0</v>
      </c>
      <c r="E171" s="48">
        <f t="shared" si="2"/>
        <v>0</v>
      </c>
      <c r="F171" s="60">
        <f t="shared" si="3"/>
        <v>0</v>
      </c>
      <c r="G171" s="72" t="s">
        <v>26</v>
      </c>
      <c r="H171" s="72">
        <v>16.0</v>
      </c>
      <c r="I171" s="54" t="str">
        <f>HYPERLINK("https://covid19.health.gov.mv/en/","Source")</f>
        <v>Source</v>
      </c>
      <c r="J171" s="66"/>
      <c r="K171" s="36"/>
      <c r="L171" s="58">
        <v>23.0</v>
      </c>
      <c r="M171" s="58">
        <v>0.0</v>
      </c>
      <c r="N171" s="29"/>
      <c r="O171" s="29"/>
      <c r="P171" s="29"/>
    </row>
    <row r="172" ht="30.0" customHeight="1">
      <c r="A172" s="40" t="s">
        <v>400</v>
      </c>
      <c r="B172" s="58">
        <v>24.0</v>
      </c>
      <c r="C172" s="45">
        <f t="shared" si="1"/>
        <v>6</v>
      </c>
      <c r="D172" s="58">
        <v>3.0</v>
      </c>
      <c r="E172" s="48">
        <f t="shared" si="2"/>
        <v>0</v>
      </c>
      <c r="F172" s="60">
        <f t="shared" si="3"/>
        <v>0.125</v>
      </c>
      <c r="G172" s="72">
        <v>0.0</v>
      </c>
      <c r="H172" s="72">
        <v>2.0</v>
      </c>
      <c r="I172" s="54" t="str">
        <f>HYPERLINK("https://twitter.com/zcphp/status/1250904427365531648","Source")</f>
        <v>Source</v>
      </c>
      <c r="J172" s="66"/>
      <c r="K172" s="36"/>
      <c r="L172" s="58">
        <v>18.0</v>
      </c>
      <c r="M172" s="58">
        <v>3.0</v>
      </c>
      <c r="N172" s="29"/>
      <c r="O172" s="29"/>
      <c r="P172" s="29"/>
    </row>
    <row r="173" ht="30.0" customHeight="1">
      <c r="A173" s="40" t="s">
        <v>401</v>
      </c>
      <c r="B173" s="58">
        <v>23.0</v>
      </c>
      <c r="C173" s="45">
        <f t="shared" si="1"/>
        <v>0</v>
      </c>
      <c r="D173" s="58">
        <v>2.0</v>
      </c>
      <c r="E173" s="48">
        <f t="shared" si="2"/>
        <v>0</v>
      </c>
      <c r="F173" s="60">
        <f t="shared" si="3"/>
        <v>0.08695652174</v>
      </c>
      <c r="G173" s="72">
        <v>0.0</v>
      </c>
      <c r="H173" s="72">
        <v>3.0</v>
      </c>
      <c r="I173" s="54" t="str">
        <f>HYPERLINK("https://www.facebook.com/investingforwellness/posts/891733801266595?__xts__[0]=68.ARAZQpvVNBOBwSSnrZNgJHakzEEvV-xwU6iKQXo9bYsJm5eiWzA45hEg_llh3RbEZitM0M300vQkTEqcRb6iSjNBk3nAa0SahEfXSXPWsLU22Xz8rMzJcUVab2tVUZ-M1jd3SFxEFQM39IgA-ygSynombgPfuARENKJ0eA8QzGUxA"&amp;"hkb_aizg6va0dYOQdCBWFgljGwe99qEcLmZNCs5yGcdKwqMhhhHwpGnBnXEJwUk1MdVYjewuKP1a3l_KFSA9yQzdmXvqWtFveHIUNeJI2FkFBWwa9ADGIYxzm0xgcECLMzp6Glb8tcrcIyndI4Yz6dCPUaHqOkjP86g8tA&amp;__tn__=-R","Source")</f>
        <v>Source</v>
      </c>
      <c r="J173" s="177"/>
      <c r="K173" s="36"/>
      <c r="L173" s="58">
        <v>23.0</v>
      </c>
      <c r="M173" s="58">
        <v>2.0</v>
      </c>
      <c r="N173" s="29"/>
      <c r="O173" s="29"/>
      <c r="P173" s="29"/>
    </row>
    <row r="174" ht="30.0" customHeight="1">
      <c r="A174" s="40" t="s">
        <v>402</v>
      </c>
      <c r="B174" s="58">
        <v>19.0</v>
      </c>
      <c r="C174" s="45">
        <f t="shared" si="1"/>
        <v>0</v>
      </c>
      <c r="D174" s="58">
        <v>2.0</v>
      </c>
      <c r="E174" s="48">
        <f t="shared" si="2"/>
        <v>0</v>
      </c>
      <c r="F174" s="60">
        <f t="shared" si="3"/>
        <v>0.1052631579</v>
      </c>
      <c r="G174" s="72">
        <v>0.0</v>
      </c>
      <c r="H174" s="72">
        <v>5.0</v>
      </c>
      <c r="I174" s="54" t="str">
        <f>HYPERLINK("http://www.angop.ao/angola/en_us/noticias/saude/2020/3/16/COVID-Two-patients-discharged-from-hospital,01ac47ed-1186-4129-94b8-3cad55a854ac.html","Source")</f>
        <v>Source</v>
      </c>
      <c r="J174" s="66"/>
      <c r="K174" s="36"/>
      <c r="L174" s="58">
        <v>19.0</v>
      </c>
      <c r="M174" s="58">
        <v>2.0</v>
      </c>
      <c r="N174" s="29"/>
      <c r="O174" s="29"/>
      <c r="P174" s="29"/>
    </row>
    <row r="175" ht="30.0" customHeight="1">
      <c r="A175" s="40" t="s">
        <v>403</v>
      </c>
      <c r="B175" s="58">
        <v>16.0</v>
      </c>
      <c r="C175" s="45">
        <f t="shared" si="1"/>
        <v>0</v>
      </c>
      <c r="D175" s="58">
        <v>2.0</v>
      </c>
      <c r="E175" s="48">
        <f t="shared" si="2"/>
        <v>0</v>
      </c>
      <c r="F175" s="39">
        <f t="shared" si="3"/>
        <v>0.125</v>
      </c>
      <c r="G175" s="72" t="s">
        <v>26</v>
      </c>
      <c r="H175" s="72" t="s">
        <v>26</v>
      </c>
      <c r="I175" s="54" t="str">
        <f>HYPERLINK("https://twitter.com/NationOnlineMw/status/1250152933364203520","Source")</f>
        <v>Source</v>
      </c>
      <c r="J175" s="177"/>
      <c r="K175" s="36"/>
      <c r="L175" s="58">
        <v>16.0</v>
      </c>
      <c r="M175" s="58">
        <v>2.0</v>
      </c>
      <c r="N175" s="29"/>
      <c r="O175" s="29"/>
      <c r="P175" s="29"/>
    </row>
    <row r="176" ht="30.0" customHeight="1">
      <c r="A176" s="40" t="s">
        <v>404</v>
      </c>
      <c r="B176" s="58">
        <v>19.0</v>
      </c>
      <c r="C176" s="45">
        <f t="shared" si="1"/>
        <v>0</v>
      </c>
      <c r="D176" s="58">
        <v>0.0</v>
      </c>
      <c r="E176" s="48">
        <f t="shared" si="2"/>
        <v>0</v>
      </c>
      <c r="F176" s="39">
        <f t="shared" si="3"/>
        <v>0</v>
      </c>
      <c r="G176" s="72" t="s">
        <v>26</v>
      </c>
      <c r="H176" s="72">
        <v>2.0</v>
      </c>
      <c r="I176" s="54" t="str">
        <f>HYPERLINK("https://www.covid19.gov.la/","Source")</f>
        <v>Source</v>
      </c>
      <c r="J176" s="177"/>
      <c r="K176" s="36"/>
      <c r="L176" s="58">
        <v>19.0</v>
      </c>
      <c r="M176" s="58">
        <v>0.0</v>
      </c>
      <c r="N176" s="29"/>
      <c r="O176" s="29"/>
      <c r="P176" s="29"/>
    </row>
    <row r="177" ht="30.0" customHeight="1">
      <c r="A177" s="40" t="s">
        <v>405</v>
      </c>
      <c r="B177" s="58">
        <v>18.0</v>
      </c>
      <c r="C177" s="45">
        <f t="shared" si="1"/>
        <v>0</v>
      </c>
      <c r="D177" s="58">
        <v>2.0</v>
      </c>
      <c r="E177" s="48">
        <f t="shared" si="2"/>
        <v>0</v>
      </c>
      <c r="F177" s="39">
        <f t="shared" si="3"/>
        <v>0.1111111111</v>
      </c>
      <c r="G177" s="72" t="s">
        <v>26</v>
      </c>
      <c r="H177" s="72">
        <v>0.0</v>
      </c>
      <c r="I177" s="54" t="str">
        <f>HYPERLINK("https://covid19.bz/?fbclid=IwAR0ZRMnf7fojvI2lcPkHV7RUFw11TEGuMMzlFxP3Mw1jAT_gP-e9ydIsEZg","Source")</f>
        <v>Source</v>
      </c>
      <c r="J177" s="177"/>
      <c r="K177" s="36"/>
      <c r="L177" s="58">
        <v>18.0</v>
      </c>
      <c r="M177" s="58">
        <v>2.0</v>
      </c>
      <c r="N177" s="29"/>
      <c r="O177" s="29"/>
      <c r="P177" s="29"/>
    </row>
    <row r="178" ht="30.0" customHeight="1">
      <c r="A178" s="40" t="s">
        <v>406</v>
      </c>
      <c r="B178" s="58">
        <v>18.0</v>
      </c>
      <c r="C178" s="45">
        <f t="shared" si="1"/>
        <v>0</v>
      </c>
      <c r="D178" s="58">
        <v>0.0</v>
      </c>
      <c r="E178" s="48">
        <f t="shared" si="2"/>
        <v>0</v>
      </c>
      <c r="F178" s="60">
        <f t="shared" si="3"/>
        <v>0</v>
      </c>
      <c r="G178" s="72">
        <v>1.0</v>
      </c>
      <c r="H178" s="72">
        <v>1.0</v>
      </c>
      <c r="I178" s="54" t="str">
        <f>HYPERLINK("https://gouv.nc/coronavirus","Source")</f>
        <v>Source</v>
      </c>
      <c r="J178" s="177"/>
      <c r="K178" s="36"/>
      <c r="L178" s="58">
        <v>18.0</v>
      </c>
      <c r="M178" s="58">
        <v>0.0</v>
      </c>
      <c r="N178" s="29"/>
      <c r="O178" s="29"/>
      <c r="P178" s="29"/>
    </row>
    <row r="179" ht="30.0" customHeight="1">
      <c r="A179" s="40" t="s">
        <v>407</v>
      </c>
      <c r="B179" s="58">
        <v>18.0</v>
      </c>
      <c r="C179" s="45">
        <f t="shared" si="1"/>
        <v>10</v>
      </c>
      <c r="D179" s="58">
        <v>0.0</v>
      </c>
      <c r="E179" s="48">
        <f t="shared" si="2"/>
        <v>0</v>
      </c>
      <c r="F179" s="60">
        <f t="shared" si="3"/>
        <v>0</v>
      </c>
      <c r="G179" s="72" t="s">
        <v>26</v>
      </c>
      <c r="H179" s="72">
        <v>1.0</v>
      </c>
      <c r="I179" s="54" t="str">
        <f>HYPERLINK("http://noticias.sapo.tl/portugues/lusa/artigo/28648764.html","Source")</f>
        <v>Source</v>
      </c>
      <c r="J179" s="66"/>
      <c r="K179" s="36"/>
      <c r="L179" s="58">
        <v>8.0</v>
      </c>
      <c r="M179" s="58">
        <v>0.0</v>
      </c>
      <c r="N179" s="29"/>
      <c r="O179" s="29"/>
      <c r="P179" s="29"/>
    </row>
    <row r="180" ht="30.0" customHeight="1">
      <c r="A180" s="40" t="s">
        <v>408</v>
      </c>
      <c r="B180" s="58">
        <v>17.0</v>
      </c>
      <c r="C180" s="45">
        <f t="shared" si="1"/>
        <v>2</v>
      </c>
      <c r="D180" s="58">
        <v>1.0</v>
      </c>
      <c r="E180" s="48">
        <f t="shared" si="2"/>
        <v>1</v>
      </c>
      <c r="F180" s="39">
        <f t="shared" si="3"/>
        <v>0.05882352941</v>
      </c>
      <c r="G180" s="72">
        <v>0.0</v>
      </c>
      <c r="H180" s="72">
        <v>8.0</v>
      </c>
      <c r="I180" s="54" t="str">
        <f>HYPERLINK("https://twitter.com/EswatiniGovern1/status/1250802724863688704","Source")</f>
        <v>Source</v>
      </c>
      <c r="J180" s="66"/>
      <c r="K180" s="36"/>
      <c r="L180" s="58">
        <v>15.0</v>
      </c>
      <c r="M180" s="58">
        <v>0.0</v>
      </c>
      <c r="N180" s="29"/>
      <c r="O180" s="29"/>
      <c r="P180" s="29"/>
    </row>
    <row r="181" ht="30.0" customHeight="1">
      <c r="A181" s="40" t="s">
        <v>409</v>
      </c>
      <c r="B181" s="58">
        <v>17.0</v>
      </c>
      <c r="C181" s="45">
        <f t="shared" si="1"/>
        <v>1</v>
      </c>
      <c r="D181" s="58">
        <v>0.0</v>
      </c>
      <c r="E181" s="48">
        <f t="shared" si="2"/>
        <v>0</v>
      </c>
      <c r="F181" s="60">
        <f t="shared" si="3"/>
        <v>0</v>
      </c>
      <c r="G181" s="72">
        <v>0.0</v>
      </c>
      <c r="H181" s="72">
        <v>0.0</v>
      </c>
      <c r="I181" s="54" t="str">
        <f>HYPERLINK("https://www.fbcnews.com.fj/news/covid-19/17-covid-19-cases-newest-from-vanua-levu/","Source")</f>
        <v>Source</v>
      </c>
      <c r="J181" s="66"/>
      <c r="K181" s="36"/>
      <c r="L181" s="58">
        <v>16.0</v>
      </c>
      <c r="M181" s="58">
        <v>0.0</v>
      </c>
      <c r="N181" s="29"/>
      <c r="O181" s="29"/>
      <c r="P181" s="29"/>
    </row>
    <row r="182" ht="30.0" customHeight="1">
      <c r="A182" s="40" t="s">
        <v>410</v>
      </c>
      <c r="B182" s="58">
        <v>16.0</v>
      </c>
      <c r="C182" s="45">
        <f t="shared" si="1"/>
        <v>0</v>
      </c>
      <c r="D182" s="58">
        <v>0.0</v>
      </c>
      <c r="E182" s="48">
        <f t="shared" si="2"/>
        <v>0</v>
      </c>
      <c r="F182" s="60">
        <f t="shared" si="3"/>
        <v>0</v>
      </c>
      <c r="G182" s="72">
        <v>0.0</v>
      </c>
      <c r="H182" s="72">
        <v>3.0</v>
      </c>
      <c r="I182" s="54" t="str">
        <f>HYPERLINK("https://twitter.com/TheNamibian/status/1248906266010886150?ref_src=twsrc%5Etfw%7Ctwcamp%5Eembeddedtimeline%7Ctwterm%5Eprofile%3ATheNamibian%7Ctwcon%5Etimelinechrome&amp;ref_url=https%3A%2F%2Fwww.namibian.com.na%2FHome","Source")</f>
        <v>Source</v>
      </c>
      <c r="J182" s="177"/>
      <c r="K182" s="36"/>
      <c r="L182" s="58">
        <v>16.0</v>
      </c>
      <c r="M182" s="58">
        <v>0.0</v>
      </c>
      <c r="N182" s="29"/>
      <c r="O182" s="29"/>
      <c r="P182" s="29"/>
    </row>
    <row r="183" ht="30.0" customHeight="1">
      <c r="A183" s="40" t="s">
        <v>411</v>
      </c>
      <c r="B183" s="58">
        <v>16.0</v>
      </c>
      <c r="C183" s="45">
        <f t="shared" si="1"/>
        <v>0</v>
      </c>
      <c r="D183" s="58">
        <v>0.0</v>
      </c>
      <c r="E183" s="48">
        <f t="shared" si="2"/>
        <v>0</v>
      </c>
      <c r="F183" s="60">
        <f t="shared" si="3"/>
        <v>0</v>
      </c>
      <c r="G183" s="72" t="s">
        <v>26</v>
      </c>
      <c r="H183" s="72">
        <v>1.0</v>
      </c>
      <c r="I183" s="54" t="str">
        <f>HYPERLINK("https://kathmandupost.com/covid19","Source")</f>
        <v>Source</v>
      </c>
      <c r="J183" s="177"/>
      <c r="K183" s="36"/>
      <c r="L183" s="58">
        <v>16.0</v>
      </c>
      <c r="M183" s="58">
        <v>0.0</v>
      </c>
      <c r="N183" s="29"/>
      <c r="O183" s="29"/>
      <c r="P183" s="29"/>
    </row>
    <row r="184" ht="27.75" customHeight="1">
      <c r="A184" s="40" t="s">
        <v>412</v>
      </c>
      <c r="B184" s="58">
        <v>15.0</v>
      </c>
      <c r="C184" s="45">
        <f t="shared" si="1"/>
        <v>2</v>
      </c>
      <c r="D184" s="58">
        <v>1.0</v>
      </c>
      <c r="E184" s="48">
        <f t="shared" si="2"/>
        <v>0</v>
      </c>
      <c r="F184" s="39">
        <f t="shared" si="3"/>
        <v>0.06666666667</v>
      </c>
      <c r="G184" s="72" t="s">
        <v>26</v>
      </c>
      <c r="H184" s="72" t="s">
        <v>26</v>
      </c>
      <c r="I184" s="54" t="str">
        <f>HYPERLINK("https://twitter.com/BWGovernment/status/1250703460900757504","Source")</f>
        <v>Source</v>
      </c>
      <c r="J184" s="66"/>
      <c r="K184" s="36"/>
      <c r="L184" s="58">
        <v>13.0</v>
      </c>
      <c r="M184" s="58">
        <v>1.0</v>
      </c>
      <c r="N184" s="29"/>
      <c r="O184" s="29"/>
      <c r="P184" s="29"/>
    </row>
    <row r="185" ht="30.0" customHeight="1">
      <c r="A185" s="40" t="s">
        <v>413</v>
      </c>
      <c r="B185" s="58">
        <v>15.0</v>
      </c>
      <c r="C185" s="45">
        <f t="shared" si="1"/>
        <v>0</v>
      </c>
      <c r="D185" s="58">
        <v>0.0</v>
      </c>
      <c r="E185" s="48">
        <f t="shared" si="2"/>
        <v>0</v>
      </c>
      <c r="F185" s="39">
        <f t="shared" si="3"/>
        <v>0</v>
      </c>
      <c r="G185" s="72">
        <v>0.0</v>
      </c>
      <c r="H185" s="72">
        <v>11.0</v>
      </c>
      <c r="I185" s="54" t="str">
        <f>HYPERLINK("https://www.stlucianewsonline.com/saint-lucia-reports-11-patients-recovered-from-covid-19/","Source")</f>
        <v>Source</v>
      </c>
      <c r="J185" s="177"/>
      <c r="K185" s="36"/>
      <c r="L185" s="58">
        <v>15.0</v>
      </c>
      <c r="M185" s="58">
        <v>0.0</v>
      </c>
      <c r="N185" s="29"/>
      <c r="O185" s="29"/>
      <c r="P185" s="29"/>
    </row>
    <row r="186" ht="30.0" customHeight="1">
      <c r="A186" s="40" t="s">
        <v>414</v>
      </c>
      <c r="B186" s="58">
        <v>15.0</v>
      </c>
      <c r="C186" s="45">
        <f t="shared" si="1"/>
        <v>4</v>
      </c>
      <c r="D186" s="58">
        <v>0.0</v>
      </c>
      <c r="E186" s="48">
        <f t="shared" si="2"/>
        <v>0</v>
      </c>
      <c r="F186" s="39">
        <f t="shared" si="3"/>
        <v>0</v>
      </c>
      <c r="G186" s="72">
        <v>0.0</v>
      </c>
      <c r="H186" s="72">
        <v>0.0</v>
      </c>
      <c r="I186" s="54" t="str">
        <f>HYPERLINK("https://www.facebook.com/mic.gov.sl/photos/a.310063372915015/612169749371041/?type=3&amp;theater","Source")</f>
        <v>Source</v>
      </c>
      <c r="J186" s="66"/>
      <c r="K186" s="36"/>
      <c r="L186" s="58">
        <v>11.0</v>
      </c>
      <c r="M186" s="58">
        <v>0.0</v>
      </c>
      <c r="N186" s="29"/>
      <c r="O186" s="29"/>
      <c r="P186" s="29"/>
    </row>
    <row r="187" ht="30.0" customHeight="1">
      <c r="A187" s="40" t="s">
        <v>415</v>
      </c>
      <c r="B187" s="58">
        <v>14.0</v>
      </c>
      <c r="C187" s="45">
        <f t="shared" si="1"/>
        <v>0</v>
      </c>
      <c r="D187" s="58">
        <v>1.0</v>
      </c>
      <c r="E187" s="48">
        <f t="shared" si="2"/>
        <v>0</v>
      </c>
      <c r="F187" s="39">
        <f t="shared" si="3"/>
        <v>0.07142857143</v>
      </c>
      <c r="G187" s="72" t="s">
        <v>26</v>
      </c>
      <c r="H187" s="72">
        <v>10.0</v>
      </c>
      <c r="I187" s="54" t="str">
        <f>HYPERLINK("https://www.curacaochronicle.com/post/main/covid-19-update-confirmed-cases-remain-14-with-1-inconclusive/","Source")</f>
        <v>Source</v>
      </c>
      <c r="J187" s="66"/>
      <c r="K187" s="47" t="s">
        <v>19</v>
      </c>
      <c r="L187" s="58">
        <v>14.0</v>
      </c>
      <c r="M187" s="58">
        <v>1.0</v>
      </c>
      <c r="N187" s="29"/>
      <c r="O187" s="29"/>
      <c r="P187" s="29"/>
    </row>
    <row r="188" ht="30.0" customHeight="1">
      <c r="A188" s="40" t="s">
        <v>416</v>
      </c>
      <c r="B188" s="58">
        <v>14.0</v>
      </c>
      <c r="C188" s="45">
        <f t="shared" si="1"/>
        <v>0</v>
      </c>
      <c r="D188" s="58">
        <v>0.0</v>
      </c>
      <c r="E188" s="48">
        <f t="shared" si="2"/>
        <v>0</v>
      </c>
      <c r="F188" s="39">
        <f t="shared" si="3"/>
        <v>0</v>
      </c>
      <c r="G188" s="72">
        <v>1.0</v>
      </c>
      <c r="H188" s="72">
        <v>0.0</v>
      </c>
      <c r="I188" s="54" t="str">
        <f>HYPERLINK("https://covid19.gov.gd/","Source")</f>
        <v>Source</v>
      </c>
      <c r="J188" s="177"/>
      <c r="K188" s="36"/>
      <c r="L188" s="58">
        <v>14.0</v>
      </c>
      <c r="M188" s="58">
        <v>0.0</v>
      </c>
      <c r="N188" s="29"/>
      <c r="O188" s="29"/>
      <c r="P188" s="29"/>
    </row>
    <row r="189" ht="30.0" customHeight="1">
      <c r="A189" s="40" t="s">
        <v>417</v>
      </c>
      <c r="B189" s="58">
        <v>14.0</v>
      </c>
      <c r="C189" s="45">
        <f t="shared" si="1"/>
        <v>2</v>
      </c>
      <c r="D189" s="58">
        <v>0.0</v>
      </c>
      <c r="E189" s="48">
        <f t="shared" si="2"/>
        <v>0</v>
      </c>
      <c r="F189" s="60">
        <f t="shared" si="3"/>
        <v>0</v>
      </c>
      <c r="G189" s="72" t="s">
        <v>26</v>
      </c>
      <c r="H189" s="72">
        <v>0.0</v>
      </c>
      <c r="I189" s="54" t="str">
        <f>HYPERLINK("https://www.covid19.gov.kn/","Source")</f>
        <v>Source</v>
      </c>
      <c r="J189" s="66"/>
      <c r="K189" s="36"/>
      <c r="L189" s="58">
        <v>12.0</v>
      </c>
      <c r="M189" s="58">
        <v>0.0</v>
      </c>
      <c r="N189" s="29"/>
      <c r="O189" s="29"/>
      <c r="P189" s="29"/>
    </row>
    <row r="190" ht="30.0" customHeight="1">
      <c r="A190" s="40" t="s">
        <v>418</v>
      </c>
      <c r="B190" s="58">
        <v>12.0</v>
      </c>
      <c r="C190" s="45">
        <f t="shared" si="1"/>
        <v>0</v>
      </c>
      <c r="D190" s="58">
        <v>0.0</v>
      </c>
      <c r="E190" s="48">
        <f t="shared" si="2"/>
        <v>0</v>
      </c>
      <c r="F190" s="39">
        <f t="shared" si="3"/>
        <v>0</v>
      </c>
      <c r="G190" s="72" t="s">
        <v>26</v>
      </c>
      <c r="H190" s="72">
        <v>1.0</v>
      </c>
      <c r="I190" s="54" t="str">
        <f>HYPERLINK("http://health.gov.vc/health/images/PDF/stories/IMG-20200415-WA0021.jpg","Source")</f>
        <v>Source</v>
      </c>
      <c r="J190" s="177"/>
      <c r="K190" s="36"/>
      <c r="L190" s="58">
        <v>12.0</v>
      </c>
      <c r="M190" s="58">
        <v>0.0</v>
      </c>
      <c r="N190" s="29"/>
      <c r="O190" s="29"/>
      <c r="P190" s="29"/>
    </row>
    <row r="191" ht="30.0" customHeight="1">
      <c r="A191" s="40" t="s">
        <v>419</v>
      </c>
      <c r="B191" s="58">
        <v>12.0</v>
      </c>
      <c r="C191" s="45">
        <f t="shared" si="1"/>
        <v>1</v>
      </c>
      <c r="D191" s="58">
        <v>0.0</v>
      </c>
      <c r="E191" s="48">
        <f t="shared" si="2"/>
        <v>0</v>
      </c>
      <c r="F191" s="60">
        <f t="shared" si="3"/>
        <v>0</v>
      </c>
      <c r="G191" s="72" t="s">
        <v>26</v>
      </c>
      <c r="H191" s="72">
        <v>4.0</v>
      </c>
      <c r="I191" s="54" t="str">
        <f>HYPERLINK("https://corbeaunews-centrafrique.com/covid-19-la-republique-centrafricaine-annonce-la-confirmation-dun-nouveau-cas-a/","Source")</f>
        <v>Source</v>
      </c>
      <c r="J191" s="66"/>
      <c r="K191" s="36"/>
      <c r="L191" s="58">
        <v>11.0</v>
      </c>
      <c r="M191" s="58">
        <v>0.0</v>
      </c>
      <c r="N191" s="29"/>
      <c r="O191" s="29"/>
      <c r="P191" s="29"/>
    </row>
    <row r="192" ht="30.0" customHeight="1">
      <c r="A192" s="40" t="s">
        <v>420</v>
      </c>
      <c r="B192" s="58">
        <v>11.0</v>
      </c>
      <c r="C192" s="45">
        <f t="shared" si="1"/>
        <v>1</v>
      </c>
      <c r="D192" s="58">
        <v>1.0</v>
      </c>
      <c r="E192" s="48">
        <f t="shared" si="2"/>
        <v>0</v>
      </c>
      <c r="F192" s="60">
        <f t="shared" si="3"/>
        <v>0.09090909091</v>
      </c>
      <c r="G192" s="72" t="s">
        <v>26</v>
      </c>
      <c r="H192" s="72">
        <v>0.0</v>
      </c>
      <c r="I192" s="54" t="str">
        <f>HYPERLINK("https://gov.tc/moh/coronavirus/covid-dashboard/110-tci-covid-19-dashboard-april-15-2020","Source")</f>
        <v>Source</v>
      </c>
      <c r="J192" s="66"/>
      <c r="K192" s="47" t="s">
        <v>19</v>
      </c>
      <c r="L192" s="58">
        <v>10.0</v>
      </c>
      <c r="M192" s="58">
        <v>1.0</v>
      </c>
      <c r="N192" s="29"/>
      <c r="O192" s="29"/>
      <c r="P192" s="29"/>
    </row>
    <row r="193" ht="30.0" customHeight="1">
      <c r="A193" s="40" t="s">
        <v>421</v>
      </c>
      <c r="B193" s="58">
        <v>11.0</v>
      </c>
      <c r="C193" s="45">
        <f t="shared" si="1"/>
        <v>0</v>
      </c>
      <c r="D193" s="58">
        <v>0.0</v>
      </c>
      <c r="E193" s="48">
        <f t="shared" si="2"/>
        <v>0</v>
      </c>
      <c r="F193" s="60">
        <f t="shared" si="3"/>
        <v>0</v>
      </c>
      <c r="G193" s="72" t="s">
        <v>26</v>
      </c>
      <c r="H193" s="72">
        <v>11.0</v>
      </c>
      <c r="I193" s="54" t="str">
        <f>HYPERLINK("https://nun.gl/Emner/Borgere/Coronavirus_emne/Foelg_smittespredningen?sc_lang=da","Source")</f>
        <v>Source</v>
      </c>
      <c r="J193" s="66"/>
      <c r="K193" s="36"/>
      <c r="L193" s="58">
        <v>11.0</v>
      </c>
      <c r="M193" s="58">
        <v>0.0</v>
      </c>
      <c r="N193" s="29"/>
      <c r="O193" s="29"/>
      <c r="P193" s="29"/>
    </row>
    <row r="194" ht="30.0" customHeight="1">
      <c r="A194" s="40" t="s">
        <v>422</v>
      </c>
      <c r="B194" s="58">
        <v>11.0</v>
      </c>
      <c r="C194" s="45">
        <f t="shared" si="1"/>
        <v>0</v>
      </c>
      <c r="D194" s="58">
        <v>0.0</v>
      </c>
      <c r="E194" s="48">
        <f t="shared" si="2"/>
        <v>0</v>
      </c>
      <c r="F194" s="60">
        <f t="shared" si="3"/>
        <v>0</v>
      </c>
      <c r="G194" s="72" t="s">
        <v>26</v>
      </c>
      <c r="H194" s="72">
        <v>5.0</v>
      </c>
      <c r="I194" s="54" t="str">
        <f>HYPERLINK("http://www.health.gov.sc/index.php/2020/04/06/public-health-authority-records-new-case-of-covid-19/","Source")</f>
        <v>Source</v>
      </c>
      <c r="J194" s="177"/>
      <c r="K194" s="36"/>
      <c r="L194" s="58">
        <v>11.0</v>
      </c>
      <c r="M194" s="58">
        <v>0.0</v>
      </c>
      <c r="N194" s="29"/>
      <c r="O194" s="29"/>
      <c r="P194" s="29"/>
    </row>
    <row r="195" ht="30.0" customHeight="1">
      <c r="A195" s="40" t="s">
        <v>423</v>
      </c>
      <c r="B195" s="58">
        <v>11.0</v>
      </c>
      <c r="C195" s="45">
        <f t="shared" si="1"/>
        <v>0</v>
      </c>
      <c r="D195" s="58">
        <v>0.0</v>
      </c>
      <c r="E195" s="48">
        <f t="shared" si="2"/>
        <v>0</v>
      </c>
      <c r="F195" s="39">
        <f t="shared" si="3"/>
        <v>0</v>
      </c>
      <c r="G195" s="72">
        <v>0.0</v>
      </c>
      <c r="H195" s="72">
        <v>3.0</v>
      </c>
      <c r="I195" s="54" t="str">
        <f>HYPERLINK("https://twitter.com/FalklandsinUK/status/1250082636321763330","Source")</f>
        <v>Source</v>
      </c>
      <c r="J195" s="177"/>
      <c r="K195" s="36"/>
      <c r="L195" s="58">
        <v>11.0</v>
      </c>
      <c r="M195" s="58">
        <v>0.0</v>
      </c>
      <c r="N195" s="29"/>
      <c r="O195" s="29"/>
      <c r="P195" s="29"/>
    </row>
    <row r="196" ht="30.0" customHeight="1">
      <c r="A196" s="40" t="s">
        <v>424</v>
      </c>
      <c r="B196" s="58">
        <v>11.0</v>
      </c>
      <c r="C196" s="45">
        <f t="shared" si="1"/>
        <v>0</v>
      </c>
      <c r="D196" s="58">
        <v>0.0</v>
      </c>
      <c r="E196" s="48">
        <f t="shared" si="2"/>
        <v>0</v>
      </c>
      <c r="F196" s="60">
        <f t="shared" si="3"/>
        <v>0</v>
      </c>
      <c r="G196" s="72">
        <v>1.0</v>
      </c>
      <c r="H196" s="72">
        <v>1.0</v>
      </c>
      <c r="I196" s="54" t="str">
        <f>HYPERLINK("https://www.facebook.com/GIUMontserrat/photos/a.240391026520247/644670352758977/?type=3&amp;theater","Source")</f>
        <v>Source</v>
      </c>
      <c r="J196" s="177"/>
      <c r="K196" s="36"/>
      <c r="L196" s="58">
        <v>11.0</v>
      </c>
      <c r="M196" s="58">
        <v>0.0</v>
      </c>
      <c r="N196" s="29"/>
      <c r="O196" s="29"/>
      <c r="P196" s="29"/>
    </row>
    <row r="197" ht="30.0" customHeight="1">
      <c r="A197" s="40" t="s">
        <v>425</v>
      </c>
      <c r="B197" s="58">
        <v>10.0</v>
      </c>
      <c r="C197" s="45">
        <f t="shared" si="1"/>
        <v>0</v>
      </c>
      <c r="D197" s="58">
        <v>1.0</v>
      </c>
      <c r="E197" s="48">
        <f t="shared" si="2"/>
        <v>0</v>
      </c>
      <c r="F197" s="39">
        <f t="shared" si="3"/>
        <v>0.1</v>
      </c>
      <c r="G197" s="72" t="s">
        <v>26</v>
      </c>
      <c r="H197" s="72">
        <v>6.0</v>
      </c>
      <c r="I197" s="54" t="str">
        <f>HYPERLINK("https://covid-19.sr/","Source")</f>
        <v>Source</v>
      </c>
      <c r="J197" s="177"/>
      <c r="K197" s="36"/>
      <c r="L197" s="58">
        <v>10.0</v>
      </c>
      <c r="M197" s="58">
        <v>1.0</v>
      </c>
      <c r="N197" s="29"/>
      <c r="O197" s="29"/>
      <c r="P197" s="29"/>
    </row>
    <row r="198" ht="30.0" customHeight="1">
      <c r="A198" s="40" t="s">
        <v>426</v>
      </c>
      <c r="B198" s="58">
        <v>9.0</v>
      </c>
      <c r="C198" s="45">
        <f t="shared" si="1"/>
        <v>0</v>
      </c>
      <c r="D198" s="58">
        <v>1.0</v>
      </c>
      <c r="E198" s="48">
        <f t="shared" si="2"/>
        <v>0</v>
      </c>
      <c r="F198" s="39">
        <f t="shared" si="3"/>
        <v>0.1111111111</v>
      </c>
      <c r="G198" s="72" t="s">
        <v>26</v>
      </c>
      <c r="H198" s="72">
        <v>2.0</v>
      </c>
      <c r="I198" s="54" t="str">
        <f>HYPERLINK("https://twitter.com/MohGambia/status/1250494700315914240","Source")</f>
        <v>Source</v>
      </c>
      <c r="J198" s="177"/>
      <c r="K198" s="47" t="s">
        <v>19</v>
      </c>
      <c r="L198" s="58">
        <v>9.0</v>
      </c>
      <c r="M198" s="58">
        <v>1.0</v>
      </c>
      <c r="N198" s="29"/>
      <c r="O198" s="29"/>
      <c r="P198" s="29"/>
    </row>
    <row r="199" ht="30.0" customHeight="1">
      <c r="A199" s="40" t="s">
        <v>349</v>
      </c>
      <c r="B199" s="58">
        <v>9.0</v>
      </c>
      <c r="C199" s="45">
        <f t="shared" si="1"/>
        <v>0</v>
      </c>
      <c r="D199" s="58">
        <v>1.0</v>
      </c>
      <c r="E199" s="48">
        <f t="shared" si="2"/>
        <v>0</v>
      </c>
      <c r="F199" s="39">
        <f t="shared" si="3"/>
        <v>0.1111111111</v>
      </c>
      <c r="G199" s="72">
        <v>3.0</v>
      </c>
      <c r="H199" s="72">
        <v>4.0</v>
      </c>
      <c r="I199" s="54" t="str">
        <f>HYPERLINK("https://www.laprensa.com.ni/2020/04/11/nacionales/2661565-nicaragua-reporta-el-noveno-caso-de-covid-19-en-el-pais","Source")</f>
        <v>Source</v>
      </c>
      <c r="J199" s="177"/>
      <c r="K199" s="36"/>
      <c r="L199" s="58">
        <v>9.0</v>
      </c>
      <c r="M199" s="58">
        <v>1.0</v>
      </c>
      <c r="N199" s="29"/>
      <c r="O199" s="29"/>
      <c r="P199" s="29"/>
    </row>
    <row r="200" ht="27.75" customHeight="1">
      <c r="A200" s="40" t="s">
        <v>427</v>
      </c>
      <c r="B200" s="194">
        <v>8.0</v>
      </c>
      <c r="C200" s="195">
        <f t="shared" si="1"/>
        <v>0</v>
      </c>
      <c r="D200" s="196">
        <v>0.0</v>
      </c>
      <c r="E200" s="197">
        <f t="shared" si="2"/>
        <v>0</v>
      </c>
      <c r="F200" s="39">
        <f t="shared" si="3"/>
        <v>0</v>
      </c>
      <c r="G200" s="72" t="s">
        <v>26</v>
      </c>
      <c r="H200" s="72">
        <v>2.0</v>
      </c>
      <c r="I200" s="54" t="str">
        <f>HYPERLINK("https://www.vaticannews.va/en/vatican-city/news/2020-04/vatican-coronavirus-8-cases-press-office-bruni.html","Source")</f>
        <v>Source</v>
      </c>
      <c r="J200" s="177"/>
      <c r="K200" s="36"/>
      <c r="L200" s="194">
        <v>8.0</v>
      </c>
      <c r="M200" s="196">
        <v>0.0</v>
      </c>
      <c r="N200" s="29"/>
      <c r="O200" s="38"/>
      <c r="P200" s="29"/>
    </row>
    <row r="201" ht="30.0" customHeight="1">
      <c r="A201" s="40" t="s">
        <v>428</v>
      </c>
      <c r="B201" s="58">
        <v>7.0</v>
      </c>
      <c r="C201" s="45">
        <f t="shared" si="1"/>
        <v>0</v>
      </c>
      <c r="D201" s="58">
        <v>1.0</v>
      </c>
      <c r="E201" s="48">
        <f t="shared" si="2"/>
        <v>0</v>
      </c>
      <c r="F201" s="60">
        <f t="shared" si="3"/>
        <v>0.1428571429</v>
      </c>
      <c r="G201" s="72">
        <v>0.0</v>
      </c>
      <c r="H201" s="72">
        <v>2.0</v>
      </c>
      <c r="I201" s="54" t="str">
        <f>HYPERLINK("http://www.sante.gov.mr/?p=3976","Source")</f>
        <v>Source</v>
      </c>
      <c r="J201" s="66"/>
      <c r="K201" s="36"/>
      <c r="L201" s="58">
        <v>7.0</v>
      </c>
      <c r="M201" s="58">
        <v>1.0</v>
      </c>
      <c r="N201" s="29"/>
      <c r="O201" s="29"/>
      <c r="P201" s="29"/>
    </row>
    <row r="202" ht="30.0" customHeight="1">
      <c r="A202" s="198" t="s">
        <v>429</v>
      </c>
      <c r="B202" s="199">
        <v>7.0</v>
      </c>
      <c r="C202" s="45">
        <f t="shared" si="1"/>
        <v>5</v>
      </c>
      <c r="D202" s="199">
        <v>0.0</v>
      </c>
      <c r="E202" s="48">
        <f t="shared" si="2"/>
        <v>0</v>
      </c>
      <c r="F202" s="200">
        <f t="shared" si="3"/>
        <v>0</v>
      </c>
      <c r="G202" s="201" t="s">
        <v>26</v>
      </c>
      <c r="H202" s="201">
        <v>1.0</v>
      </c>
      <c r="I202" s="202" t="str">
        <f>HYPERLINK("https://covid19.info.gov.pg/index.php/2020/04/16/pm-confirms-5-new-persons-with-coronavirus/","Source")</f>
        <v>Source</v>
      </c>
      <c r="J202" s="100"/>
      <c r="K202" s="203"/>
      <c r="L202" s="199">
        <v>2.0</v>
      </c>
      <c r="M202" s="199">
        <v>0.0</v>
      </c>
      <c r="N202" s="204"/>
      <c r="O202" s="204"/>
      <c r="P202" s="204"/>
    </row>
    <row r="203" ht="30.0" customHeight="1">
      <c r="A203" s="40" t="s">
        <v>430</v>
      </c>
      <c r="B203" s="58">
        <v>6.0</v>
      </c>
      <c r="C203" s="45">
        <v>0.0</v>
      </c>
      <c r="D203" s="58">
        <v>0.0</v>
      </c>
      <c r="E203" s="48">
        <f t="shared" si="2"/>
        <v>0</v>
      </c>
      <c r="F203" s="60">
        <f t="shared" si="3"/>
        <v>0</v>
      </c>
      <c r="G203" s="72" t="s">
        <v>26</v>
      </c>
      <c r="H203" s="72">
        <v>4.0</v>
      </c>
      <c r="I203" s="54" t="str">
        <f>HYPERLINK("https://www.journaldesaintbarth.com/actualites/conseil-territorial/lobjectif-cest-de-rassurer-la-population-et-obtenir-la-levee-du-confinement--202004042028.html","Source")</f>
        <v>Source</v>
      </c>
      <c r="J203" s="177"/>
      <c r="K203" s="36"/>
      <c r="L203" s="58">
        <v>6.0</v>
      </c>
      <c r="M203" s="58">
        <v>0.0</v>
      </c>
      <c r="N203" s="29"/>
      <c r="O203" s="29"/>
      <c r="P203" s="29"/>
    </row>
    <row r="204" ht="30.0" customHeight="1">
      <c r="A204" s="40" t="s">
        <v>431</v>
      </c>
      <c r="B204" s="58">
        <v>5.0</v>
      </c>
      <c r="C204" s="45">
        <f t="shared" ref="C204:C211" si="4">MINUS(B204,L204)</f>
        <v>0</v>
      </c>
      <c r="D204" s="58">
        <v>1.0</v>
      </c>
      <c r="E204" s="48">
        <f t="shared" si="2"/>
        <v>0</v>
      </c>
      <c r="F204" s="39">
        <f t="shared" si="3"/>
        <v>0.2</v>
      </c>
      <c r="G204" s="72">
        <v>1.0</v>
      </c>
      <c r="H204" s="72" t="s">
        <v>26</v>
      </c>
      <c r="I204" s="54" t="str">
        <f>HYPERLINK("https://twitter.com/mspls_bdi/status/1249703226087268352","Source")</f>
        <v>Source</v>
      </c>
      <c r="J204" s="177"/>
      <c r="K204" s="36"/>
      <c r="L204" s="58">
        <v>5.0</v>
      </c>
      <c r="M204" s="58">
        <v>1.0</v>
      </c>
      <c r="N204" s="29"/>
      <c r="O204" s="29"/>
      <c r="P204" s="29"/>
    </row>
    <row r="205" ht="27.75" customHeight="1">
      <c r="A205" s="40" t="s">
        <v>432</v>
      </c>
      <c r="B205" s="58">
        <v>5.0</v>
      </c>
      <c r="C205" s="195">
        <f t="shared" si="4"/>
        <v>0</v>
      </c>
      <c r="D205" s="58">
        <v>0.0</v>
      </c>
      <c r="E205" s="48">
        <f t="shared" si="2"/>
        <v>0</v>
      </c>
      <c r="F205" s="60">
        <f t="shared" si="3"/>
        <v>0</v>
      </c>
      <c r="G205" s="72" t="s">
        <v>26</v>
      </c>
      <c r="H205" s="72">
        <v>2.0</v>
      </c>
      <c r="I205" s="54" t="str">
        <f>HYPERLINK("http://www.bbs.bt/news/?p=130632","Source")</f>
        <v>Source</v>
      </c>
      <c r="J205" s="177"/>
      <c r="K205" s="36"/>
      <c r="L205" s="58">
        <v>5.0</v>
      </c>
      <c r="M205" s="58">
        <v>0.0</v>
      </c>
      <c r="N205" s="29"/>
      <c r="O205" s="29"/>
      <c r="P205" s="29"/>
    </row>
    <row r="206" ht="30.0" customHeight="1">
      <c r="A206" s="40" t="s">
        <v>433</v>
      </c>
      <c r="B206" s="58">
        <v>4.0</v>
      </c>
      <c r="C206" s="45">
        <f t="shared" si="4"/>
        <v>0</v>
      </c>
      <c r="D206" s="58">
        <v>0.0</v>
      </c>
      <c r="E206" s="48">
        <f t="shared" si="2"/>
        <v>0</v>
      </c>
      <c r="F206" s="60">
        <f t="shared" si="3"/>
        <v>0</v>
      </c>
      <c r="G206" s="72" t="s">
        <v>26</v>
      </c>
      <c r="H206" s="72" t="s">
        <v>26</v>
      </c>
      <c r="I206" s="54" t="str">
        <f>HYPERLINK("http://www.china.org.cn/world/Off_the_Wire/2020-04/10/content_75917985.htm","Source")</f>
        <v>Source</v>
      </c>
      <c r="J206" s="177"/>
      <c r="K206" s="36"/>
      <c r="L206" s="58">
        <v>4.0</v>
      </c>
      <c r="M206" s="58">
        <v>0.0</v>
      </c>
      <c r="N206" s="29"/>
      <c r="O206" s="29"/>
      <c r="P206" s="29"/>
    </row>
    <row r="207" ht="30.0" customHeight="1">
      <c r="A207" s="40" t="s">
        <v>251</v>
      </c>
      <c r="B207" s="58">
        <v>4.0</v>
      </c>
      <c r="C207" s="45">
        <f t="shared" si="4"/>
        <v>0</v>
      </c>
      <c r="D207" s="58">
        <v>0.0</v>
      </c>
      <c r="E207" s="48">
        <f t="shared" si="2"/>
        <v>0</v>
      </c>
      <c r="F207" s="60">
        <f t="shared" si="3"/>
        <v>0</v>
      </c>
      <c r="G207" s="72" t="s">
        <v>26</v>
      </c>
      <c r="H207" s="72" t="s">
        <v>26</v>
      </c>
      <c r="I207" s="54" t="str">
        <f>HYPERLINK("https://fr.africanews.com/2020/04/08/coronavirus-sao-tome-et-principe-annonce-ses-premiers-cas/?utm_term=Autofeed&amp;utm_medium=AfricanewsFR&amp;utm_source=Twitter#Echobox=1586333344","Source")</f>
        <v>Source</v>
      </c>
      <c r="J207" s="177"/>
      <c r="K207" s="36"/>
      <c r="L207" s="58">
        <v>4.0</v>
      </c>
      <c r="M207" s="58">
        <v>0.0</v>
      </c>
      <c r="N207" s="29"/>
      <c r="O207" s="29"/>
      <c r="P207" s="29"/>
    </row>
    <row r="208" ht="30.0" customHeight="1">
      <c r="A208" s="40" t="s">
        <v>434</v>
      </c>
      <c r="B208" s="58">
        <v>3.0</v>
      </c>
      <c r="C208" s="45">
        <f t="shared" si="4"/>
        <v>0</v>
      </c>
      <c r="D208" s="58">
        <v>0.0</v>
      </c>
      <c r="E208" s="48">
        <f t="shared" si="2"/>
        <v>0</v>
      </c>
      <c r="F208" s="39">
        <f t="shared" si="3"/>
        <v>0</v>
      </c>
      <c r="G208" s="72" t="s">
        <v>26</v>
      </c>
      <c r="H208" s="72">
        <v>2.0</v>
      </c>
      <c r="I208" s="54" t="str">
        <f>HYPERLINK("https://bvi.gov.vg/media-centre/bvi-reports-two-covid-19-recoveries","Source")</f>
        <v>Source</v>
      </c>
      <c r="J208" s="177"/>
      <c r="K208" s="36"/>
      <c r="L208" s="58">
        <v>3.0</v>
      </c>
      <c r="M208" s="58">
        <v>0.0</v>
      </c>
      <c r="N208" s="29"/>
      <c r="O208" s="29"/>
      <c r="P208" s="29"/>
    </row>
    <row r="209" ht="30.0" customHeight="1">
      <c r="A209" s="40" t="s">
        <v>435</v>
      </c>
      <c r="B209" s="58">
        <v>3.0</v>
      </c>
      <c r="C209" s="45">
        <f t="shared" si="4"/>
        <v>0</v>
      </c>
      <c r="D209" s="58">
        <v>0.0</v>
      </c>
      <c r="E209" s="48">
        <f t="shared" si="2"/>
        <v>0</v>
      </c>
      <c r="F209" s="39">
        <f t="shared" si="3"/>
        <v>0</v>
      </c>
      <c r="G209" s="72" t="s">
        <v>26</v>
      </c>
      <c r="H209" s="72">
        <v>1.0</v>
      </c>
      <c r="I209" s="54" t="str">
        <f>HYPERLINK("https://www.facebook.com/theanguillian/posts/2318012701635228?__xts__[0]=68.ARDM8I-4_nCY6LR_56q5c4X3F2sFtytd1mlUuCIEOabsovm49wNbfZ5Z1LLhpQHHrLt3JYDzvf55V7NtBNLXeQvCoxWCdQMhwDivzDNbwkt7ZGQYmnnUP4h1-3cWcdaDKqgvQm-l5TFdhZkTFCB1x_oKCNv_OuzQx2MbE5vmvo8_ioarp1_"&amp;"vUJiLFBRodeWbQ2rXi8YsjpkEBzhaeQM5P9bRwVvepVQdWMomgyorCeE7ymlKlSuZZWYYKpVKz-s0QG2OLQLwPSF51mzcWoGXoAO1E__9P3EBH1K1qBh_8NHCzyEYtKSslh6KEftq9eHioW0pllq-j9GWKSzqaseKugdeUg&amp;__tn__=-R","Source")</f>
        <v>Source</v>
      </c>
      <c r="J209" s="177"/>
      <c r="K209" s="36"/>
      <c r="L209" s="58">
        <v>3.0</v>
      </c>
      <c r="M209" s="58">
        <v>0.0</v>
      </c>
      <c r="N209" s="29"/>
      <c r="O209" s="29"/>
      <c r="P209" s="29"/>
    </row>
    <row r="210" ht="30.0" customHeight="1">
      <c r="A210" s="198" t="s">
        <v>436</v>
      </c>
      <c r="B210" s="199">
        <v>1.0</v>
      </c>
      <c r="C210" s="45">
        <f t="shared" si="4"/>
        <v>0</v>
      </c>
      <c r="D210" s="199">
        <v>0.0</v>
      </c>
      <c r="E210" s="48">
        <f t="shared" si="2"/>
        <v>0</v>
      </c>
      <c r="F210" s="200">
        <f t="shared" si="3"/>
        <v>0</v>
      </c>
      <c r="G210" s="201" t="s">
        <v>26</v>
      </c>
      <c r="H210" s="72" t="s">
        <v>26</v>
      </c>
      <c r="I210" s="202" t="str">
        <f>HYPERLINK("https://twitter.com/YSNECCOVID19/status/1248460614323695616","Source")</f>
        <v>Source</v>
      </c>
      <c r="J210" s="205"/>
      <c r="K210" s="203"/>
      <c r="L210" s="199">
        <v>1.0</v>
      </c>
      <c r="M210" s="199">
        <v>0.0</v>
      </c>
      <c r="N210" s="204"/>
      <c r="O210" s="204"/>
      <c r="P210" s="204"/>
    </row>
    <row r="211" ht="12.75" customHeight="1">
      <c r="A211" s="206" t="s">
        <v>437</v>
      </c>
      <c r="B211" s="207"/>
      <c r="C211" s="208">
        <f t="shared" si="4"/>
        <v>0</v>
      </c>
      <c r="D211" s="207"/>
      <c r="E211" s="209">
        <f t="shared" si="2"/>
        <v>0</v>
      </c>
      <c r="F211" s="210"/>
      <c r="G211" s="210"/>
      <c r="H211" s="210"/>
      <c r="I211" s="211"/>
      <c r="J211" s="52"/>
      <c r="K211" s="212"/>
      <c r="L211" s="207"/>
      <c r="M211" s="207"/>
      <c r="N211" s="52"/>
      <c r="O211" s="207">
        <v>2395.0</v>
      </c>
      <c r="P211" s="207">
        <v>0.0</v>
      </c>
    </row>
    <row r="212" ht="30.0" customHeight="1">
      <c r="A212" s="213" t="s">
        <v>59</v>
      </c>
      <c r="B212" s="214">
        <f>sum(B7:B211, O211)</f>
        <v>2187134</v>
      </c>
      <c r="C212" s="215">
        <f>SUM(C7:C211)</f>
        <v>96722</v>
      </c>
      <c r="D212" s="216">
        <f>sum(D7:D211, P211)</f>
        <v>145532</v>
      </c>
      <c r="E212" s="217">
        <f>SUM(E7:E211)</f>
        <v>7237</v>
      </c>
      <c r="F212" s="218">
        <f>DIVIDE(D212, B212)</f>
        <v>0.06654004739</v>
      </c>
      <c r="G212" s="219">
        <f t="shared" ref="G212:H212" si="5">sum(G7:G210)</f>
        <v>40415</v>
      </c>
      <c r="H212" s="220">
        <f t="shared" si="5"/>
        <v>534885</v>
      </c>
      <c r="I212" s="221"/>
      <c r="J212" s="28"/>
      <c r="K212" s="36"/>
      <c r="L212" s="214">
        <f>sum(L7:L211, Y211)</f>
        <v>2088017</v>
      </c>
      <c r="M212" s="222">
        <f>sum(M7:M211, Y211)</f>
        <v>138295</v>
      </c>
      <c r="N212" s="29"/>
      <c r="O212" s="29"/>
      <c r="P212" s="29"/>
    </row>
    <row r="213" ht="30.0" customHeight="1">
      <c r="A213" s="223"/>
      <c r="B213" s="224" t="s">
        <v>7</v>
      </c>
      <c r="C213" s="225" t="s">
        <v>8</v>
      </c>
      <c r="D213" s="226" t="s">
        <v>9</v>
      </c>
      <c r="E213" s="227" t="s">
        <v>10</v>
      </c>
      <c r="F213" s="227" t="s">
        <v>197</v>
      </c>
      <c r="G213" s="228" t="s">
        <v>12</v>
      </c>
      <c r="H213" s="229" t="s">
        <v>14</v>
      </c>
      <c r="I213" s="224"/>
      <c r="J213" s="183"/>
      <c r="K213" s="230"/>
      <c r="L213" s="224" t="s">
        <v>7</v>
      </c>
      <c r="M213" s="226" t="s">
        <v>9</v>
      </c>
      <c r="N213" s="183"/>
      <c r="O213" s="183"/>
      <c r="P213" s="183"/>
    </row>
  </sheetData>
  <mergeCells count="4">
    <mergeCell ref="C3:D3"/>
    <mergeCell ref="E3:G3"/>
    <mergeCell ref="C4:D4"/>
    <mergeCell ref="E4:F4"/>
  </mergeCells>
  <drawing r:id="rId2"/>
  <legacyDrawing r:id="rId3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11.43"/>
    <col customWidth="1" min="3" max="3" width="9.43"/>
    <col customWidth="1" min="4" max="4" width="8.43"/>
    <col customWidth="1" min="5" max="5" width="9.86"/>
    <col customWidth="1" min="6" max="7" width="9.71"/>
    <col customWidth="1" min="8" max="8" width="12.43"/>
    <col customWidth="1" min="9" max="9" width="11.14"/>
    <col customWidth="1" min="10" max="10" width="0.86"/>
    <col customWidth="1" min="12" max="12" width="11.43"/>
    <col customWidth="1" min="13" max="13" width="8.43"/>
    <col customWidth="1" min="14" max="14" width="3.71"/>
  </cols>
  <sheetData>
    <row r="1" ht="27.75" customHeight="1">
      <c r="A1" s="2" t="s">
        <v>0</v>
      </c>
      <c r="I1" s="2"/>
      <c r="J1" s="4"/>
      <c r="K1" s="4"/>
      <c r="N1" s="4"/>
    </row>
    <row r="2">
      <c r="A2" s="3" t="s">
        <v>1</v>
      </c>
      <c r="B2" s="3" t="s">
        <v>2</v>
      </c>
      <c r="C2" s="5" t="s">
        <v>3</v>
      </c>
      <c r="D2" s="3"/>
      <c r="E2" s="7" t="s">
        <v>4</v>
      </c>
      <c r="H2" s="6"/>
      <c r="I2" s="8"/>
      <c r="J2" s="4"/>
      <c r="K2" s="4"/>
      <c r="L2" s="3" t="s">
        <v>2</v>
      </c>
      <c r="M2" s="3"/>
      <c r="N2" s="4"/>
    </row>
    <row r="3">
      <c r="A3" s="12">
        <f>SUM(B68, B70)</f>
        <v>678718</v>
      </c>
      <c r="B3" s="12">
        <f>SUM(D68, D70)</f>
        <v>34463</v>
      </c>
      <c r="C3" s="14">
        <f>SUM(H68, H70)</f>
        <v>39846</v>
      </c>
      <c r="D3" s="12"/>
      <c r="E3" s="15">
        <f>MINUS(A3,B3 + C3)</f>
        <v>604409</v>
      </c>
      <c r="F3" s="15"/>
      <c r="G3" s="5"/>
      <c r="H3" s="6"/>
      <c r="I3" s="8"/>
      <c r="J3" s="4"/>
      <c r="K3" s="4"/>
      <c r="L3" s="12">
        <f>SUM(N68, N70)</f>
        <v>0</v>
      </c>
      <c r="M3" s="12"/>
      <c r="N3" s="4"/>
    </row>
    <row r="4">
      <c r="A4" s="17"/>
      <c r="B4" s="8"/>
      <c r="C4" s="8"/>
      <c r="D4" s="8"/>
      <c r="E4" s="8"/>
      <c r="F4" s="6"/>
      <c r="G4" s="6"/>
      <c r="H4" s="6"/>
      <c r="I4" s="8"/>
      <c r="J4" s="4"/>
      <c r="K4" s="4"/>
      <c r="L4" s="8"/>
      <c r="M4" s="8"/>
      <c r="N4" s="4"/>
    </row>
    <row r="5" ht="30.0" customHeight="1">
      <c r="A5" s="19" t="s">
        <v>5</v>
      </c>
      <c r="B5" s="20" t="s">
        <v>7</v>
      </c>
      <c r="C5" s="22" t="s">
        <v>8</v>
      </c>
      <c r="D5" s="20" t="s">
        <v>9</v>
      </c>
      <c r="E5" s="24" t="s">
        <v>10</v>
      </c>
      <c r="F5" s="24" t="s">
        <v>11</v>
      </c>
      <c r="G5" s="26" t="s">
        <v>12</v>
      </c>
      <c r="H5" s="26" t="s">
        <v>14</v>
      </c>
      <c r="I5" s="20" t="s">
        <v>15</v>
      </c>
      <c r="J5" s="28"/>
      <c r="K5" s="28"/>
      <c r="L5" s="20" t="s">
        <v>7</v>
      </c>
      <c r="M5" s="20" t="s">
        <v>9</v>
      </c>
      <c r="N5" s="28"/>
    </row>
    <row r="6" ht="30.0" customHeight="1">
      <c r="A6" s="30" t="s">
        <v>16</v>
      </c>
      <c r="B6" s="32">
        <v>226198.0</v>
      </c>
      <c r="C6" s="35">
        <f t="shared" ref="C6:C66" si="1">MINUS(B6,L6)</f>
        <v>8505</v>
      </c>
      <c r="D6" s="32">
        <v>16106.0</v>
      </c>
      <c r="E6" s="37">
        <f t="shared" ref="E6:E66" si="2">MINUS(D6,M6)</f>
        <v>606</v>
      </c>
      <c r="F6" s="39">
        <f t="shared" ref="F6:F65" si="3">DIVIDE(D6, B6)</f>
        <v>0.07120310524</v>
      </c>
      <c r="G6" s="41">
        <v>4504.0</v>
      </c>
      <c r="H6" s="41">
        <v>13366.0</v>
      </c>
      <c r="I6" s="44" t="str">
        <f>HYPERLINK("https://covid19tracker.health.ny.gov/views/NYS-COVID19-Tracker/NYSDOHCOVID-19Tracker-Map?%3Aembed=yes&amp;%3Atoolbar=no&amp;%3Atabs=n","Source")</f>
        <v>Source</v>
      </c>
      <c r="J6" s="28"/>
      <c r="K6" s="47" t="s">
        <v>19</v>
      </c>
      <c r="L6" s="32">
        <v>217693.0</v>
      </c>
      <c r="M6" s="32">
        <v>15500.0</v>
      </c>
      <c r="N6" s="28"/>
    </row>
    <row r="7" ht="27.75" customHeight="1">
      <c r="A7" s="49" t="s">
        <v>20</v>
      </c>
      <c r="B7" s="53">
        <v>75317.0</v>
      </c>
      <c r="C7" s="35">
        <f t="shared" si="1"/>
        <v>4287</v>
      </c>
      <c r="D7" s="53">
        <v>3518.0</v>
      </c>
      <c r="E7" s="37">
        <f t="shared" si="2"/>
        <v>362</v>
      </c>
      <c r="F7" s="60">
        <f t="shared" si="3"/>
        <v>0.04670924227</v>
      </c>
      <c r="G7" s="62">
        <v>2014.0</v>
      </c>
      <c r="H7" s="62">
        <v>5024.0</v>
      </c>
      <c r="I7" s="64" t="str">
        <f>HYPERLINK("https://www.nj.gov/health/cd/topics/covid2019_dashboard.shtml","Source")</f>
        <v>Source</v>
      </c>
      <c r="J7" s="66"/>
      <c r="K7" s="47" t="s">
        <v>19</v>
      </c>
      <c r="L7" s="53">
        <v>71030.0</v>
      </c>
      <c r="M7" s="53">
        <v>3156.0</v>
      </c>
      <c r="N7" s="47"/>
    </row>
    <row r="8" ht="27.75" customHeight="1">
      <c r="A8" s="49" t="s">
        <v>25</v>
      </c>
      <c r="B8" s="53">
        <v>32181.0</v>
      </c>
      <c r="C8" s="35">
        <f t="shared" si="1"/>
        <v>2263</v>
      </c>
      <c r="D8" s="53">
        <v>1245.0</v>
      </c>
      <c r="E8" s="37">
        <f t="shared" si="2"/>
        <v>137</v>
      </c>
      <c r="F8" s="60">
        <f t="shared" si="3"/>
        <v>0.03868742426</v>
      </c>
      <c r="G8" s="69" t="s">
        <v>26</v>
      </c>
      <c r="H8" s="69">
        <v>421.0</v>
      </c>
      <c r="I8" s="64" t="str">
        <f>HYPERLINK("https://www.mass.gov/doc/covid-19-cases-in-massachusetts-as-of-april-16-2020/download","Source")</f>
        <v>Source</v>
      </c>
      <c r="J8" s="66"/>
      <c r="K8" s="47" t="s">
        <v>19</v>
      </c>
      <c r="L8" s="53">
        <v>29918.0</v>
      </c>
      <c r="M8" s="70">
        <v>1108.0</v>
      </c>
      <c r="N8" s="47"/>
    </row>
    <row r="9" ht="27.75" customHeight="1">
      <c r="A9" s="49" t="s">
        <v>29</v>
      </c>
      <c r="B9" s="53">
        <v>29263.0</v>
      </c>
      <c r="C9" s="35">
        <f t="shared" si="1"/>
        <v>1204</v>
      </c>
      <c r="D9" s="53">
        <v>2093.0</v>
      </c>
      <c r="E9" s="37">
        <f t="shared" si="2"/>
        <v>172</v>
      </c>
      <c r="F9" s="39">
        <f t="shared" si="3"/>
        <v>0.07152376721</v>
      </c>
      <c r="G9" s="69" t="s">
        <v>26</v>
      </c>
      <c r="H9" s="69">
        <v>433.0</v>
      </c>
      <c r="I9" s="64" t="str">
        <f>HYPERLINK("https://www.michigan.gov/coronavirus/0,9753,7-406-98163_98173---,00.html","Source")</f>
        <v>Source</v>
      </c>
      <c r="J9" s="66"/>
      <c r="K9" s="47" t="s">
        <v>19</v>
      </c>
      <c r="L9" s="53">
        <v>28059.0</v>
      </c>
      <c r="M9" s="53">
        <v>1921.0</v>
      </c>
      <c r="N9" s="47"/>
    </row>
    <row r="10" ht="27.75" customHeight="1">
      <c r="A10" s="49" t="s">
        <v>32</v>
      </c>
      <c r="B10" s="53">
        <v>28096.0</v>
      </c>
      <c r="C10" s="35">
        <f t="shared" si="1"/>
        <v>1512</v>
      </c>
      <c r="D10" s="70">
        <v>707.0</v>
      </c>
      <c r="E10" s="59">
        <f t="shared" si="2"/>
        <v>60</v>
      </c>
      <c r="F10" s="60">
        <f t="shared" si="3"/>
        <v>0.02516372437</v>
      </c>
      <c r="G10" s="69" t="s">
        <v>26</v>
      </c>
      <c r="H10" s="69">
        <v>404.0</v>
      </c>
      <c r="I10" s="64" t="str">
        <f>HYPERLINK("https://public.flourish.studio/visualisation/1658682/?utm_source=embed&amp;utm_campaign=visualisation/1658682","Source")</f>
        <v>Source</v>
      </c>
      <c r="J10" s="66"/>
      <c r="K10" s="47" t="s">
        <v>19</v>
      </c>
      <c r="L10" s="53">
        <v>26584.0</v>
      </c>
      <c r="M10" s="70">
        <v>647.0</v>
      </c>
      <c r="N10" s="47"/>
    </row>
    <row r="11" ht="30.0" customHeight="1">
      <c r="A11" s="31" t="s">
        <v>35</v>
      </c>
      <c r="B11" s="33">
        <v>27989.0</v>
      </c>
      <c r="C11" s="35">
        <f t="shared" si="1"/>
        <v>910</v>
      </c>
      <c r="D11" s="57">
        <v>963.0</v>
      </c>
      <c r="E11" s="59">
        <f t="shared" si="2"/>
        <v>84</v>
      </c>
      <c r="F11" s="60">
        <f t="shared" si="3"/>
        <v>0.03440637393</v>
      </c>
      <c r="G11" s="62" t="s">
        <v>26</v>
      </c>
      <c r="H11" s="42">
        <v>1935.0</v>
      </c>
      <c r="I11" s="50" t="str">
        <f>HYPERLINK("https://projects.sfchronicle.com/2020/coronavirus-map/","Source")</f>
        <v>Source</v>
      </c>
      <c r="J11" s="65"/>
      <c r="K11" s="47" t="s">
        <v>38</v>
      </c>
      <c r="L11" s="33">
        <v>27079.0</v>
      </c>
      <c r="M11" s="57">
        <v>879.0</v>
      </c>
      <c r="N11" s="47"/>
    </row>
    <row r="12" ht="27.75" customHeight="1">
      <c r="A12" s="49" t="s">
        <v>39</v>
      </c>
      <c r="B12" s="53">
        <v>25733.0</v>
      </c>
      <c r="C12" s="35">
        <f t="shared" si="1"/>
        <v>1140</v>
      </c>
      <c r="D12" s="53">
        <v>1072.0</v>
      </c>
      <c r="E12" s="37">
        <f t="shared" si="2"/>
        <v>124</v>
      </c>
      <c r="F12" s="39">
        <f t="shared" si="3"/>
        <v>0.04165857071</v>
      </c>
      <c r="G12" s="69" t="s">
        <v>26</v>
      </c>
      <c r="H12" s="69">
        <v>100.0</v>
      </c>
      <c r="I12" s="64" t="str">
        <f>HYPERLINK("https://www2.illinois.gov/IISNews/21407-Public_Health_Officials_Announce_1140_New_Cases_of_Coronavirus_Disease_.pdf","Source")</f>
        <v>Source</v>
      </c>
      <c r="J12" s="73"/>
      <c r="K12" s="47" t="s">
        <v>19</v>
      </c>
      <c r="L12" s="53">
        <v>24593.0</v>
      </c>
      <c r="M12" s="70">
        <v>948.0</v>
      </c>
      <c r="N12" s="47"/>
    </row>
    <row r="13" ht="30.0" customHeight="1">
      <c r="A13" s="31" t="s">
        <v>42</v>
      </c>
      <c r="B13" s="33">
        <v>23340.0</v>
      </c>
      <c r="C13" s="35">
        <f t="shared" si="1"/>
        <v>821</v>
      </c>
      <c r="D13" s="57">
        <v>668.0</v>
      </c>
      <c r="E13" s="59">
        <f t="shared" si="2"/>
        <v>54</v>
      </c>
      <c r="F13" s="39">
        <f t="shared" si="3"/>
        <v>0.02862039417</v>
      </c>
      <c r="G13" s="69" t="s">
        <v>26</v>
      </c>
      <c r="H13" s="62">
        <v>1116.0</v>
      </c>
      <c r="I13" s="50" t="str">
        <f>HYPERLINK("https://experience.arcgis.com/experience/96dd742462124fa0b38ddedb9b25e429","Source")</f>
        <v>Source</v>
      </c>
      <c r="J13" s="65"/>
      <c r="K13" s="47" t="s">
        <v>45</v>
      </c>
      <c r="L13" s="33">
        <v>22519.0</v>
      </c>
      <c r="M13" s="57">
        <v>614.0</v>
      </c>
      <c r="N13" s="47"/>
    </row>
    <row r="14" ht="27.75" customHeight="1">
      <c r="A14" s="49" t="s">
        <v>46</v>
      </c>
      <c r="B14" s="53">
        <v>22532.0</v>
      </c>
      <c r="C14" s="35">
        <f t="shared" si="1"/>
        <v>581</v>
      </c>
      <c r="D14" s="53">
        <v>1156.0</v>
      </c>
      <c r="E14" s="37">
        <f t="shared" si="2"/>
        <v>53</v>
      </c>
      <c r="F14" s="39">
        <f t="shared" si="3"/>
        <v>0.05130481094</v>
      </c>
      <c r="G14" s="62">
        <v>396.0</v>
      </c>
      <c r="H14" s="69">
        <v>806.0</v>
      </c>
      <c r="I14" s="64" t="str">
        <f>HYPERLINK("http://ldh.la.gov/coronavirus/","Source")</f>
        <v>Source</v>
      </c>
      <c r="J14" s="66"/>
      <c r="K14" s="47" t="s">
        <v>19</v>
      </c>
      <c r="L14" s="53">
        <v>21951.0</v>
      </c>
      <c r="M14" s="53">
        <v>1103.0</v>
      </c>
      <c r="N14" s="28"/>
    </row>
    <row r="15" ht="30.0" customHeight="1">
      <c r="A15" s="31" t="s">
        <v>49</v>
      </c>
      <c r="B15" s="33">
        <v>16455.0</v>
      </c>
      <c r="C15" s="35">
        <f t="shared" si="1"/>
        <v>289</v>
      </c>
      <c r="D15" s="57">
        <v>393.0</v>
      </c>
      <c r="E15" s="59">
        <f t="shared" si="2"/>
        <v>6</v>
      </c>
      <c r="F15" s="60">
        <f t="shared" si="3"/>
        <v>0.02388331814</v>
      </c>
      <c r="G15" s="46" t="s">
        <v>26</v>
      </c>
      <c r="H15" s="62">
        <v>3677.0</v>
      </c>
      <c r="I15" s="50" t="str">
        <f>HYPERLINK("https://www.houstonchronicle.com/coronavirus/article/texas-coronavirus-map-cases-houston-covid-19-15137466.php","Source")</f>
        <v>Source</v>
      </c>
      <c r="J15" s="65"/>
      <c r="K15" s="47" t="s">
        <v>52</v>
      </c>
      <c r="L15" s="33">
        <v>16166.0</v>
      </c>
      <c r="M15" s="57">
        <v>387.0</v>
      </c>
      <c r="N15" s="28"/>
    </row>
    <row r="16" ht="30.0" customHeight="1">
      <c r="A16" s="49" t="s">
        <v>53</v>
      </c>
      <c r="B16" s="53">
        <v>16368.0</v>
      </c>
      <c r="C16" s="35">
        <f t="shared" si="1"/>
        <v>1108</v>
      </c>
      <c r="D16" s="70">
        <v>617.0</v>
      </c>
      <c r="E16" s="59">
        <f t="shared" si="2"/>
        <v>41</v>
      </c>
      <c r="F16" s="39">
        <f t="shared" si="3"/>
        <v>0.03769550342</v>
      </c>
      <c r="G16" s="69" t="s">
        <v>26</v>
      </c>
      <c r="H16" s="69" t="s">
        <v>26</v>
      </c>
      <c r="I16" s="64" t="str">
        <f>HYPERLINK("https://dph.georgia.gov/covid-19-daily-status-report","Source")</f>
        <v>Source</v>
      </c>
      <c r="J16" s="65"/>
      <c r="K16" s="47" t="s">
        <v>45</v>
      </c>
      <c r="L16" s="53">
        <v>15260.0</v>
      </c>
      <c r="M16" s="70">
        <v>576.0</v>
      </c>
      <c r="N16" s="47"/>
    </row>
    <row r="17" ht="27.75" customHeight="1">
      <c r="A17" s="49" t="s">
        <v>55</v>
      </c>
      <c r="B17" s="53">
        <v>15884.0</v>
      </c>
      <c r="C17" s="35">
        <f t="shared" si="1"/>
        <v>1129</v>
      </c>
      <c r="D17" s="70">
        <v>971.0</v>
      </c>
      <c r="E17" s="59">
        <f t="shared" si="2"/>
        <v>103</v>
      </c>
      <c r="F17" s="39">
        <f t="shared" si="3"/>
        <v>0.06113069756</v>
      </c>
      <c r="G17" s="69" t="s">
        <v>26</v>
      </c>
      <c r="H17" s="69" t="s">
        <v>26</v>
      </c>
      <c r="I17" s="64" t="str">
        <f>HYPERLINK("https://portal.ct.gov/-/media/Coronavirus/CTDPHCOVID19summary4162020.pdf?la=en","Source")</f>
        <v>Source</v>
      </c>
      <c r="J17" s="28"/>
      <c r="K17" s="47" t="s">
        <v>19</v>
      </c>
      <c r="L17" s="53">
        <v>14755.0</v>
      </c>
      <c r="M17" s="70">
        <v>868.0</v>
      </c>
      <c r="N17" s="47"/>
    </row>
    <row r="18" ht="30.0" customHeight="1">
      <c r="A18" s="49" t="s">
        <v>57</v>
      </c>
      <c r="B18" s="53">
        <v>11235.0</v>
      </c>
      <c r="C18" s="35">
        <f t="shared" si="1"/>
        <v>0</v>
      </c>
      <c r="D18" s="70">
        <v>571.0</v>
      </c>
      <c r="E18" s="59">
        <f t="shared" si="2"/>
        <v>0</v>
      </c>
      <c r="F18" s="60">
        <f t="shared" si="3"/>
        <v>0.05082331998</v>
      </c>
      <c r="G18" s="69" t="s">
        <v>26</v>
      </c>
      <c r="H18" s="62">
        <v>1401.0</v>
      </c>
      <c r="I18" s="83"/>
      <c r="J18" s="28"/>
      <c r="K18" s="47" t="s">
        <v>19</v>
      </c>
      <c r="L18" s="53">
        <v>11235.0</v>
      </c>
      <c r="M18" s="70">
        <v>571.0</v>
      </c>
      <c r="N18" s="47"/>
    </row>
    <row r="19" ht="27.75" customHeight="1">
      <c r="A19" s="49" t="s">
        <v>62</v>
      </c>
      <c r="B19" s="53">
        <v>10784.0</v>
      </c>
      <c r="C19" s="35">
        <f t="shared" si="1"/>
        <v>752</v>
      </c>
      <c r="D19" s="70">
        <v>459.0</v>
      </c>
      <c r="E19" s="59">
        <f t="shared" si="2"/>
        <v>110</v>
      </c>
      <c r="F19" s="39">
        <f t="shared" si="3"/>
        <v>0.04256305638</v>
      </c>
      <c r="G19" s="42" t="s">
        <v>26</v>
      </c>
      <c r="H19" s="69">
        <v>736.0</v>
      </c>
      <c r="I19" s="64" t="str">
        <f>HYPERLINK("https://coronavirus.maryland.gov/","Source")</f>
        <v>Source</v>
      </c>
      <c r="J19" s="66"/>
      <c r="K19" s="47" t="s">
        <v>19</v>
      </c>
      <c r="L19" s="53">
        <v>10032.0</v>
      </c>
      <c r="M19" s="70">
        <v>349.0</v>
      </c>
      <c r="N19" s="47"/>
    </row>
    <row r="20" ht="30.0" customHeight="1">
      <c r="A20" s="31" t="s">
        <v>66</v>
      </c>
      <c r="B20" s="33">
        <v>9542.0</v>
      </c>
      <c r="C20" s="35">
        <f t="shared" si="1"/>
        <v>587</v>
      </c>
      <c r="D20" s="33">
        <v>477.0</v>
      </c>
      <c r="E20" s="37">
        <f t="shared" si="2"/>
        <v>41</v>
      </c>
      <c r="F20" s="60">
        <f t="shared" si="3"/>
        <v>0.04998952002</v>
      </c>
      <c r="G20" s="42" t="s">
        <v>26</v>
      </c>
      <c r="H20" s="69" t="s">
        <v>26</v>
      </c>
      <c r="I20" s="50" t="str">
        <f>HYPERLINK("https://twitter.com/StateHealthIN/status/1250818187345776640","Source")</f>
        <v>Source</v>
      </c>
      <c r="J20" s="66"/>
      <c r="K20" s="47" t="s">
        <v>19</v>
      </c>
      <c r="L20" s="33">
        <v>8955.0</v>
      </c>
      <c r="M20" s="33">
        <v>436.0</v>
      </c>
      <c r="N20" s="47"/>
    </row>
    <row r="21" ht="27.75" customHeight="1">
      <c r="A21" s="49" t="s">
        <v>68</v>
      </c>
      <c r="B21" s="53">
        <v>8675.0</v>
      </c>
      <c r="C21" s="35">
        <f t="shared" si="1"/>
        <v>395</v>
      </c>
      <c r="D21" s="70">
        <v>374.0</v>
      </c>
      <c r="E21" s="59">
        <f t="shared" si="2"/>
        <v>17</v>
      </c>
      <c r="F21" s="39">
        <f t="shared" si="3"/>
        <v>0.04311239193</v>
      </c>
      <c r="G21" s="69" t="s">
        <v>26</v>
      </c>
      <c r="H21" s="69" t="s">
        <v>26</v>
      </c>
      <c r="I21" s="64" t="str">
        <f>HYPERLINK("https://covid19.colorado.gov/case-data","Source")</f>
        <v>Source</v>
      </c>
      <c r="J21" s="66"/>
      <c r="K21" s="28"/>
      <c r="L21" s="53">
        <v>8280.0</v>
      </c>
      <c r="M21" s="70">
        <v>357.0</v>
      </c>
      <c r="N21" s="28"/>
    </row>
    <row r="22" ht="27.75" customHeight="1">
      <c r="A22" s="49" t="s">
        <v>70</v>
      </c>
      <c r="B22" s="53">
        <v>8414.0</v>
      </c>
      <c r="C22" s="35">
        <f t="shared" si="1"/>
        <v>623</v>
      </c>
      <c r="D22" s="70">
        <v>389.0</v>
      </c>
      <c r="E22" s="59">
        <f t="shared" si="2"/>
        <v>28</v>
      </c>
      <c r="F22" s="60">
        <f t="shared" si="3"/>
        <v>0.04623246969</v>
      </c>
      <c r="G22" s="69">
        <v>707.0</v>
      </c>
      <c r="H22" s="69" t="s">
        <v>26</v>
      </c>
      <c r="I22" s="64" t="str">
        <f>HYPERLINK("https://coronavirus.ohio.gov/wps/portal/gov/covid-19/home","Source")</f>
        <v>Source</v>
      </c>
      <c r="J22" s="66"/>
      <c r="K22" s="47" t="s">
        <v>19</v>
      </c>
      <c r="L22" s="53">
        <v>7791.0</v>
      </c>
      <c r="M22" s="70">
        <v>361.0</v>
      </c>
      <c r="N22" s="28"/>
    </row>
    <row r="23" ht="30.0" customHeight="1">
      <c r="A23" s="31" t="s">
        <v>73</v>
      </c>
      <c r="B23" s="33">
        <v>6889.0</v>
      </c>
      <c r="C23" s="35">
        <f t="shared" si="1"/>
        <v>389</v>
      </c>
      <c r="D23" s="33">
        <v>208.0</v>
      </c>
      <c r="E23" s="37">
        <f t="shared" si="2"/>
        <v>13</v>
      </c>
      <c r="F23" s="39">
        <f t="shared" si="3"/>
        <v>0.0301930614</v>
      </c>
      <c r="G23" s="42" t="s">
        <v>26</v>
      </c>
      <c r="H23" s="69" t="s">
        <v>26</v>
      </c>
      <c r="I23" s="50" t="str">
        <f>HYPERLINK("http://www.vdh.virginia.gov/coronavirus/","Source")</f>
        <v>Source</v>
      </c>
      <c r="J23" s="66"/>
      <c r="K23" s="47" t="s">
        <v>19</v>
      </c>
      <c r="L23" s="33">
        <v>6500.0</v>
      </c>
      <c r="M23" s="33">
        <v>195.0</v>
      </c>
      <c r="N23" s="47"/>
    </row>
    <row r="24" ht="27.75" customHeight="1">
      <c r="A24" s="49" t="s">
        <v>75</v>
      </c>
      <c r="B24" s="53">
        <v>6262.0</v>
      </c>
      <c r="C24" s="35">
        <f t="shared" si="1"/>
        <v>183</v>
      </c>
      <c r="D24" s="70">
        <v>141.0</v>
      </c>
      <c r="E24" s="59">
        <f t="shared" si="2"/>
        <v>6</v>
      </c>
      <c r="F24" s="60">
        <f t="shared" si="3"/>
        <v>0.02251676781</v>
      </c>
      <c r="G24" s="69" t="s">
        <v>26</v>
      </c>
      <c r="H24" s="62">
        <v>2786.0</v>
      </c>
      <c r="I24" s="64" t="str">
        <f>HYPERLINK("https://twitter.com/TNDeptofHealth/status/1250861533363679235","Source")</f>
        <v>Source</v>
      </c>
      <c r="J24" s="66"/>
      <c r="K24" s="47" t="s">
        <v>19</v>
      </c>
      <c r="L24" s="53">
        <v>6079.0</v>
      </c>
      <c r="M24" s="70">
        <v>135.0</v>
      </c>
      <c r="N24" s="28"/>
    </row>
    <row r="25" ht="30.0" customHeight="1">
      <c r="A25" s="31" t="s">
        <v>76</v>
      </c>
      <c r="B25" s="33">
        <v>5553.0</v>
      </c>
      <c r="C25" s="35">
        <f t="shared" si="1"/>
        <v>172</v>
      </c>
      <c r="D25" s="33">
        <v>139.0</v>
      </c>
      <c r="E25" s="37">
        <f t="shared" si="2"/>
        <v>7</v>
      </c>
      <c r="F25" s="60">
        <f t="shared" si="3"/>
        <v>0.0250315145</v>
      </c>
      <c r="G25" s="42" t="s">
        <v>26</v>
      </c>
      <c r="H25" s="69" t="s">
        <v>26</v>
      </c>
      <c r="I25" s="50" t="str">
        <f>HYPERLINK("https://www.newsobserver.com/news/local/article241168731.html","Source")</f>
        <v>Source</v>
      </c>
      <c r="J25" s="65"/>
      <c r="K25" s="28"/>
      <c r="L25" s="33">
        <v>5381.0</v>
      </c>
      <c r="M25" s="33">
        <v>132.0</v>
      </c>
      <c r="N25" s="28"/>
    </row>
    <row r="26" ht="30.0" customHeight="1">
      <c r="A26" s="31" t="s">
        <v>79</v>
      </c>
      <c r="B26" s="33">
        <v>5193.0</v>
      </c>
      <c r="C26" s="35">
        <f t="shared" si="1"/>
        <v>207</v>
      </c>
      <c r="D26" s="33">
        <v>173.0</v>
      </c>
      <c r="E26" s="37">
        <f t="shared" si="2"/>
        <v>8</v>
      </c>
      <c r="F26" s="39">
        <f t="shared" si="3"/>
        <v>0.03331407664</v>
      </c>
      <c r="G26" s="42" t="s">
        <v>26</v>
      </c>
      <c r="H26" s="69" t="s">
        <v>26</v>
      </c>
      <c r="I26" s="50" t="str">
        <f>HYPERLINK("https://www.kshb.com/news/coronavirus/covid-19-case-tracker-where-we-stand-in-mo-ks-nationwide","Source")</f>
        <v>Source</v>
      </c>
      <c r="J26" s="65"/>
      <c r="K26" s="28"/>
      <c r="L26" s="33">
        <v>4986.0</v>
      </c>
      <c r="M26" s="33">
        <v>165.0</v>
      </c>
      <c r="N26" s="28"/>
    </row>
    <row r="27" ht="30.0" customHeight="1">
      <c r="A27" s="31" t="s">
        <v>80</v>
      </c>
      <c r="B27" s="33">
        <v>4769.0</v>
      </c>
      <c r="C27" s="35">
        <f t="shared" si="1"/>
        <v>0</v>
      </c>
      <c r="D27" s="33">
        <v>19.0</v>
      </c>
      <c r="E27" s="37">
        <f t="shared" si="2"/>
        <v>2</v>
      </c>
      <c r="F27" s="60">
        <f t="shared" si="3"/>
        <v>0.003984063745</v>
      </c>
      <c r="G27" s="42" t="s">
        <v>26</v>
      </c>
      <c r="H27" s="69">
        <v>957.0</v>
      </c>
      <c r="I27" s="50" t="str">
        <f>HYPERLINK("https://twitter.com/HopeSeck/status/1250852411800985600","Source")</f>
        <v>Source</v>
      </c>
      <c r="J27" s="66"/>
      <c r="K27" s="47" t="s">
        <v>82</v>
      </c>
      <c r="L27" s="33">
        <v>4769.0</v>
      </c>
      <c r="M27" s="33">
        <v>17.0</v>
      </c>
      <c r="N27" s="28"/>
    </row>
    <row r="28" ht="27.75" customHeight="1">
      <c r="A28" s="49" t="s">
        <v>83</v>
      </c>
      <c r="B28" s="53">
        <v>4345.0</v>
      </c>
      <c r="C28" s="35">
        <f t="shared" si="1"/>
        <v>104</v>
      </c>
      <c r="D28" s="70">
        <v>82.0</v>
      </c>
      <c r="E28" s="59">
        <f t="shared" si="2"/>
        <v>7</v>
      </c>
      <c r="F28" s="39">
        <f t="shared" si="3"/>
        <v>0.01887226697</v>
      </c>
      <c r="G28" s="42" t="s">
        <v>26</v>
      </c>
      <c r="H28" s="69" t="s">
        <v>26</v>
      </c>
      <c r="I28" s="64" t="str">
        <f>HYPERLINK("https://alpublichealth.maps.arcgis.com/apps/opsdashboard/index.html#/6d2771faa9da4a2786a509d82c8cf0f7","Source")</f>
        <v>Source</v>
      </c>
      <c r="J28" s="65"/>
      <c r="K28" s="47" t="s">
        <v>38</v>
      </c>
      <c r="L28" s="53">
        <v>4241.0</v>
      </c>
      <c r="M28" s="70">
        <v>75.0</v>
      </c>
      <c r="N28" s="47"/>
    </row>
    <row r="29" ht="27.75" customHeight="1">
      <c r="A29" s="49" t="s">
        <v>89</v>
      </c>
      <c r="B29" s="53">
        <v>4234.0</v>
      </c>
      <c r="C29" s="35">
        <f t="shared" si="1"/>
        <v>272</v>
      </c>
      <c r="D29" s="70">
        <v>150.0</v>
      </c>
      <c r="E29" s="59">
        <f t="shared" si="2"/>
        <v>8</v>
      </c>
      <c r="F29" s="39">
        <f t="shared" si="3"/>
        <v>0.03542749173</v>
      </c>
      <c r="G29" s="42" t="s">
        <v>26</v>
      </c>
      <c r="H29" s="69" t="s">
        <v>26</v>
      </c>
      <c r="I29" s="64" t="str">
        <f>HYPERLINK("https://www.azdhs.gov/preparedness/epidemiology-disease-control/infectious-disease-epidemiology/index.php#novel-coronavirus-home","Source")</f>
        <v>Source</v>
      </c>
      <c r="J29" s="66"/>
      <c r="K29" s="47" t="s">
        <v>19</v>
      </c>
      <c r="L29" s="53">
        <v>3962.0</v>
      </c>
      <c r="M29" s="70">
        <v>142.0</v>
      </c>
      <c r="N29" s="28"/>
    </row>
    <row r="30" ht="30.0" customHeight="1">
      <c r="A30" s="31" t="s">
        <v>92</v>
      </c>
      <c r="B30" s="33">
        <v>3931.0</v>
      </c>
      <c r="C30" s="35">
        <f t="shared" si="1"/>
        <v>275</v>
      </c>
      <c r="D30" s="33">
        <v>109.0</v>
      </c>
      <c r="E30" s="37">
        <f t="shared" si="2"/>
        <v>2</v>
      </c>
      <c r="F30" s="39">
        <f t="shared" si="3"/>
        <v>0.02772831341</v>
      </c>
      <c r="G30" s="42" t="s">
        <v>26</v>
      </c>
      <c r="H30" s="69" t="s">
        <v>26</v>
      </c>
      <c r="I30" s="50" t="str">
        <f>HYPERLINK("https://scdhec.gov/infectious-diseases/viruses/coronavirus-disease-2019-covid-19/sc-testing-data-projections-covid-19","Source")</f>
        <v>Source</v>
      </c>
      <c r="J30" s="66"/>
      <c r="K30" s="47" t="s">
        <v>19</v>
      </c>
      <c r="L30" s="33">
        <v>3656.0</v>
      </c>
      <c r="M30" s="33">
        <v>107.0</v>
      </c>
      <c r="N30" s="47"/>
    </row>
    <row r="31" ht="27.75" customHeight="1">
      <c r="A31" s="49" t="s">
        <v>95</v>
      </c>
      <c r="B31" s="53">
        <v>3875.0</v>
      </c>
      <c r="C31" s="35">
        <f t="shared" si="1"/>
        <v>154</v>
      </c>
      <c r="D31" s="70">
        <v>197.0</v>
      </c>
      <c r="E31" s="59">
        <f t="shared" si="2"/>
        <v>15</v>
      </c>
      <c r="F31" s="60">
        <f t="shared" si="3"/>
        <v>0.05083870968</v>
      </c>
      <c r="G31" s="42" t="s">
        <v>26</v>
      </c>
      <c r="H31" s="69">
        <v>16.0</v>
      </c>
      <c r="I31" s="64" t="str">
        <f>HYPERLINK("https://www.dhs.wisconsin.gov/outbreaks/index.htm","Source")</f>
        <v>Source</v>
      </c>
      <c r="J31" s="66"/>
      <c r="K31" s="28"/>
      <c r="L31" s="53">
        <v>3721.0</v>
      </c>
      <c r="M31" s="70">
        <v>182.0</v>
      </c>
      <c r="N31" s="28"/>
    </row>
    <row r="32" ht="27.75" customHeight="1">
      <c r="A32" s="49" t="s">
        <v>100</v>
      </c>
      <c r="B32" s="53">
        <v>3838.0</v>
      </c>
      <c r="C32" s="35">
        <f t="shared" si="1"/>
        <v>309</v>
      </c>
      <c r="D32" s="70">
        <v>105.0</v>
      </c>
      <c r="E32" s="59">
        <f t="shared" si="2"/>
        <v>18</v>
      </c>
      <c r="F32" s="60">
        <f t="shared" si="3"/>
        <v>0.02735799896</v>
      </c>
      <c r="G32" s="69">
        <v>61.0</v>
      </c>
      <c r="H32" s="69" t="s">
        <v>26</v>
      </c>
      <c r="I32" s="64" t="str">
        <f>HYPERLINK("https://ri-department-of-health-covid-19-data-rihealth.hub.arcgis.com/","Source")</f>
        <v>Source</v>
      </c>
      <c r="J32" s="66"/>
      <c r="K32" s="28"/>
      <c r="L32" s="53">
        <v>3529.0</v>
      </c>
      <c r="M32" s="70">
        <v>87.0</v>
      </c>
      <c r="N32" s="28"/>
    </row>
    <row r="33" ht="27.75" customHeight="1">
      <c r="A33" s="49" t="s">
        <v>103</v>
      </c>
      <c r="B33" s="53">
        <v>3624.0</v>
      </c>
      <c r="C33" s="35">
        <f t="shared" si="1"/>
        <v>264</v>
      </c>
      <c r="D33" s="70">
        <v>129.0</v>
      </c>
      <c r="E33" s="59">
        <f t="shared" si="2"/>
        <v>7</v>
      </c>
      <c r="F33" s="60">
        <f t="shared" si="3"/>
        <v>0.03559602649</v>
      </c>
      <c r="G33" s="42" t="s">
        <v>26</v>
      </c>
      <c r="H33" s="69" t="s">
        <v>26</v>
      </c>
      <c r="I33" s="64" t="str">
        <f>HYPERLINK("https://msdh.ms.gov/msdhsite/_static/14,21882,420,873.html","Source")</f>
        <v>Source</v>
      </c>
      <c r="J33" s="66"/>
      <c r="K33" s="47" t="s">
        <v>19</v>
      </c>
      <c r="L33" s="53">
        <v>3360.0</v>
      </c>
      <c r="M33" s="70">
        <v>122.0</v>
      </c>
      <c r="N33" s="47"/>
    </row>
    <row r="34" ht="27.75" customHeight="1">
      <c r="A34" s="49" t="s">
        <v>106</v>
      </c>
      <c r="B34" s="53">
        <v>3321.0</v>
      </c>
      <c r="C34" s="35">
        <f t="shared" si="1"/>
        <v>107</v>
      </c>
      <c r="D34" s="70">
        <v>137.0</v>
      </c>
      <c r="E34" s="59">
        <f t="shared" si="2"/>
        <v>0</v>
      </c>
      <c r="F34" s="60">
        <f t="shared" si="3"/>
        <v>0.04125263475</v>
      </c>
      <c r="G34" s="42" t="s">
        <v>26</v>
      </c>
      <c r="H34" s="69">
        <v>26.0</v>
      </c>
      <c r="I34" s="64" t="str">
        <f>HYPERLINK("https://thenevadaindependent.com/article/live-blog-no-more-coronavirus-cases-in-washoe-reported-as-health-officials-identify-test-close-contacts","Source")</f>
        <v>Source</v>
      </c>
      <c r="J34" s="65"/>
      <c r="K34" s="47" t="s">
        <v>52</v>
      </c>
      <c r="L34" s="53">
        <v>3214.0</v>
      </c>
      <c r="M34" s="70">
        <v>137.0</v>
      </c>
      <c r="N34" s="47"/>
    </row>
    <row r="35" ht="30.0" customHeight="1">
      <c r="A35" s="31" t="s">
        <v>108</v>
      </c>
      <c r="B35" s="33">
        <v>2683.0</v>
      </c>
      <c r="C35" s="35">
        <f t="shared" si="1"/>
        <v>141</v>
      </c>
      <c r="D35" s="33">
        <v>21.0</v>
      </c>
      <c r="E35" s="37">
        <f t="shared" si="2"/>
        <v>1</v>
      </c>
      <c r="F35" s="39">
        <f t="shared" si="3"/>
        <v>0.007827059262</v>
      </c>
      <c r="G35" s="42" t="s">
        <v>26</v>
      </c>
      <c r="H35" s="69" t="s">
        <v>26</v>
      </c>
      <c r="I35" s="50" t="str">
        <f>HYPERLINK("https://coronavirus.utah.gov/case-counts/","Source")</f>
        <v>Source</v>
      </c>
      <c r="J35" s="66"/>
      <c r="K35" s="28"/>
      <c r="L35" s="33">
        <v>2542.0</v>
      </c>
      <c r="M35" s="33">
        <v>20.0</v>
      </c>
      <c r="N35" s="28"/>
    </row>
    <row r="36" ht="27.75" customHeight="1">
      <c r="A36" s="49" t="s">
        <v>110</v>
      </c>
      <c r="B36" s="53">
        <v>2429.0</v>
      </c>
      <c r="C36" s="35">
        <f t="shared" si="1"/>
        <v>138</v>
      </c>
      <c r="D36" s="70">
        <v>129.0</v>
      </c>
      <c r="E36" s="59">
        <f t="shared" si="2"/>
        <v>7</v>
      </c>
      <c r="F36" s="39">
        <f t="shared" si="3"/>
        <v>0.05310827501</v>
      </c>
      <c r="G36" s="69" t="s">
        <v>26</v>
      </c>
      <c r="H36" s="69" t="s">
        <v>26</v>
      </c>
      <c r="I36" s="64" t="str">
        <f>HYPERLINK("https://govstatus.egov.com/kycovid19","Source")</f>
        <v>Source</v>
      </c>
      <c r="J36" s="66"/>
      <c r="K36" s="28"/>
      <c r="L36" s="53">
        <v>2291.0</v>
      </c>
      <c r="M36" s="70">
        <v>122.0</v>
      </c>
      <c r="N36" s="28"/>
    </row>
    <row r="37" ht="30.0" customHeight="1">
      <c r="A37" s="31" t="s">
        <v>113</v>
      </c>
      <c r="B37" s="33">
        <v>2357.0</v>
      </c>
      <c r="C37" s="35">
        <f t="shared" si="1"/>
        <v>94</v>
      </c>
      <c r="D37" s="33">
        <v>131.0</v>
      </c>
      <c r="E37" s="37">
        <f t="shared" si="2"/>
        <v>8</v>
      </c>
      <c r="F37" s="60">
        <f t="shared" si="3"/>
        <v>0.05557912601</v>
      </c>
      <c r="G37" s="69" t="s">
        <v>26</v>
      </c>
      <c r="H37" s="46" t="s">
        <v>26</v>
      </c>
      <c r="I37" s="50" t="str">
        <f>HYPERLINK("https://coronavirus.health.ok.gov/","Source")</f>
        <v>Source</v>
      </c>
      <c r="J37" s="66"/>
      <c r="K37" s="47" t="s">
        <v>19</v>
      </c>
      <c r="L37" s="33">
        <v>2263.0</v>
      </c>
      <c r="M37" s="33">
        <v>123.0</v>
      </c>
      <c r="N37" s="28"/>
    </row>
    <row r="38" ht="27.75" customHeight="1">
      <c r="A38" s="49" t="s">
        <v>115</v>
      </c>
      <c r="B38" s="53">
        <v>2350.0</v>
      </c>
      <c r="C38" s="35">
        <f t="shared" si="1"/>
        <v>153</v>
      </c>
      <c r="D38" s="70">
        <v>81.0</v>
      </c>
      <c r="E38" s="59">
        <f t="shared" si="2"/>
        <v>9</v>
      </c>
      <c r="F38" s="39">
        <f t="shared" si="3"/>
        <v>0.03446808511</v>
      </c>
      <c r="G38" s="69" t="s">
        <v>26</v>
      </c>
      <c r="H38" s="69">
        <v>552.0</v>
      </c>
      <c r="I38" s="64" t="str">
        <f>HYPERLINK("https://coronavirus.dc.gov/page/coronavirus-data","Source")</f>
        <v>Source</v>
      </c>
      <c r="J38" s="66"/>
      <c r="K38" s="47" t="s">
        <v>19</v>
      </c>
      <c r="L38" s="53">
        <v>2197.0</v>
      </c>
      <c r="M38" s="70">
        <v>72.0</v>
      </c>
      <c r="N38" s="47"/>
    </row>
    <row r="39" ht="27.75" customHeight="1">
      <c r="A39" s="49" t="s">
        <v>117</v>
      </c>
      <c r="B39" s="53">
        <v>2141.0</v>
      </c>
      <c r="C39" s="35">
        <f t="shared" si="1"/>
        <v>146</v>
      </c>
      <c r="D39" s="70">
        <v>60.0</v>
      </c>
      <c r="E39" s="59">
        <f t="shared" si="2"/>
        <v>7</v>
      </c>
      <c r="F39" s="39">
        <f t="shared" si="3"/>
        <v>0.02802428772</v>
      </c>
      <c r="G39" s="69" t="s">
        <v>26</v>
      </c>
      <c r="H39" s="69">
        <v>987.0</v>
      </c>
      <c r="I39" s="64" t="str">
        <f>HYPERLINK("https://idph.iowa.gov/Emerging-Health-Issues/Novel-Coronavirus","Source")</f>
        <v>Source</v>
      </c>
      <c r="J39" s="66"/>
      <c r="K39" s="47" t="s">
        <v>19</v>
      </c>
      <c r="L39" s="53">
        <v>1995.0</v>
      </c>
      <c r="M39" s="70">
        <v>53.0</v>
      </c>
      <c r="N39" s="28"/>
    </row>
    <row r="40" ht="27.75" customHeight="1">
      <c r="A40" s="49" t="s">
        <v>119</v>
      </c>
      <c r="B40" s="53">
        <v>2075.0</v>
      </c>
      <c r="C40" s="35">
        <f t="shared" si="1"/>
        <v>61</v>
      </c>
      <c r="D40" s="70">
        <v>52.0</v>
      </c>
      <c r="E40" s="59">
        <f t="shared" si="2"/>
        <v>6</v>
      </c>
      <c r="F40" s="60">
        <f t="shared" si="3"/>
        <v>0.02506024096</v>
      </c>
      <c r="G40" s="69" t="s">
        <v>26</v>
      </c>
      <c r="H40" s="69">
        <v>378.0</v>
      </c>
      <c r="I40" s="64" t="str">
        <f>HYPERLINK("https://coronavirus.delaware.gov/","Source")</f>
        <v>Source</v>
      </c>
      <c r="J40" s="66"/>
      <c r="K40" s="28"/>
      <c r="L40" s="53">
        <v>2014.0</v>
      </c>
      <c r="M40" s="70">
        <v>46.0</v>
      </c>
      <c r="N40" s="28"/>
    </row>
    <row r="41" ht="30.0" customHeight="1">
      <c r="A41" s="31" t="s">
        <v>121</v>
      </c>
      <c r="B41" s="33">
        <v>1912.0</v>
      </c>
      <c r="C41" s="35">
        <f t="shared" si="1"/>
        <v>103</v>
      </c>
      <c r="D41" s="33">
        <v>94.0</v>
      </c>
      <c r="E41" s="37">
        <f t="shared" si="2"/>
        <v>7</v>
      </c>
      <c r="F41" s="60">
        <f t="shared" si="3"/>
        <v>0.04916317992</v>
      </c>
      <c r="G41" s="42">
        <v>103.0</v>
      </c>
      <c r="H41" s="42">
        <v>1020.0</v>
      </c>
      <c r="I41" s="50" t="str">
        <f>HYPERLINK("https://www.health.state.mn.us/diseases/coronavirus/situation.html","Source")</f>
        <v>Source</v>
      </c>
      <c r="J41" s="66"/>
      <c r="K41" s="28"/>
      <c r="L41" s="33">
        <v>1809.0</v>
      </c>
      <c r="M41" s="33">
        <v>87.0</v>
      </c>
      <c r="N41" s="28"/>
    </row>
    <row r="42" ht="27.75" customHeight="1">
      <c r="A42" s="49" t="s">
        <v>123</v>
      </c>
      <c r="B42" s="53">
        <v>1736.0</v>
      </c>
      <c r="C42" s="35">
        <f t="shared" si="1"/>
        <v>73</v>
      </c>
      <c r="D42" s="70">
        <v>64.0</v>
      </c>
      <c r="E42" s="59">
        <f t="shared" si="2"/>
        <v>6</v>
      </c>
      <c r="F42" s="60">
        <f t="shared" si="3"/>
        <v>0.03686635945</v>
      </c>
      <c r="G42" s="42" t="s">
        <v>26</v>
      </c>
      <c r="H42" s="69" t="s">
        <v>26</v>
      </c>
      <c r="I42" s="64" t="str">
        <f>HYPERLINK("https://govstatus.egov.com/OR-OHA-COVID-19","Source")</f>
        <v>Source</v>
      </c>
      <c r="J42" s="66"/>
      <c r="K42" s="47" t="s">
        <v>19</v>
      </c>
      <c r="L42" s="53">
        <v>1663.0</v>
      </c>
      <c r="M42" s="70">
        <v>58.0</v>
      </c>
      <c r="N42" s="47"/>
    </row>
    <row r="43" ht="27.75" customHeight="1">
      <c r="A43" s="49" t="s">
        <v>125</v>
      </c>
      <c r="B43" s="53">
        <v>1620.0</v>
      </c>
      <c r="C43" s="35">
        <f t="shared" si="1"/>
        <v>21</v>
      </c>
      <c r="D43" s="70">
        <v>37.0</v>
      </c>
      <c r="E43" s="59">
        <f t="shared" si="2"/>
        <v>3</v>
      </c>
      <c r="F43" s="60">
        <f t="shared" si="3"/>
        <v>0.02283950617</v>
      </c>
      <c r="G43" s="69" t="s">
        <v>26</v>
      </c>
      <c r="H43" s="69">
        <v>548.0</v>
      </c>
      <c r="I43" s="64" t="str">
        <f>HYPERLINK("https://adem.maps.arcgis.com/apps/opsdashboard/index.html#/f533ac8a8b6040e5896b05b47b17a647","Source")</f>
        <v>Source</v>
      </c>
      <c r="J43" s="65"/>
      <c r="K43" s="47" t="s">
        <v>127</v>
      </c>
      <c r="L43" s="53">
        <v>1599.0</v>
      </c>
      <c r="M43" s="70">
        <v>34.0</v>
      </c>
      <c r="N43" s="47"/>
    </row>
    <row r="44" ht="27.75" customHeight="1">
      <c r="A44" s="49" t="s">
        <v>128</v>
      </c>
      <c r="B44" s="53">
        <v>1609.0</v>
      </c>
      <c r="C44" s="35">
        <f t="shared" si="1"/>
        <v>22</v>
      </c>
      <c r="D44" s="70">
        <v>41.0</v>
      </c>
      <c r="E44" s="59">
        <f t="shared" si="2"/>
        <v>0</v>
      </c>
      <c r="F44" s="39">
        <f t="shared" si="3"/>
        <v>0.02548166563</v>
      </c>
      <c r="G44" s="69">
        <v>51.0</v>
      </c>
      <c r="H44" s="69">
        <v>390.0</v>
      </c>
      <c r="I44" s="64" t="str">
        <f>HYPERLINK("https://public.tableau.com/profile/idaho.division.of.public.health#!/vizhome/DPHIdahoCOVID-19Dashboard_V2/Story1","Source")</f>
        <v>Source</v>
      </c>
      <c r="J44" s="65"/>
      <c r="K44" s="47" t="s">
        <v>130</v>
      </c>
      <c r="L44" s="53">
        <v>1587.0</v>
      </c>
      <c r="M44" s="70">
        <v>41.0</v>
      </c>
      <c r="N44" s="28"/>
    </row>
    <row r="45" ht="27.75" customHeight="1">
      <c r="A45" s="49" t="s">
        <v>131</v>
      </c>
      <c r="B45" s="53">
        <v>1597.0</v>
      </c>
      <c r="C45" s="35">
        <f t="shared" si="1"/>
        <v>113</v>
      </c>
      <c r="D45" s="70">
        <v>44.0</v>
      </c>
      <c r="E45" s="59">
        <f t="shared" si="2"/>
        <v>8</v>
      </c>
      <c r="F45" s="60">
        <f t="shared" si="3"/>
        <v>0.02755165936</v>
      </c>
      <c r="G45" s="69" t="s">
        <v>26</v>
      </c>
      <c r="H45" s="69">
        <v>353.0</v>
      </c>
      <c r="I45" s="64" t="str">
        <f>HYPERLINK("https://cvprovider.nmhealth.org/public-dashboard.html","Source")</f>
        <v>Source</v>
      </c>
      <c r="J45" s="66"/>
      <c r="K45" s="47" t="s">
        <v>19</v>
      </c>
      <c r="L45" s="53">
        <v>1484.0</v>
      </c>
      <c r="M45" s="70">
        <v>36.0</v>
      </c>
      <c r="N45" s="47"/>
    </row>
    <row r="46" ht="30.0" customHeight="1">
      <c r="A46" s="31" t="s">
        <v>133</v>
      </c>
      <c r="B46" s="33">
        <v>1588.0</v>
      </c>
      <c r="C46" s="35">
        <f t="shared" si="1"/>
        <v>83</v>
      </c>
      <c r="D46" s="33">
        <v>80.0</v>
      </c>
      <c r="E46" s="37">
        <f t="shared" si="2"/>
        <v>4</v>
      </c>
      <c r="F46" s="39">
        <f t="shared" si="3"/>
        <v>0.05037783375</v>
      </c>
      <c r="G46" s="69" t="s">
        <v>26</v>
      </c>
      <c r="H46" s="69" t="s">
        <v>26</v>
      </c>
      <c r="I46" s="50" t="str">
        <f>HYPERLINK("https://public.tableau.com/profile/kdhe.epidemiology#!/vizhome/COVID-19Data_15851817634470/KSCOVID-19CaseData","Source")</f>
        <v>Source</v>
      </c>
      <c r="J46" s="65"/>
      <c r="K46" s="28"/>
      <c r="L46" s="33">
        <v>1505.0</v>
      </c>
      <c r="M46" s="33">
        <v>76.0</v>
      </c>
      <c r="N46" s="28"/>
    </row>
    <row r="47" ht="27.75" customHeight="1">
      <c r="A47" s="49" t="s">
        <v>135</v>
      </c>
      <c r="B47" s="53">
        <v>1311.0</v>
      </c>
      <c r="C47" s="35">
        <f t="shared" si="1"/>
        <v>143</v>
      </c>
      <c r="D47" s="70">
        <v>7.0</v>
      </c>
      <c r="E47" s="59">
        <f t="shared" si="2"/>
        <v>1</v>
      </c>
      <c r="F47" s="60">
        <f t="shared" si="3"/>
        <v>0.005339435545</v>
      </c>
      <c r="G47" s="69" t="s">
        <v>26</v>
      </c>
      <c r="H47" s="69">
        <v>373.0</v>
      </c>
      <c r="I47" s="64" t="str">
        <f>HYPERLINK("https://doh.sd.gov/news/coronavirus.aspx","Source")</f>
        <v>Source</v>
      </c>
      <c r="J47" s="66"/>
      <c r="K47" s="28"/>
      <c r="L47" s="53">
        <v>1168.0</v>
      </c>
      <c r="M47" s="70">
        <v>6.0</v>
      </c>
      <c r="N47" s="28"/>
    </row>
    <row r="48" ht="30.0" customHeight="1">
      <c r="A48" s="31" t="s">
        <v>137</v>
      </c>
      <c r="B48" s="33">
        <v>1211.0</v>
      </c>
      <c r="C48" s="35">
        <f t="shared" si="1"/>
        <v>72</v>
      </c>
      <c r="D48" s="57">
        <v>34.0</v>
      </c>
      <c r="E48" s="59">
        <f t="shared" si="2"/>
        <v>2</v>
      </c>
      <c r="F48" s="39">
        <f t="shared" si="3"/>
        <v>0.02807597027</v>
      </c>
      <c r="G48" s="69" t="s">
        <v>26</v>
      </c>
      <c r="H48" s="69">
        <v>455.0</v>
      </c>
      <c r="I48" s="50" t="str">
        <f>HYPERLINK("https://www.nh.gov/covid19/","Source")</f>
        <v>Source</v>
      </c>
      <c r="J48" s="66"/>
      <c r="K48" s="47" t="s">
        <v>19</v>
      </c>
      <c r="L48" s="33">
        <v>1139.0</v>
      </c>
      <c r="M48" s="57">
        <v>32.0</v>
      </c>
      <c r="N48" s="28"/>
    </row>
    <row r="49" ht="27.75" customHeight="1">
      <c r="A49" s="49" t="s">
        <v>139</v>
      </c>
      <c r="B49" s="53">
        <v>1066.0</v>
      </c>
      <c r="C49" s="35">
        <f t="shared" si="1"/>
        <v>114</v>
      </c>
      <c r="D49" s="70">
        <v>24.0</v>
      </c>
      <c r="E49" s="59">
        <f t="shared" si="2"/>
        <v>3</v>
      </c>
      <c r="F49" s="60">
        <f t="shared" si="3"/>
        <v>0.02251407129</v>
      </c>
      <c r="G49" s="69" t="s">
        <v>26</v>
      </c>
      <c r="H49" s="69" t="s">
        <v>26</v>
      </c>
      <c r="I49" s="64" t="str">
        <f>HYPERLINK("https://nebraska.maps.arcgis.com/apps/opsdashboard/index.html#/4213f719a45647bc873ffb58783ffef3","Source")</f>
        <v>Source</v>
      </c>
      <c r="J49" s="66"/>
      <c r="K49" s="47" t="s">
        <v>45</v>
      </c>
      <c r="L49" s="53">
        <v>952.0</v>
      </c>
      <c r="M49" s="70">
        <v>21.0</v>
      </c>
      <c r="N49" s="28"/>
    </row>
    <row r="50" ht="27.75" customHeight="1">
      <c r="A50" s="49" t="s">
        <v>142</v>
      </c>
      <c r="B50" s="53">
        <v>1043.0</v>
      </c>
      <c r="C50" s="35">
        <f t="shared" si="1"/>
        <v>69</v>
      </c>
      <c r="D50" s="70">
        <v>56.0</v>
      </c>
      <c r="E50" s="59">
        <f t="shared" si="2"/>
        <v>5</v>
      </c>
      <c r="F50" s="60">
        <f t="shared" si="3"/>
        <v>0.05369127517</v>
      </c>
      <c r="G50" s="69" t="s">
        <v>26</v>
      </c>
      <c r="H50" s="69" t="s">
        <v>26</v>
      </c>
      <c r="I50" s="64" t="str">
        <f>HYPERLINK("http://www.salud.gov.pr/Pages/coronavirus.aspx","Source")</f>
        <v>Source</v>
      </c>
      <c r="J50" s="66"/>
      <c r="K50" s="47" t="s">
        <v>19</v>
      </c>
      <c r="L50" s="53">
        <v>974.0</v>
      </c>
      <c r="M50" s="70">
        <v>51.0</v>
      </c>
      <c r="N50" s="47"/>
    </row>
    <row r="51" ht="27.75" customHeight="1">
      <c r="A51" s="49" t="s">
        <v>145</v>
      </c>
      <c r="B51" s="53">
        <v>796.0</v>
      </c>
      <c r="C51" s="35">
        <f t="shared" si="1"/>
        <v>26</v>
      </c>
      <c r="D51" s="70">
        <v>27.0</v>
      </c>
      <c r="E51" s="59">
        <f t="shared" si="2"/>
        <v>3</v>
      </c>
      <c r="F51" s="39">
        <f t="shared" si="3"/>
        <v>0.03391959799</v>
      </c>
      <c r="G51" s="69" t="s">
        <v>26</v>
      </c>
      <c r="H51" s="69">
        <v>333.0</v>
      </c>
      <c r="I51" s="64" t="str">
        <f>HYPERLINK("https://www.maine.gov/dhhs/mecdc/infectious-disease/epi/airborne/coronavirus.shtml","Source")</f>
        <v>Source</v>
      </c>
      <c r="J51" s="66"/>
      <c r="K51" s="47" t="s">
        <v>19</v>
      </c>
      <c r="L51" s="53">
        <v>770.0</v>
      </c>
      <c r="M51" s="70">
        <v>24.0</v>
      </c>
      <c r="N51" s="28"/>
    </row>
    <row r="52" ht="30.0" customHeight="1">
      <c r="A52" s="31" t="s">
        <v>148</v>
      </c>
      <c r="B52" s="33">
        <v>768.0</v>
      </c>
      <c r="C52" s="35">
        <f t="shared" si="1"/>
        <v>9</v>
      </c>
      <c r="D52" s="33">
        <v>35.0</v>
      </c>
      <c r="E52" s="37">
        <f t="shared" si="2"/>
        <v>5</v>
      </c>
      <c r="F52" s="39">
        <f t="shared" si="3"/>
        <v>0.04557291667</v>
      </c>
      <c r="G52" s="69" t="s">
        <v>26</v>
      </c>
      <c r="H52" s="69" t="s">
        <v>26</v>
      </c>
      <c r="I52" s="50" t="str">
        <f>HYPERLINK("https://vcgi.maps.arcgis.com/apps/opsdashboard/index.html#/6128a0bc9ae14e98a686b635001ef7a7","Source")</f>
        <v>Source</v>
      </c>
      <c r="J52" s="66"/>
      <c r="K52" s="28"/>
      <c r="L52" s="33">
        <v>759.0</v>
      </c>
      <c r="M52" s="33">
        <v>30.0</v>
      </c>
      <c r="N52" s="28"/>
    </row>
    <row r="53" ht="27.75" customHeight="1">
      <c r="A53" s="49" t="s">
        <v>150</v>
      </c>
      <c r="B53" s="53">
        <v>739.0</v>
      </c>
      <c r="C53" s="35">
        <f t="shared" si="1"/>
        <v>21</v>
      </c>
      <c r="D53" s="70">
        <v>13.0</v>
      </c>
      <c r="E53" s="59">
        <f t="shared" si="2"/>
        <v>1</v>
      </c>
      <c r="F53" s="60">
        <f t="shared" si="3"/>
        <v>0.01759133965</v>
      </c>
      <c r="G53" s="69" t="s">
        <v>26</v>
      </c>
      <c r="H53" s="69" t="s">
        <v>26</v>
      </c>
      <c r="I53" s="64" t="str">
        <f>HYPERLINK("https://dhhr.wv.gov/COVID-19/Pages/default.aspx","Source")</f>
        <v>Source</v>
      </c>
      <c r="J53" s="66"/>
      <c r="K53" s="47" t="s">
        <v>152</v>
      </c>
      <c r="L53" s="53">
        <v>718.0</v>
      </c>
      <c r="M53" s="70">
        <v>12.0</v>
      </c>
      <c r="N53" s="47"/>
    </row>
    <row r="54" ht="27.75" customHeight="1">
      <c r="A54" s="49" t="s">
        <v>154</v>
      </c>
      <c r="B54" s="53">
        <v>729.0</v>
      </c>
      <c r="C54" s="35">
        <f t="shared" si="1"/>
        <v>35</v>
      </c>
      <c r="D54" s="70">
        <v>16.0</v>
      </c>
      <c r="E54" s="59">
        <f t="shared" si="2"/>
        <v>2</v>
      </c>
      <c r="F54" s="39">
        <f t="shared" si="3"/>
        <v>0.0219478738</v>
      </c>
      <c r="G54" s="69" t="s">
        <v>26</v>
      </c>
      <c r="H54" s="69">
        <v>67.0</v>
      </c>
      <c r="I54" s="64" t="str">
        <f>HYPERLINK("https://www.bop.gov/coronavirus/","Source")</f>
        <v>Source</v>
      </c>
      <c r="J54" s="66"/>
      <c r="K54" s="47" t="s">
        <v>19</v>
      </c>
      <c r="L54" s="53">
        <v>694.0</v>
      </c>
      <c r="M54" s="70">
        <v>14.0</v>
      </c>
      <c r="N54" s="47"/>
    </row>
    <row r="55" ht="27.75" customHeight="1">
      <c r="A55" s="49" t="s">
        <v>156</v>
      </c>
      <c r="B55" s="53">
        <v>541.0</v>
      </c>
      <c r="C55" s="35">
        <f t="shared" si="1"/>
        <v>11</v>
      </c>
      <c r="D55" s="70">
        <v>9.0</v>
      </c>
      <c r="E55" s="59">
        <f t="shared" si="2"/>
        <v>0</v>
      </c>
      <c r="F55" s="39">
        <f t="shared" si="3"/>
        <v>0.01663585952</v>
      </c>
      <c r="G55" s="69" t="s">
        <v>26</v>
      </c>
      <c r="H55" s="69">
        <v>374.0</v>
      </c>
      <c r="I55" s="64" t="str">
        <f>HYPERLINK("https://health.hawaii.gov/coronavirusdisease2019/","Source")</f>
        <v>Source</v>
      </c>
      <c r="J55" s="66"/>
      <c r="K55" s="28"/>
      <c r="L55" s="53">
        <v>530.0</v>
      </c>
      <c r="M55" s="70">
        <v>9.0</v>
      </c>
      <c r="N55" s="28"/>
    </row>
    <row r="56" ht="27.75" customHeight="1">
      <c r="A56" s="49" t="s">
        <v>159</v>
      </c>
      <c r="B56" s="53">
        <v>415.0</v>
      </c>
      <c r="C56" s="35">
        <f t="shared" si="1"/>
        <v>11</v>
      </c>
      <c r="D56" s="70">
        <v>7.0</v>
      </c>
      <c r="E56" s="59">
        <f t="shared" si="2"/>
        <v>0</v>
      </c>
      <c r="F56" s="39">
        <f t="shared" si="3"/>
        <v>0.01686746988</v>
      </c>
      <c r="G56" s="69" t="s">
        <v>26</v>
      </c>
      <c r="H56" s="69">
        <v>218.0</v>
      </c>
      <c r="I56" s="64" t="str">
        <f>HYPERLINK("https://montana.maps.arcgis.com/apps/MapSeries/index.html?appid=7c34f3412536439491adcc2103421d4b","Source")</f>
        <v>Source</v>
      </c>
      <c r="J56" s="28"/>
      <c r="K56" s="47" t="s">
        <v>152</v>
      </c>
      <c r="L56" s="53">
        <v>404.0</v>
      </c>
      <c r="M56" s="70">
        <v>7.0</v>
      </c>
      <c r="N56" s="47"/>
    </row>
    <row r="57" ht="27.75" customHeight="1">
      <c r="A57" s="49" t="s">
        <v>162</v>
      </c>
      <c r="B57" s="53">
        <v>401.0</v>
      </c>
      <c r="C57" s="35">
        <f t="shared" si="1"/>
        <v>8</v>
      </c>
      <c r="D57" s="70">
        <v>2.0</v>
      </c>
      <c r="E57" s="59">
        <f t="shared" si="2"/>
        <v>0</v>
      </c>
      <c r="F57" s="60">
        <f t="shared" si="3"/>
        <v>0.004987531172</v>
      </c>
      <c r="G57" s="69" t="s">
        <v>26</v>
      </c>
      <c r="H57" s="69">
        <v>187.0</v>
      </c>
      <c r="I57" s="64" t="str">
        <f>HYPERLINK("https://health.wyo.gov/publichealth/infectious-disease-epidemiology-unit/disease/novel-coronavirus/covid-19-map-and-statistics/","Source")</f>
        <v>Source</v>
      </c>
      <c r="J57" s="66"/>
      <c r="K57" s="28"/>
      <c r="L57" s="53">
        <v>393.0</v>
      </c>
      <c r="M57" s="70">
        <v>2.0</v>
      </c>
      <c r="N57" s="28"/>
    </row>
    <row r="58" ht="27.75" customHeight="1">
      <c r="A58" s="49" t="s">
        <v>165</v>
      </c>
      <c r="B58" s="53">
        <v>393.0</v>
      </c>
      <c r="C58" s="35">
        <f t="shared" si="1"/>
        <v>28</v>
      </c>
      <c r="D58" s="70">
        <v>9.0</v>
      </c>
      <c r="E58" s="59">
        <f t="shared" si="2"/>
        <v>0</v>
      </c>
      <c r="F58" s="39">
        <f t="shared" si="3"/>
        <v>0.02290076336</v>
      </c>
      <c r="G58" s="69" t="s">
        <v>26</v>
      </c>
      <c r="H58" s="69">
        <v>163.0</v>
      </c>
      <c r="I58" s="64" t="str">
        <f>HYPERLINK("https://www.health.nd.gov/diseases-conditions/coronavirus/north-dakota-coronavirus-cases","Source")</f>
        <v>Source</v>
      </c>
      <c r="J58" s="66"/>
      <c r="K58" s="47" t="s">
        <v>19</v>
      </c>
      <c r="L58" s="53">
        <v>365.0</v>
      </c>
      <c r="M58" s="70">
        <v>9.0</v>
      </c>
      <c r="N58" s="47"/>
    </row>
    <row r="59" ht="27.75" customHeight="1">
      <c r="A59" s="49" t="s">
        <v>167</v>
      </c>
      <c r="B59" s="53">
        <v>300.0</v>
      </c>
      <c r="C59" s="35">
        <f t="shared" si="1"/>
        <v>7</v>
      </c>
      <c r="D59" s="70">
        <v>9.0</v>
      </c>
      <c r="E59" s="59">
        <f t="shared" si="2"/>
        <v>0</v>
      </c>
      <c r="F59" s="39">
        <f t="shared" si="3"/>
        <v>0.03</v>
      </c>
      <c r="G59" s="69" t="s">
        <v>26</v>
      </c>
      <c r="H59" s="69">
        <v>110.0</v>
      </c>
      <c r="I59" s="64" t="str">
        <f>HYPERLINK("https://www.arcgis.com/apps/opsdashboard/index.html#/83c63cfec8b24397bdf359f49b11f218","Source")</f>
        <v>Source</v>
      </c>
      <c r="J59" s="66"/>
      <c r="K59" s="47" t="s">
        <v>19</v>
      </c>
      <c r="L59" s="53">
        <v>293.0</v>
      </c>
      <c r="M59" s="70">
        <v>9.0</v>
      </c>
      <c r="N59" s="28"/>
    </row>
    <row r="60" ht="27.75" customHeight="1">
      <c r="A60" s="49" t="s">
        <v>170</v>
      </c>
      <c r="B60" s="53">
        <v>135.0</v>
      </c>
      <c r="C60" s="35">
        <f t="shared" si="1"/>
        <v>0</v>
      </c>
      <c r="D60" s="70">
        <v>5.0</v>
      </c>
      <c r="E60" s="59">
        <f t="shared" si="2"/>
        <v>0</v>
      </c>
      <c r="F60" s="60">
        <f t="shared" si="3"/>
        <v>0.03703703704</v>
      </c>
      <c r="G60" s="69" t="s">
        <v>26</v>
      </c>
      <c r="H60" s="69">
        <v>86.0</v>
      </c>
      <c r="I60" s="64" t="str">
        <f>HYPERLINK("https://ghs.guam.gov/jic-release-no-77-zero-test-positive-covid-19-guam","Source")</f>
        <v>Source</v>
      </c>
      <c r="J60" s="66"/>
      <c r="K60" s="28"/>
      <c r="L60" s="53">
        <v>135.0</v>
      </c>
      <c r="M60" s="70">
        <v>5.0</v>
      </c>
      <c r="N60" s="28"/>
    </row>
    <row r="61" ht="27.75" customHeight="1">
      <c r="A61" s="49" t="s">
        <v>173</v>
      </c>
      <c r="B61" s="53">
        <v>103.0</v>
      </c>
      <c r="C61" s="35">
        <f t="shared" si="1"/>
        <v>0</v>
      </c>
      <c r="D61" s="70">
        <v>3.0</v>
      </c>
      <c r="E61" s="59">
        <f t="shared" si="2"/>
        <v>0</v>
      </c>
      <c r="F61" s="39">
        <f t="shared" si="3"/>
        <v>0.02912621359</v>
      </c>
      <c r="G61" s="69" t="s">
        <v>26</v>
      </c>
      <c r="H61" s="69" t="s">
        <v>26</v>
      </c>
      <c r="I61" s="64" t="str">
        <f>HYPERLINK("https://www.mercurynews.com/2020/04/06/coronavirus-after-weeks-of-quarantine-and-3-dead-grand-princess-sets-sail-again/","Source")</f>
        <v>Source</v>
      </c>
      <c r="J61" s="28"/>
      <c r="K61" s="28"/>
      <c r="L61" s="53">
        <v>103.0</v>
      </c>
      <c r="M61" s="70">
        <v>3.0</v>
      </c>
      <c r="N61" s="28"/>
    </row>
    <row r="62" ht="27.75" customHeight="1">
      <c r="A62" s="49" t="s">
        <v>176</v>
      </c>
      <c r="B62" s="53">
        <v>51.0</v>
      </c>
      <c r="C62" s="35">
        <f t="shared" si="1"/>
        <v>0</v>
      </c>
      <c r="D62" s="70">
        <v>1.0</v>
      </c>
      <c r="E62" s="59">
        <f t="shared" si="2"/>
        <v>0</v>
      </c>
      <c r="F62" s="60">
        <f t="shared" si="3"/>
        <v>0.01960784314</v>
      </c>
      <c r="G62" s="69" t="s">
        <v>26</v>
      </c>
      <c r="H62" s="69">
        <v>46.0</v>
      </c>
      <c r="I62" s="64" t="str">
        <f>HYPERLINK("https://doh.vi.gov/","Source")</f>
        <v>Source</v>
      </c>
      <c r="J62" s="66"/>
      <c r="K62" s="28"/>
      <c r="L62" s="53">
        <v>51.0</v>
      </c>
      <c r="M62" s="70">
        <v>1.0</v>
      </c>
      <c r="N62" s="28"/>
    </row>
    <row r="63" ht="33.0" customHeight="1">
      <c r="A63" s="49" t="s">
        <v>179</v>
      </c>
      <c r="B63" s="53">
        <v>46.0</v>
      </c>
      <c r="C63" s="35">
        <f t="shared" si="1"/>
        <v>0</v>
      </c>
      <c r="D63" s="70">
        <v>0.0</v>
      </c>
      <c r="E63" s="59">
        <f t="shared" si="2"/>
        <v>0</v>
      </c>
      <c r="F63" s="39">
        <f t="shared" si="3"/>
        <v>0</v>
      </c>
      <c r="G63" s="69" t="s">
        <v>26</v>
      </c>
      <c r="H63" s="69">
        <v>2.0</v>
      </c>
      <c r="I63" s="64" t="str">
        <f>HYPERLINK("https://www.cdc.gov/coronavirus/2019-ncov/cases-in-us.html","Source")</f>
        <v>Source</v>
      </c>
      <c r="J63" s="28"/>
      <c r="K63" s="28"/>
      <c r="L63" s="53">
        <v>46.0</v>
      </c>
      <c r="M63" s="70">
        <v>0.0</v>
      </c>
      <c r="N63" s="28"/>
    </row>
    <row r="64" ht="27.75" customHeight="1">
      <c r="A64" s="49" t="s">
        <v>182</v>
      </c>
      <c r="B64" s="53">
        <v>13.0</v>
      </c>
      <c r="C64" s="35">
        <f t="shared" si="1"/>
        <v>0</v>
      </c>
      <c r="D64" s="70">
        <v>2.0</v>
      </c>
      <c r="E64" s="59">
        <f t="shared" si="2"/>
        <v>0</v>
      </c>
      <c r="F64" s="60">
        <f t="shared" si="3"/>
        <v>0.1538461538</v>
      </c>
      <c r="G64" s="69" t="s">
        <v>26</v>
      </c>
      <c r="H64" s="69" t="s">
        <v>26</v>
      </c>
      <c r="I64" s="64" t="str">
        <f>HYPERLINK("https://www.chcc.gov.mp/coronavirusinformation.php","Source")</f>
        <v>Source</v>
      </c>
      <c r="J64" s="28"/>
      <c r="K64" s="28"/>
      <c r="L64" s="53">
        <v>13.0</v>
      </c>
      <c r="M64" s="70">
        <v>2.0</v>
      </c>
      <c r="N64" s="28"/>
    </row>
    <row r="65" ht="27.75" customHeight="1">
      <c r="A65" s="49" t="s">
        <v>185</v>
      </c>
      <c r="B65" s="53">
        <v>3.0</v>
      </c>
      <c r="C65" s="35">
        <f t="shared" si="1"/>
        <v>0</v>
      </c>
      <c r="D65" s="70">
        <v>0.0</v>
      </c>
      <c r="E65" s="59">
        <f t="shared" si="2"/>
        <v>0</v>
      </c>
      <c r="F65" s="39">
        <f t="shared" si="3"/>
        <v>0</v>
      </c>
      <c r="G65" s="69" t="s">
        <v>26</v>
      </c>
      <c r="H65" s="69" t="s">
        <v>26</v>
      </c>
      <c r="I65" s="101" t="s">
        <v>26</v>
      </c>
      <c r="J65" s="28"/>
      <c r="K65" s="28"/>
      <c r="L65" s="53">
        <v>3.0</v>
      </c>
      <c r="M65" s="70">
        <v>0.0</v>
      </c>
      <c r="N65" s="28"/>
    </row>
    <row r="66" ht="27.75" customHeight="1">
      <c r="A66" s="49" t="s">
        <v>189</v>
      </c>
      <c r="B66" s="53">
        <v>0.0</v>
      </c>
      <c r="C66" s="35">
        <f t="shared" si="1"/>
        <v>0</v>
      </c>
      <c r="D66" s="70">
        <v>0.0</v>
      </c>
      <c r="E66" s="59">
        <f t="shared" si="2"/>
        <v>0</v>
      </c>
      <c r="F66" s="102" t="s">
        <v>47</v>
      </c>
      <c r="G66" s="69" t="s">
        <v>26</v>
      </c>
      <c r="H66" s="69" t="s">
        <v>26</v>
      </c>
      <c r="I66" s="83" t="s">
        <v>26</v>
      </c>
      <c r="J66" s="28"/>
      <c r="K66" s="28"/>
      <c r="L66" s="53">
        <v>0.0</v>
      </c>
      <c r="M66" s="70">
        <v>0.0</v>
      </c>
      <c r="N66" s="28"/>
    </row>
    <row r="67" ht="15.75" customHeight="1">
      <c r="A67" s="103" t="s">
        <v>190</v>
      </c>
      <c r="B67" s="104">
        <v>717.0</v>
      </c>
      <c r="C67" s="104"/>
      <c r="D67" s="105">
        <v>2.0</v>
      </c>
      <c r="E67" s="105"/>
      <c r="F67" s="106"/>
      <c r="G67" s="106"/>
      <c r="H67" s="107"/>
      <c r="I67" s="108"/>
      <c r="J67" s="52"/>
      <c r="K67" s="52"/>
      <c r="L67" s="104">
        <v>717.0</v>
      </c>
      <c r="M67" s="105">
        <v>2.0</v>
      </c>
      <c r="N67" s="52"/>
    </row>
    <row r="68" ht="30.0" customHeight="1">
      <c r="A68" s="109" t="s">
        <v>193</v>
      </c>
      <c r="B68" s="110">
        <f>SUM(B6:B67)</f>
        <v>678718</v>
      </c>
      <c r="C68" s="111">
        <f>SUM(C6:C66)</f>
        <v>30244</v>
      </c>
      <c r="D68" s="110">
        <f>SUM(D6:D67)</f>
        <v>34463</v>
      </c>
      <c r="E68" s="112">
        <f>SUM(E6:E66)</f>
        <v>2179</v>
      </c>
      <c r="F68" s="113">
        <f>DIVIDE(B3,A3)</f>
        <v>0.0507766112</v>
      </c>
      <c r="G68" s="114">
        <f t="shared" ref="G68:H68" si="4">SUM(G6:G65)</f>
        <v>7836</v>
      </c>
      <c r="H68" s="115">
        <f t="shared" si="4"/>
        <v>39846</v>
      </c>
      <c r="I68" s="116"/>
      <c r="J68" s="28"/>
      <c r="K68" s="28"/>
      <c r="L68" s="110">
        <f t="shared" ref="L68:M68" si="5">SUM(L6:L67)</f>
        <v>648474</v>
      </c>
      <c r="M68" s="110">
        <f t="shared" si="5"/>
        <v>32284</v>
      </c>
      <c r="N68" s="28"/>
    </row>
    <row r="69">
      <c r="A69" s="117"/>
      <c r="B69" s="118" t="s">
        <v>7</v>
      </c>
      <c r="C69" s="118" t="s">
        <v>8</v>
      </c>
      <c r="D69" s="118" t="s">
        <v>9</v>
      </c>
      <c r="E69" s="119" t="s">
        <v>10</v>
      </c>
      <c r="F69" s="119" t="s">
        <v>197</v>
      </c>
      <c r="G69" s="119" t="s">
        <v>12</v>
      </c>
      <c r="H69" s="119" t="s">
        <v>14</v>
      </c>
      <c r="I69" s="118" t="s">
        <v>15</v>
      </c>
      <c r="J69" s="4"/>
      <c r="K69" s="4"/>
      <c r="L69" s="118" t="s">
        <v>7</v>
      </c>
      <c r="M69" s="118" t="s">
        <v>9</v>
      </c>
      <c r="N69" s="4"/>
    </row>
    <row r="70">
      <c r="A70" s="86"/>
      <c r="B70" s="87"/>
      <c r="C70" s="87"/>
      <c r="D70" s="87"/>
      <c r="E70" s="87"/>
      <c r="F70" s="87"/>
      <c r="G70" s="87"/>
      <c r="H70" s="87"/>
      <c r="I70" s="89"/>
      <c r="J70" s="4"/>
      <c r="K70" s="4"/>
      <c r="L70" s="87"/>
      <c r="M70" s="87"/>
      <c r="N70" s="4"/>
    </row>
  </sheetData>
  <mergeCells count="2">
    <mergeCell ref="A1:H1"/>
    <mergeCell ref="E2:G2"/>
  </mergeCell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8.43"/>
    <col customWidth="1" min="6" max="7" width="9.71"/>
    <col customWidth="1" min="8" max="8" width="12.43"/>
    <col customWidth="1" min="9" max="9" width="11.29"/>
    <col customWidth="1" min="10" max="10" width="0.86"/>
    <col customWidth="1" min="12" max="12" width="11.14"/>
    <col customWidth="1" min="13" max="13" width="9.0"/>
  </cols>
  <sheetData>
    <row r="1" ht="12.75" customHeight="1">
      <c r="A1" s="2"/>
      <c r="J1" s="9"/>
      <c r="K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>
      <c r="A2" s="3" t="s">
        <v>1</v>
      </c>
      <c r="B2" s="3" t="s">
        <v>2</v>
      </c>
      <c r="C2" s="5" t="s">
        <v>3</v>
      </c>
      <c r="D2" s="3"/>
      <c r="E2" s="7" t="s">
        <v>4</v>
      </c>
      <c r="I2" s="8"/>
      <c r="J2" s="4"/>
      <c r="K2" s="4"/>
      <c r="L2" s="3" t="s">
        <v>2</v>
      </c>
      <c r="M2" s="3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12">
        <f>SUM(B17, B18)</f>
        <v>6462</v>
      </c>
      <c r="B3" s="12">
        <f>SUM(D17, D18)</f>
        <v>63</v>
      </c>
      <c r="C3" s="14">
        <f>SUM(H17, H18)</f>
        <v>2355</v>
      </c>
      <c r="D3" s="12"/>
      <c r="E3" s="15">
        <f>MINUS(A3,B3 + C3)</f>
        <v>4044</v>
      </c>
      <c r="F3" s="15"/>
      <c r="G3" s="15"/>
      <c r="H3" s="5"/>
      <c r="I3" s="8"/>
      <c r="J3" s="4"/>
      <c r="K3" s="4"/>
      <c r="L3" s="12">
        <f>SUM(N17, N18)</f>
        <v>0</v>
      </c>
      <c r="M3" s="1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17"/>
      <c r="B4" s="8"/>
      <c r="C4" s="8"/>
      <c r="D4" s="8"/>
      <c r="E4" s="8"/>
      <c r="F4" s="6"/>
      <c r="G4" s="6"/>
      <c r="H4" s="6"/>
      <c r="I4" s="8"/>
      <c r="J4" s="4"/>
      <c r="K4" s="4"/>
      <c r="L4" s="8"/>
      <c r="M4" s="8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ht="30.0" customHeight="1">
      <c r="A5" s="19" t="s">
        <v>6</v>
      </c>
      <c r="B5" s="20" t="s">
        <v>7</v>
      </c>
      <c r="C5" s="22" t="s">
        <v>8</v>
      </c>
      <c r="D5" s="20" t="s">
        <v>9</v>
      </c>
      <c r="E5" s="24" t="s">
        <v>10</v>
      </c>
      <c r="F5" s="24" t="s">
        <v>11</v>
      </c>
      <c r="G5" s="26" t="s">
        <v>12</v>
      </c>
      <c r="H5" s="26" t="s">
        <v>14</v>
      </c>
      <c r="I5" s="20" t="s">
        <v>15</v>
      </c>
      <c r="J5" s="28"/>
      <c r="K5" s="28"/>
      <c r="L5" s="20" t="s">
        <v>7</v>
      </c>
      <c r="M5" s="20" t="s">
        <v>9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ht="30.0" customHeight="1">
      <c r="A6" s="31" t="s">
        <v>17</v>
      </c>
      <c r="B6" s="33">
        <v>2897.0</v>
      </c>
      <c r="C6" s="35">
        <f t="shared" ref="C6:C15" si="1">MINUS(B6,L6)</f>
        <v>11</v>
      </c>
      <c r="D6" s="33">
        <v>25.0</v>
      </c>
      <c r="E6" s="37">
        <f t="shared" ref="E6:E13" si="2">MINUS(D6,M6)</f>
        <v>0</v>
      </c>
      <c r="F6" s="39">
        <f t="shared" ref="F6:F13" si="3">DIVIDE(D6, B6)</f>
        <v>0.008629616845</v>
      </c>
      <c r="G6" s="42">
        <v>40.0</v>
      </c>
      <c r="H6" s="46">
        <v>4.0</v>
      </c>
      <c r="I6" s="50" t="str">
        <f>HYPERLINK("https://www.health.nsw.gov.au/news/Pages/20200406_00.aspx","Source")</f>
        <v>Source</v>
      </c>
      <c r="J6" s="52"/>
      <c r="K6" s="28"/>
      <c r="L6" s="33">
        <v>2886.0</v>
      </c>
      <c r="M6" s="33">
        <v>25.0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 ht="30.0" customHeight="1">
      <c r="A7" s="31" t="s">
        <v>21</v>
      </c>
      <c r="B7" s="33">
        <v>1299.0</v>
      </c>
      <c r="C7" s="35">
        <f t="shared" si="1"/>
        <v>0</v>
      </c>
      <c r="D7" s="57">
        <v>14.0</v>
      </c>
      <c r="E7" s="59">
        <f t="shared" si="2"/>
        <v>0</v>
      </c>
      <c r="F7" s="63">
        <f t="shared" si="3"/>
        <v>0.01077752117</v>
      </c>
      <c r="G7" s="46">
        <v>11.0</v>
      </c>
      <c r="H7" s="42">
        <v>1137.0</v>
      </c>
      <c r="I7" s="50" t="str">
        <f>HYPERLINK("https://www.dhhs.vic.gov.au/coronavirus-update-victoria-6-april-2020","Source")</f>
        <v>Source</v>
      </c>
      <c r="J7" s="52"/>
      <c r="K7" s="28"/>
      <c r="L7" s="33">
        <v>1299.0</v>
      </c>
      <c r="M7" s="57">
        <v>14.0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 ht="30.0" customHeight="1">
      <c r="A8" s="30" t="s">
        <v>23</v>
      </c>
      <c r="B8" s="32">
        <v>1001.0</v>
      </c>
      <c r="C8" s="35">
        <f t="shared" si="1"/>
        <v>2</v>
      </c>
      <c r="D8" s="67">
        <v>5.0</v>
      </c>
      <c r="E8" s="59">
        <f t="shared" si="2"/>
        <v>0</v>
      </c>
      <c r="F8" s="39">
        <f t="shared" si="3"/>
        <v>0.004995004995</v>
      </c>
      <c r="G8" s="46" t="s">
        <v>26</v>
      </c>
      <c r="H8" s="68">
        <v>442.0</v>
      </c>
      <c r="I8" s="44" t="str">
        <f>HYPERLINK("https://www.health.qld.gov.au/news-events/doh-media-releases/releases/queensland-novel-coronavirus-covid-19-update-2020-04-06","Source")</f>
        <v>Source</v>
      </c>
      <c r="J8" s="52"/>
      <c r="K8" s="28"/>
      <c r="L8" s="32">
        <v>999.0</v>
      </c>
      <c r="M8" s="67">
        <v>5.0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ht="30.0" customHeight="1">
      <c r="A9" s="31" t="s">
        <v>28</v>
      </c>
      <c r="B9" s="33">
        <v>532.0</v>
      </c>
      <c r="C9" s="35">
        <f t="shared" si="1"/>
        <v>5</v>
      </c>
      <c r="D9" s="57">
        <v>6.0</v>
      </c>
      <c r="E9" s="59">
        <f t="shared" si="2"/>
        <v>0</v>
      </c>
      <c r="F9" s="39">
        <f t="shared" si="3"/>
        <v>0.01127819549</v>
      </c>
      <c r="G9" s="46">
        <v>18.0</v>
      </c>
      <c r="H9" s="46">
        <v>338.0</v>
      </c>
      <c r="I9" s="50" t="str">
        <f>HYPERLINK("https://ww2.health.wa.gov.au/Media-releases/2020/COVID19-update---11-April-2020","Source")</f>
        <v>Source</v>
      </c>
      <c r="J9" s="52"/>
      <c r="K9" s="28"/>
      <c r="L9" s="33">
        <v>527.0</v>
      </c>
      <c r="M9" s="57">
        <v>6.0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ht="30.0" customHeight="1">
      <c r="A10" s="31" t="s">
        <v>31</v>
      </c>
      <c r="B10" s="33">
        <v>433.0</v>
      </c>
      <c r="C10" s="35">
        <f t="shared" si="1"/>
        <v>0</v>
      </c>
      <c r="D10" s="57">
        <v>4.0</v>
      </c>
      <c r="E10" s="59">
        <f t="shared" si="2"/>
        <v>0</v>
      </c>
      <c r="F10" s="63">
        <f t="shared" si="3"/>
        <v>0.009237875289</v>
      </c>
      <c r="G10" s="46">
        <v>10.0</v>
      </c>
      <c r="H10" s="46">
        <v>279.0</v>
      </c>
      <c r="I10" s="50" t="str">
        <f>HYPERLINK("https://www.sahealth.sa.gov.au/wps/wcm/connect/public+content/sa+health+internet/health+topics/health+topics+a+-+z/covid+2019/latest+updates/confirmed+and+suspected+cases+of+covid-19+in+south+australia","Source")</f>
        <v>Source</v>
      </c>
      <c r="J10" s="52"/>
      <c r="K10" s="28"/>
      <c r="L10" s="33">
        <v>433.0</v>
      </c>
      <c r="M10" s="57">
        <v>4.0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ht="30.0" customHeight="1">
      <c r="A11" s="31" t="s">
        <v>34</v>
      </c>
      <c r="B11" s="33">
        <v>169.0</v>
      </c>
      <c r="C11" s="35">
        <f t="shared" si="1"/>
        <v>4</v>
      </c>
      <c r="D11" s="57">
        <v>6.0</v>
      </c>
      <c r="E11" s="59">
        <f t="shared" si="2"/>
        <v>0</v>
      </c>
      <c r="F11" s="39">
        <f t="shared" si="3"/>
        <v>0.03550295858</v>
      </c>
      <c r="G11" s="46" t="s">
        <v>26</v>
      </c>
      <c r="H11" s="46">
        <v>67.0</v>
      </c>
      <c r="I11" s="50" t="str">
        <f>HYPERLINK("https://twitter.com/abchobart/status/1248184081776627713","Source")</f>
        <v>Source</v>
      </c>
      <c r="J11" s="52"/>
      <c r="K11" s="28"/>
      <c r="L11" s="33">
        <v>165.0</v>
      </c>
      <c r="M11" s="57">
        <v>6.0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ht="30.0" customHeight="1">
      <c r="A12" s="31" t="s">
        <v>37</v>
      </c>
      <c r="B12" s="33">
        <v>103.0</v>
      </c>
      <c r="C12" s="35">
        <f t="shared" si="1"/>
        <v>0</v>
      </c>
      <c r="D12" s="57">
        <v>3.0</v>
      </c>
      <c r="E12" s="59">
        <f t="shared" si="2"/>
        <v>0</v>
      </c>
      <c r="F12" s="63">
        <f t="shared" si="3"/>
        <v>0.02912621359</v>
      </c>
      <c r="G12" s="46" t="s">
        <v>26</v>
      </c>
      <c r="H12" s="46">
        <v>82.0</v>
      </c>
      <c r="I12" s="50" t="str">
        <f>HYPERLINK("https://www.covid19.act.gov.au/news-articles/covid-19-update-6-april-0-new-cases","Source")</f>
        <v>Source</v>
      </c>
      <c r="J12" s="52"/>
      <c r="K12" s="28"/>
      <c r="L12" s="33">
        <v>103.0</v>
      </c>
      <c r="M12" s="57">
        <v>3.0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ht="30.0" customHeight="1">
      <c r="A13" s="31" t="s">
        <v>41</v>
      </c>
      <c r="B13" s="33">
        <v>28.0</v>
      </c>
      <c r="C13" s="35">
        <f t="shared" si="1"/>
        <v>0</v>
      </c>
      <c r="D13" s="57">
        <v>0.0</v>
      </c>
      <c r="E13" s="59">
        <f t="shared" si="2"/>
        <v>0</v>
      </c>
      <c r="F13" s="63">
        <f t="shared" si="3"/>
        <v>0</v>
      </c>
      <c r="G13" s="46" t="s">
        <v>26</v>
      </c>
      <c r="H13" s="46">
        <v>6.0</v>
      </c>
      <c r="I13" s="50" t="str">
        <f>HYPERLINK("http://mediareleases.nt.gov.au/mediaRelease/33157","Source")</f>
        <v>Source</v>
      </c>
      <c r="J13" s="52"/>
      <c r="K13" s="28"/>
      <c r="L13" s="33">
        <v>28.0</v>
      </c>
      <c r="M13" s="57">
        <v>0.0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ht="30.0" customHeight="1">
      <c r="A14" s="31" t="s">
        <v>44</v>
      </c>
      <c r="B14" s="33">
        <v>0.0</v>
      </c>
      <c r="C14" s="35">
        <f t="shared" si="1"/>
        <v>0</v>
      </c>
      <c r="D14" s="57">
        <v>0.0</v>
      </c>
      <c r="E14" s="37">
        <f t="shared" ref="E14:E15" si="4">MINUS(D14,L14)</f>
        <v>0</v>
      </c>
      <c r="F14" s="74" t="s">
        <v>47</v>
      </c>
      <c r="G14" s="46">
        <v>0.0</v>
      </c>
      <c r="H14" s="46">
        <v>0.0</v>
      </c>
      <c r="I14" s="75"/>
      <c r="J14" s="28"/>
      <c r="K14" s="28"/>
      <c r="L14" s="33">
        <v>0.0</v>
      </c>
      <c r="M14" s="57">
        <v>0.0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ht="30.0" customHeight="1">
      <c r="A15" s="31" t="s">
        <v>50</v>
      </c>
      <c r="B15" s="33">
        <v>0.0</v>
      </c>
      <c r="C15" s="35">
        <f t="shared" si="1"/>
        <v>0</v>
      </c>
      <c r="D15" s="57">
        <v>0.0</v>
      </c>
      <c r="E15" s="37">
        <f t="shared" si="4"/>
        <v>0</v>
      </c>
      <c r="F15" s="76" t="s">
        <v>47</v>
      </c>
      <c r="G15" s="46">
        <v>0.0</v>
      </c>
      <c r="H15" s="46">
        <v>0.0</v>
      </c>
      <c r="I15" s="75"/>
      <c r="J15" s="28"/>
      <c r="K15" s="28"/>
      <c r="L15" s="33">
        <v>0.0</v>
      </c>
      <c r="M15" s="57">
        <v>0.0</v>
      </c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ht="12.75" customHeight="1">
      <c r="A16" s="77"/>
      <c r="B16" s="78"/>
      <c r="C16" s="77"/>
      <c r="D16" s="79"/>
      <c r="E16" s="77"/>
      <c r="F16" s="80"/>
      <c r="G16" s="80"/>
      <c r="H16" s="80"/>
      <c r="I16" s="81"/>
      <c r="J16" s="28"/>
      <c r="K16" s="28"/>
      <c r="L16" s="78"/>
      <c r="M16" s="7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ht="30.0" customHeight="1">
      <c r="A17" s="82" t="s">
        <v>59</v>
      </c>
      <c r="B17" s="84">
        <f>SUM(B6:B15)</f>
        <v>6462</v>
      </c>
      <c r="C17" s="35">
        <f>MINUS(B17,L17)</f>
        <v>22</v>
      </c>
      <c r="D17" s="84">
        <f>SUM(D6:D15)</f>
        <v>63</v>
      </c>
      <c r="E17" s="37">
        <f>MINUS(D17,M17)</f>
        <v>0</v>
      </c>
      <c r="F17" s="39">
        <f>DIVIDE(D17, B17)</f>
        <v>0.009749303621</v>
      </c>
      <c r="G17" s="84">
        <f t="shared" ref="G17:H17" si="5">SUM(G6:G15)</f>
        <v>79</v>
      </c>
      <c r="H17" s="84">
        <f t="shared" si="5"/>
        <v>2355</v>
      </c>
      <c r="I17" s="85"/>
      <c r="J17" s="28"/>
      <c r="K17" s="28"/>
      <c r="L17" s="84">
        <f t="shared" ref="L17:M17" si="6">SUM(L6:L15)</f>
        <v>6440</v>
      </c>
      <c r="M17" s="84">
        <f t="shared" si="6"/>
        <v>63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>
      <c r="A18" s="86"/>
      <c r="B18" s="87"/>
      <c r="C18" s="87"/>
      <c r="D18" s="87"/>
      <c r="E18" s="87"/>
      <c r="F18" s="88"/>
      <c r="G18" s="88"/>
      <c r="H18" s="87"/>
      <c r="I18" s="89"/>
      <c r="J18" s="4"/>
      <c r="K18" s="4"/>
      <c r="L18" s="87"/>
      <c r="M18" s="87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>
      <c r="A19" s="90"/>
      <c r="B19" s="92"/>
      <c r="C19" s="92"/>
      <c r="D19" s="10"/>
      <c r="E19" s="10"/>
      <c r="F19" s="10"/>
      <c r="G19" s="10"/>
      <c r="H19" s="10"/>
      <c r="I19" s="9"/>
      <c r="J19" s="4"/>
      <c r="K19" s="4"/>
      <c r="L19" s="92"/>
      <c r="M19" s="10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>
      <c r="A20" s="93"/>
      <c r="B20" s="10"/>
      <c r="C20" s="10"/>
      <c r="D20" s="10"/>
      <c r="E20" s="10"/>
      <c r="F20" s="10"/>
      <c r="G20" s="10"/>
      <c r="H20" s="10"/>
      <c r="I20" s="9"/>
      <c r="J20" s="9"/>
      <c r="K20" s="9"/>
      <c r="L20" s="10"/>
      <c r="M20" s="10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>
      <c r="A21" s="93"/>
      <c r="B21" s="10"/>
      <c r="C21" s="10"/>
      <c r="D21" s="10"/>
      <c r="E21" s="10"/>
      <c r="F21" s="10"/>
      <c r="G21" s="10"/>
      <c r="H21" s="10"/>
      <c r="I21" s="9"/>
      <c r="J21" s="9"/>
      <c r="K21" s="9"/>
      <c r="L21" s="10"/>
      <c r="M21" s="10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9.86"/>
    <col customWidth="1" min="6" max="6" width="9.71"/>
    <col customWidth="1" min="7" max="7" width="12.43"/>
    <col customWidth="1" min="8" max="8" width="11.29"/>
    <col customWidth="1" min="9" max="9" width="0.86"/>
    <col customWidth="1" min="11" max="11" width="11.14"/>
    <col customWidth="1" min="12" max="12" width="9.0"/>
  </cols>
  <sheetData>
    <row r="1" ht="12.75" customHeight="1">
      <c r="A1" s="2"/>
      <c r="I1" s="9"/>
      <c r="J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>
      <c r="A2" s="3" t="s">
        <v>1</v>
      </c>
      <c r="B2" s="3" t="s">
        <v>2</v>
      </c>
      <c r="C2" s="5" t="s">
        <v>3</v>
      </c>
      <c r="D2" s="3"/>
      <c r="E2" s="7" t="s">
        <v>4</v>
      </c>
      <c r="H2" s="8"/>
      <c r="I2" s="4"/>
      <c r="J2" s="4"/>
      <c r="K2" s="3"/>
      <c r="L2" s="3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>
      <c r="A3" s="12">
        <f>SUM(B17, B18)</f>
        <v>180</v>
      </c>
      <c r="B3" s="12">
        <f>SUM(D17, D18)</f>
        <v>219</v>
      </c>
      <c r="C3" s="14">
        <f>SUM(G17, G18)</f>
        <v>0</v>
      </c>
      <c r="D3" s="12"/>
      <c r="E3" s="15">
        <f>MINUS(A3,B3 + C3)</f>
        <v>-39</v>
      </c>
      <c r="F3" s="15"/>
      <c r="G3" s="5"/>
      <c r="H3" s="8"/>
      <c r="I3" s="4"/>
      <c r="J3" s="4"/>
      <c r="K3" s="12"/>
      <c r="L3" s="12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>
      <c r="A4" s="17"/>
      <c r="B4" s="8"/>
      <c r="C4" s="8"/>
      <c r="D4" s="8"/>
      <c r="E4" s="8"/>
      <c r="F4" s="6"/>
      <c r="G4" s="6"/>
      <c r="H4" s="8"/>
      <c r="I4" s="4"/>
      <c r="J4" s="4"/>
      <c r="K4" s="8"/>
      <c r="L4" s="8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30.0" customHeight="1">
      <c r="A5" s="19" t="s">
        <v>84</v>
      </c>
      <c r="B5" s="20" t="s">
        <v>7</v>
      </c>
      <c r="C5" s="20" t="s">
        <v>9</v>
      </c>
      <c r="D5" s="20" t="s">
        <v>86</v>
      </c>
      <c r="E5" s="24" t="s">
        <v>87</v>
      </c>
      <c r="F5" s="24" t="s">
        <v>11</v>
      </c>
      <c r="G5" s="26" t="s">
        <v>14</v>
      </c>
      <c r="H5" s="20" t="s">
        <v>15</v>
      </c>
      <c r="I5" s="28"/>
      <c r="J5" s="28"/>
      <c r="K5" s="20" t="s">
        <v>7</v>
      </c>
      <c r="L5" s="20" t="s">
        <v>9</v>
      </c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ht="30.0" customHeight="1">
      <c r="A6" s="31" t="s">
        <v>88</v>
      </c>
      <c r="B6" s="33">
        <v>0.0</v>
      </c>
      <c r="C6" s="33">
        <v>0.0</v>
      </c>
      <c r="D6" s="33">
        <v>0.0</v>
      </c>
      <c r="E6" s="39" t="str">
        <f t="shared" ref="E6:F6" si="1">DIVIDE(C6, A6)</f>
        <v>#VALUE!</v>
      </c>
      <c r="F6" s="39" t="str">
        <f t="shared" si="1"/>
        <v>#DIV/0!</v>
      </c>
      <c r="G6" s="42" t="s">
        <v>26</v>
      </c>
      <c r="H6" s="42" t="s">
        <v>26</v>
      </c>
      <c r="I6" s="52"/>
      <c r="J6" s="28"/>
      <c r="K6" s="33">
        <v>0.0</v>
      </c>
      <c r="L6" s="33">
        <v>0.0</v>
      </c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ht="30.0" customHeight="1">
      <c r="A7" s="31" t="s">
        <v>91</v>
      </c>
      <c r="B7" s="33">
        <v>128.0</v>
      </c>
      <c r="C7" s="57">
        <v>0.0</v>
      </c>
      <c r="D7" s="57">
        <v>219.0</v>
      </c>
      <c r="E7" s="63" t="str">
        <f t="shared" ref="E7:F7" si="2">DIVIDE(C7, A7)</f>
        <v>#VALUE!</v>
      </c>
      <c r="F7" s="63">
        <f t="shared" si="2"/>
        <v>1.7109375</v>
      </c>
      <c r="G7" s="42" t="s">
        <v>26</v>
      </c>
      <c r="H7" s="97" t="str">
        <f>HYPERLINK("https://web.archive.org/web/20200409070153/https://www.auroraexpeditions.com.au/asg80-update/","Source")</f>
        <v>Source</v>
      </c>
      <c r="I7" s="52"/>
      <c r="J7" s="28"/>
      <c r="K7" s="33">
        <v>0.0</v>
      </c>
      <c r="L7" s="57">
        <v>0.0</v>
      </c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ht="30.0" customHeight="1">
      <c r="A8" s="30" t="s">
        <v>97</v>
      </c>
      <c r="B8" s="32" t="s">
        <v>99</v>
      </c>
      <c r="C8" s="67">
        <v>1.0</v>
      </c>
      <c r="D8" s="67" t="s">
        <v>99</v>
      </c>
      <c r="E8" s="39" t="str">
        <f t="shared" ref="E8:F8" si="3">DIVIDE(C8, A8)</f>
        <v>#VALUE!</v>
      </c>
      <c r="F8" s="39" t="str">
        <f t="shared" si="3"/>
        <v>#VALUE!</v>
      </c>
      <c r="G8" s="42" t="s">
        <v>26</v>
      </c>
      <c r="H8" s="97" t="str">
        <f>HYPERLINK("https://wsvn.com/news/local/miami-dade/crew-member-of-cruise-ship-with-virus-cases-dies-in-florida/?utm_medium=social&amp;utm_source=twitter_wsvn","Source")</f>
        <v>Source</v>
      </c>
      <c r="I8" s="52"/>
      <c r="J8" s="28"/>
      <c r="K8" s="32">
        <v>0.0</v>
      </c>
      <c r="L8" s="67">
        <v>0.0</v>
      </c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</row>
    <row r="9" ht="30.0" customHeight="1">
      <c r="A9" s="31" t="s">
        <v>104</v>
      </c>
      <c r="B9" s="33">
        <v>52.0</v>
      </c>
      <c r="C9" s="57">
        <v>0.0</v>
      </c>
      <c r="D9" s="57" t="s">
        <v>26</v>
      </c>
      <c r="E9" s="39" t="str">
        <f t="shared" ref="E9:F9" si="4">DIVIDE(C9, A9)</f>
        <v>#VALUE!</v>
      </c>
      <c r="F9" s="39" t="str">
        <f t="shared" si="4"/>
        <v>#VALUE!</v>
      </c>
      <c r="G9" s="42" t="s">
        <v>26</v>
      </c>
      <c r="H9" s="42" t="s">
        <v>105</v>
      </c>
      <c r="I9" s="52"/>
      <c r="J9" s="28"/>
      <c r="K9" s="33">
        <v>0.0</v>
      </c>
      <c r="L9" s="57">
        <v>0.0</v>
      </c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ht="30.0" customHeight="1">
      <c r="A10" s="31" t="s">
        <v>88</v>
      </c>
      <c r="B10" s="33">
        <v>0.0</v>
      </c>
      <c r="C10" s="57">
        <v>0.0</v>
      </c>
      <c r="D10" s="57">
        <v>0.0</v>
      </c>
      <c r="E10" s="63" t="str">
        <f t="shared" ref="E10:F10" si="5">DIVIDE(C10, A10)</f>
        <v>#VALUE!</v>
      </c>
      <c r="F10" s="63" t="str">
        <f t="shared" si="5"/>
        <v>#DIV/0!</v>
      </c>
      <c r="G10" s="42" t="s">
        <v>26</v>
      </c>
      <c r="H10" s="97" t="str">
        <f>HYPERLINK("https://twitter.com/MOH_TT/status/1249067598978977799","N/A")</f>
        <v>N/A</v>
      </c>
      <c r="I10" s="52"/>
      <c r="J10" s="28"/>
      <c r="K10" s="33">
        <v>0.0</v>
      </c>
      <c r="L10" s="57">
        <v>0.0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</row>
    <row r="11" ht="30.0" customHeight="1">
      <c r="A11" s="31" t="s">
        <v>88</v>
      </c>
      <c r="B11" s="33">
        <v>0.0</v>
      </c>
      <c r="C11" s="57">
        <v>0.0</v>
      </c>
      <c r="D11" s="57">
        <v>0.0</v>
      </c>
      <c r="E11" s="39" t="str">
        <f t="shared" ref="E11:F11" si="6">DIVIDE(C11, A11)</f>
        <v>#VALUE!</v>
      </c>
      <c r="F11" s="39" t="str">
        <f t="shared" si="6"/>
        <v>#DIV/0!</v>
      </c>
      <c r="G11" s="42" t="s">
        <v>26</v>
      </c>
      <c r="H11" s="42" t="s">
        <v>26</v>
      </c>
      <c r="I11" s="52"/>
      <c r="J11" s="28"/>
      <c r="K11" s="33">
        <v>0.0</v>
      </c>
      <c r="L11" s="57">
        <v>0.0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ht="30.0" customHeight="1">
      <c r="A12" s="31" t="s">
        <v>88</v>
      </c>
      <c r="B12" s="33">
        <v>0.0</v>
      </c>
      <c r="C12" s="57">
        <v>0.0</v>
      </c>
      <c r="D12" s="57">
        <v>0.0</v>
      </c>
      <c r="E12" s="63" t="str">
        <f t="shared" ref="E12:F12" si="7">DIVIDE(C12, A12)</f>
        <v>#VALUE!</v>
      </c>
      <c r="F12" s="63" t="str">
        <f t="shared" si="7"/>
        <v>#DIV/0!</v>
      </c>
      <c r="G12" s="42" t="s">
        <v>26</v>
      </c>
      <c r="H12" s="42" t="s">
        <v>26</v>
      </c>
      <c r="I12" s="52"/>
      <c r="J12" s="28"/>
      <c r="K12" s="33">
        <v>0.0</v>
      </c>
      <c r="L12" s="57">
        <v>0.0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</row>
    <row r="13" ht="30.0" customHeight="1">
      <c r="A13" s="31" t="s">
        <v>88</v>
      </c>
      <c r="B13" s="33">
        <v>0.0</v>
      </c>
      <c r="C13" s="57">
        <v>0.0</v>
      </c>
      <c r="D13" s="57">
        <v>0.0</v>
      </c>
      <c r="E13" s="63" t="str">
        <f t="shared" ref="E13:F13" si="8">DIVIDE(C13, A13)</f>
        <v>#VALUE!</v>
      </c>
      <c r="F13" s="63" t="str">
        <f t="shared" si="8"/>
        <v>#DIV/0!</v>
      </c>
      <c r="G13" s="42" t="s">
        <v>26</v>
      </c>
      <c r="H13" s="42" t="s">
        <v>26</v>
      </c>
      <c r="I13" s="52"/>
      <c r="J13" s="28"/>
      <c r="K13" s="33">
        <v>0.0</v>
      </c>
      <c r="L13" s="57">
        <v>0.0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ht="30.0" customHeight="1">
      <c r="A14" s="31" t="s">
        <v>88</v>
      </c>
      <c r="B14" s="33">
        <v>0.0</v>
      </c>
      <c r="C14" s="57">
        <v>0.0</v>
      </c>
      <c r="D14" s="57">
        <v>0.0</v>
      </c>
      <c r="E14" s="74" t="s">
        <v>47</v>
      </c>
      <c r="F14" s="74" t="s">
        <v>47</v>
      </c>
      <c r="G14" s="42" t="s">
        <v>26</v>
      </c>
      <c r="H14" s="42" t="s">
        <v>26</v>
      </c>
      <c r="I14" s="28"/>
      <c r="J14" s="28"/>
      <c r="K14" s="33">
        <v>0.0</v>
      </c>
      <c r="L14" s="57">
        <v>0.0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</row>
    <row r="15" ht="30.0" customHeight="1">
      <c r="A15" s="31" t="s">
        <v>88</v>
      </c>
      <c r="B15" s="33">
        <v>0.0</v>
      </c>
      <c r="C15" s="57">
        <v>0.0</v>
      </c>
      <c r="D15" s="57">
        <v>0.0</v>
      </c>
      <c r="E15" s="76" t="s">
        <v>47</v>
      </c>
      <c r="F15" s="76" t="s">
        <v>47</v>
      </c>
      <c r="G15" s="42" t="s">
        <v>26</v>
      </c>
      <c r="H15" s="42" t="s">
        <v>26</v>
      </c>
      <c r="I15" s="28"/>
      <c r="J15" s="28"/>
      <c r="K15" s="33">
        <v>0.0</v>
      </c>
      <c r="L15" s="57">
        <v>0.0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ht="12.75" customHeight="1">
      <c r="A16" s="77"/>
      <c r="B16" s="78"/>
      <c r="C16" s="79"/>
      <c r="D16" s="79"/>
      <c r="E16" s="80"/>
      <c r="F16" s="80"/>
      <c r="G16" s="80"/>
      <c r="H16" s="81"/>
      <c r="I16" s="28"/>
      <c r="J16" s="28"/>
      <c r="K16" s="78"/>
      <c r="L16" s="7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</row>
    <row r="17" ht="30.0" customHeight="1">
      <c r="A17" s="82" t="s">
        <v>59</v>
      </c>
      <c r="B17" s="84">
        <f t="shared" ref="B17:D17" si="9">SUM(B6:B15)</f>
        <v>180</v>
      </c>
      <c r="C17" s="84">
        <f t="shared" si="9"/>
        <v>1</v>
      </c>
      <c r="D17" s="84">
        <f t="shared" si="9"/>
        <v>219</v>
      </c>
      <c r="E17" s="39" t="str">
        <f t="shared" ref="E17:F17" si="10">DIVIDE(C17, A17)</f>
        <v>#VALUE!</v>
      </c>
      <c r="F17" s="39">
        <f t="shared" si="10"/>
        <v>1.216666667</v>
      </c>
      <c r="G17" s="84">
        <f>SUM(G6:G15)</f>
        <v>0</v>
      </c>
      <c r="H17" s="85"/>
      <c r="I17" s="28"/>
      <c r="J17" s="28"/>
      <c r="K17" s="84">
        <f t="shared" ref="K17:L17" si="11">SUM(K6:K15)</f>
        <v>0</v>
      </c>
      <c r="L17" s="84">
        <f t="shared" si="11"/>
        <v>0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>
      <c r="A18" s="86"/>
      <c r="B18" s="87"/>
      <c r="C18" s="87"/>
      <c r="D18" s="87"/>
      <c r="E18" s="87"/>
      <c r="F18" s="88"/>
      <c r="G18" s="87"/>
      <c r="H18" s="89"/>
      <c r="I18" s="4"/>
      <c r="J18" s="4"/>
      <c r="K18" s="87"/>
      <c r="L18" s="87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>
      <c r="A19" s="90"/>
      <c r="B19" s="92"/>
      <c r="C19" s="92"/>
      <c r="D19" s="10"/>
      <c r="E19" s="10"/>
      <c r="F19" s="10"/>
      <c r="G19" s="10"/>
      <c r="H19" s="9"/>
      <c r="I19" s="4"/>
      <c r="J19" s="4"/>
      <c r="K19" s="92"/>
      <c r="L19" s="10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>
      <c r="A20" s="93"/>
      <c r="B20" s="10"/>
      <c r="C20" s="10"/>
      <c r="D20" s="10"/>
      <c r="E20" s="10"/>
      <c r="F20" s="10"/>
      <c r="G20" s="10"/>
      <c r="H20" s="9"/>
      <c r="I20" s="9"/>
      <c r="J20" s="9"/>
      <c r="K20" s="10"/>
      <c r="L20" s="10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>
      <c r="A21" s="93"/>
      <c r="B21" s="10"/>
      <c r="C21" s="10"/>
      <c r="D21" s="10"/>
      <c r="E21" s="10"/>
      <c r="F21" s="10"/>
      <c r="G21" s="10"/>
      <c r="H21" s="9"/>
      <c r="I21" s="9"/>
      <c r="J21" s="9"/>
      <c r="K21" s="10"/>
      <c r="L21" s="10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</sheetData>
  <mergeCells count="2">
    <mergeCell ref="A1:H1"/>
    <mergeCell ref="E2:G2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57"/>
    <col customWidth="1" min="2" max="2" width="10.86"/>
    <col customWidth="1" min="3" max="3" width="9.43"/>
    <col customWidth="1" min="4" max="5" width="8.43"/>
    <col customWidth="1" min="6" max="7" width="9.71"/>
    <col customWidth="1" min="8" max="8" width="12.43"/>
    <col customWidth="1" min="9" max="9" width="11.29"/>
    <col customWidth="1" min="10" max="10" width="0.71"/>
    <col customWidth="1" min="12" max="12" width="10.86"/>
    <col customWidth="1" min="13" max="13" width="8.43"/>
  </cols>
  <sheetData>
    <row r="1" ht="12.75" customHeight="1">
      <c r="A1" s="2"/>
      <c r="J1" s="9"/>
      <c r="K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3" t="s">
        <v>1</v>
      </c>
      <c r="B2" s="3" t="s">
        <v>2</v>
      </c>
      <c r="C2" s="5" t="s">
        <v>3</v>
      </c>
      <c r="D2" s="3"/>
      <c r="E2" s="7" t="s">
        <v>4</v>
      </c>
      <c r="I2" s="8"/>
      <c r="J2" s="4"/>
      <c r="K2" s="9"/>
      <c r="L2" s="3" t="s">
        <v>2</v>
      </c>
      <c r="M2" s="3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2">
        <f>SUM(B20, B21)</f>
        <v>30092</v>
      </c>
      <c r="B3" s="12">
        <f>SUM(D20, D21)</f>
        <v>1193</v>
      </c>
      <c r="C3" s="14">
        <f>SUM(H20, H21)</f>
        <v>9351</v>
      </c>
      <c r="D3" s="12"/>
      <c r="E3" s="15">
        <f>MINUS(A3,B3 + C3)</f>
        <v>19548</v>
      </c>
      <c r="F3" s="15"/>
      <c r="G3" s="15"/>
      <c r="H3" s="5"/>
      <c r="I3" s="8"/>
      <c r="J3" s="4"/>
      <c r="K3" s="9"/>
      <c r="L3" s="12">
        <f>SUM(N20, N21)</f>
        <v>0</v>
      </c>
      <c r="M3" s="12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7"/>
      <c r="B4" s="8"/>
      <c r="C4" s="8"/>
      <c r="D4" s="8"/>
      <c r="E4" s="8"/>
      <c r="F4" s="6"/>
      <c r="G4" s="6"/>
      <c r="H4" s="6"/>
      <c r="I4" s="8"/>
      <c r="J4" s="4"/>
      <c r="K4" s="9"/>
      <c r="L4" s="8"/>
      <c r="M4" s="8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0.0" customHeight="1">
      <c r="A5" s="19" t="s">
        <v>140</v>
      </c>
      <c r="B5" s="20" t="s">
        <v>7</v>
      </c>
      <c r="C5" s="22" t="s">
        <v>8</v>
      </c>
      <c r="D5" s="20" t="s">
        <v>9</v>
      </c>
      <c r="E5" s="24" t="s">
        <v>10</v>
      </c>
      <c r="F5" s="24" t="s">
        <v>11</v>
      </c>
      <c r="G5" s="26" t="s">
        <v>12</v>
      </c>
      <c r="H5" s="26" t="s">
        <v>14</v>
      </c>
      <c r="I5" s="20" t="s">
        <v>15</v>
      </c>
      <c r="J5" s="28"/>
      <c r="K5" s="28"/>
      <c r="L5" s="20" t="s">
        <v>7</v>
      </c>
      <c r="M5" s="20" t="s">
        <v>9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30.0" customHeight="1">
      <c r="A6" s="31" t="s">
        <v>144</v>
      </c>
      <c r="B6" s="33">
        <v>15857.0</v>
      </c>
      <c r="C6" s="35">
        <f t="shared" ref="C6:C20" si="1">MINUS(B6,L6)</f>
        <v>997</v>
      </c>
      <c r="D6" s="57">
        <v>630.0</v>
      </c>
      <c r="E6" s="59">
        <f t="shared" ref="E6:E20" si="2">MINUS(D6,M6)</f>
        <v>143</v>
      </c>
      <c r="F6" s="39">
        <f t="shared" ref="F6:F18" si="3">DIVIDE(D6, B6)</f>
        <v>0.03973008766</v>
      </c>
      <c r="G6" s="46" t="s">
        <v>26</v>
      </c>
      <c r="H6" s="42">
        <v>2491.0</v>
      </c>
      <c r="I6" s="50" t="str">
        <f>HYPERLINK("https://twitter.com/sante_qc/status/1250836400808890368","Source")</f>
        <v>Source</v>
      </c>
      <c r="J6" s="66"/>
      <c r="K6" s="47" t="s">
        <v>19</v>
      </c>
      <c r="L6" s="33">
        <v>14860.0</v>
      </c>
      <c r="M6" s="57">
        <v>487.0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30.0" customHeight="1">
      <c r="A7" s="30" t="s">
        <v>147</v>
      </c>
      <c r="B7" s="32">
        <v>8961.0</v>
      </c>
      <c r="C7" s="35">
        <f t="shared" si="1"/>
        <v>514</v>
      </c>
      <c r="D7" s="67">
        <v>423.0</v>
      </c>
      <c r="E7" s="59">
        <f t="shared" si="2"/>
        <v>38</v>
      </c>
      <c r="F7" s="60">
        <f t="shared" si="3"/>
        <v>0.04720455306</v>
      </c>
      <c r="G7" s="46">
        <v>248.0</v>
      </c>
      <c r="H7" s="41">
        <v>4194.0</v>
      </c>
      <c r="I7" s="44" t="str">
        <f>HYPERLINK("https://www.ontario.ca/page/2019-novel-coronavirus","Source")</f>
        <v>Source</v>
      </c>
      <c r="J7" s="66"/>
      <c r="K7" s="47" t="s">
        <v>19</v>
      </c>
      <c r="L7" s="32">
        <v>8447.0</v>
      </c>
      <c r="M7" s="67">
        <v>385.0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30.0" customHeight="1">
      <c r="A8" s="31" t="s">
        <v>151</v>
      </c>
      <c r="B8" s="33">
        <v>2158.0</v>
      </c>
      <c r="C8" s="35">
        <f t="shared" si="1"/>
        <v>162</v>
      </c>
      <c r="D8" s="57">
        <v>50.0</v>
      </c>
      <c r="E8" s="59">
        <f t="shared" si="2"/>
        <v>2</v>
      </c>
      <c r="F8" s="60">
        <f t="shared" si="3"/>
        <v>0.02316960148</v>
      </c>
      <c r="G8" s="46" t="s">
        <v>26</v>
      </c>
      <c r="H8" s="46">
        <v>914.0</v>
      </c>
      <c r="I8" s="50" t="str">
        <f>HYPERLINK("https://www.alberta.ca/coronavirus-info-for-albertans.aspx","Source")</f>
        <v>Source</v>
      </c>
      <c r="J8" s="66"/>
      <c r="K8" s="47" t="s">
        <v>19</v>
      </c>
      <c r="L8" s="33">
        <v>1996.0</v>
      </c>
      <c r="M8" s="57">
        <v>48.0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30.0" customHeight="1">
      <c r="A9" s="31" t="s">
        <v>155</v>
      </c>
      <c r="B9" s="33">
        <v>1561.0</v>
      </c>
      <c r="C9" s="35">
        <f t="shared" si="1"/>
        <v>0</v>
      </c>
      <c r="D9" s="33">
        <v>75.0</v>
      </c>
      <c r="E9" s="37">
        <f t="shared" si="2"/>
        <v>0</v>
      </c>
      <c r="F9" s="39">
        <f t="shared" si="3"/>
        <v>0.04804612428</v>
      </c>
      <c r="G9" s="42">
        <v>59.0</v>
      </c>
      <c r="H9" s="42">
        <v>955.0</v>
      </c>
      <c r="I9" s="50" t="str">
        <f>HYPERLINK("https://experience.arcgis.com/experience/a6f23959a8b14bfa989e3cda29297ded","Source")</f>
        <v>Source</v>
      </c>
      <c r="J9" s="28"/>
      <c r="K9" s="47" t="s">
        <v>19</v>
      </c>
      <c r="L9" s="33">
        <v>1561.0</v>
      </c>
      <c r="M9" s="33">
        <v>75.0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30.0" customHeight="1">
      <c r="A10" s="31" t="s">
        <v>158</v>
      </c>
      <c r="B10" s="33">
        <v>579.0</v>
      </c>
      <c r="C10" s="35">
        <f t="shared" si="1"/>
        <v>30</v>
      </c>
      <c r="D10" s="57">
        <v>3.0</v>
      </c>
      <c r="E10" s="59">
        <f t="shared" si="2"/>
        <v>0</v>
      </c>
      <c r="F10" s="39">
        <f t="shared" si="3"/>
        <v>0.00518134715</v>
      </c>
      <c r="G10" s="46">
        <v>4.0</v>
      </c>
      <c r="H10" s="46">
        <v>176.0</v>
      </c>
      <c r="I10" s="50" t="str">
        <f>HYPERLINK("https://novascotia.ca/coronavirus/data/","Source")</f>
        <v>Source</v>
      </c>
      <c r="J10" s="66"/>
      <c r="K10" s="47" t="s">
        <v>19</v>
      </c>
      <c r="L10" s="33">
        <v>549.0</v>
      </c>
      <c r="M10" s="57">
        <v>3.0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30.0" customHeight="1">
      <c r="A11" s="31" t="s">
        <v>161</v>
      </c>
      <c r="B11" s="33">
        <v>305.0</v>
      </c>
      <c r="C11" s="35">
        <f t="shared" si="1"/>
        <v>1</v>
      </c>
      <c r="D11" s="57">
        <v>4.0</v>
      </c>
      <c r="E11" s="59">
        <f t="shared" si="2"/>
        <v>0</v>
      </c>
      <c r="F11" s="39">
        <f t="shared" si="3"/>
        <v>0.0131147541</v>
      </c>
      <c r="G11" s="46">
        <v>0.0</v>
      </c>
      <c r="H11" s="46">
        <v>219.0</v>
      </c>
      <c r="I11" s="50" t="str">
        <f>HYPERLINK("https://twitter.com/SKGov/status/1250869627900461056","Source")</f>
        <v>Source</v>
      </c>
      <c r="J11" s="66"/>
      <c r="K11" s="47" t="s">
        <v>19</v>
      </c>
      <c r="L11" s="33">
        <v>304.0</v>
      </c>
      <c r="M11" s="57">
        <v>4.0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30.0" customHeight="1">
      <c r="A12" s="31" t="s">
        <v>164</v>
      </c>
      <c r="B12" s="33">
        <v>252.0</v>
      </c>
      <c r="C12" s="35">
        <f t="shared" si="1"/>
        <v>5</v>
      </c>
      <c r="D12" s="57">
        <v>3.0</v>
      </c>
      <c r="E12" s="59">
        <f t="shared" si="2"/>
        <v>0</v>
      </c>
      <c r="F12" s="60">
        <f t="shared" si="3"/>
        <v>0.0119047619</v>
      </c>
      <c r="G12" s="46" t="s">
        <v>26</v>
      </c>
      <c r="H12" s="46">
        <v>170.0</v>
      </c>
      <c r="I12" s="50" t="str">
        <f>HYPERLINK("https://covid-19-newfoundland-and-labrador-gnl.hub.arcgis.com/","Source")</f>
        <v>Source</v>
      </c>
      <c r="J12" s="66"/>
      <c r="K12" s="47" t="s">
        <v>19</v>
      </c>
      <c r="L12" s="33">
        <v>247.0</v>
      </c>
      <c r="M12" s="57">
        <v>3.0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30.0" customHeight="1">
      <c r="A13" s="31" t="s">
        <v>168</v>
      </c>
      <c r="B13" s="33">
        <v>250.0</v>
      </c>
      <c r="C13" s="35">
        <f t="shared" si="1"/>
        <v>4</v>
      </c>
      <c r="D13" s="57">
        <v>5.0</v>
      </c>
      <c r="E13" s="59">
        <f t="shared" si="2"/>
        <v>0</v>
      </c>
      <c r="F13" s="39">
        <f t="shared" si="3"/>
        <v>0.02</v>
      </c>
      <c r="G13" s="46">
        <v>4.0</v>
      </c>
      <c r="H13" s="46">
        <v>121.0</v>
      </c>
      <c r="I13" s="50" t="str">
        <f>HYPERLINK("https://www.gov.mb.ca/covid19/updates/index.html","Source")</f>
        <v>Source</v>
      </c>
      <c r="J13" s="66"/>
      <c r="K13" s="47" t="s">
        <v>19</v>
      </c>
      <c r="L13" s="33">
        <v>246.0</v>
      </c>
      <c r="M13" s="57">
        <v>5.0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30.0" customHeight="1">
      <c r="A14" s="31" t="s">
        <v>171</v>
      </c>
      <c r="B14" s="33">
        <v>117.0</v>
      </c>
      <c r="C14" s="35">
        <f t="shared" si="1"/>
        <v>0</v>
      </c>
      <c r="D14" s="57">
        <v>0.0</v>
      </c>
      <c r="E14" s="59">
        <f t="shared" si="2"/>
        <v>0</v>
      </c>
      <c r="F14" s="60">
        <f t="shared" si="3"/>
        <v>0</v>
      </c>
      <c r="G14" s="46">
        <v>3.0</v>
      </c>
      <c r="H14" s="46">
        <v>80.0</v>
      </c>
      <c r="I14" s="50" t="str">
        <f>HYPERLINK("https://www2.gnb.ca/content/gnb/en/departments/ocmoh/cdc/content/respiratory_diseases/coronavirus.html","Source")</f>
        <v>Source</v>
      </c>
      <c r="J14" s="66"/>
      <c r="K14" s="47" t="s">
        <v>19</v>
      </c>
      <c r="L14" s="33">
        <v>117.0</v>
      </c>
      <c r="M14" s="57">
        <v>0.0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30.0" customHeight="1">
      <c r="A15" s="31" t="s">
        <v>175</v>
      </c>
      <c r="B15" s="33">
        <v>26.0</v>
      </c>
      <c r="C15" s="35">
        <f t="shared" si="1"/>
        <v>0</v>
      </c>
      <c r="D15" s="57">
        <v>0.0</v>
      </c>
      <c r="E15" s="59">
        <f t="shared" si="2"/>
        <v>0</v>
      </c>
      <c r="F15" s="39">
        <f t="shared" si="3"/>
        <v>0</v>
      </c>
      <c r="G15" s="46" t="s">
        <v>26</v>
      </c>
      <c r="H15" s="46">
        <v>23.0</v>
      </c>
      <c r="I15" s="50" t="str">
        <f>HYPERLINK("https://www.princeedwardisland.ca/en/topic/covid-19","Source")</f>
        <v>Source</v>
      </c>
      <c r="J15" s="66"/>
      <c r="K15" s="47" t="s">
        <v>19</v>
      </c>
      <c r="L15" s="33">
        <v>26.0</v>
      </c>
      <c r="M15" s="57">
        <v>0.0</v>
      </c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30.0" customHeight="1">
      <c r="A16" s="31" t="s">
        <v>178</v>
      </c>
      <c r="B16" s="33">
        <v>13.0</v>
      </c>
      <c r="C16" s="35">
        <f t="shared" si="1"/>
        <v>0</v>
      </c>
      <c r="D16" s="57">
        <v>0.0</v>
      </c>
      <c r="E16" s="59">
        <f t="shared" si="2"/>
        <v>0</v>
      </c>
      <c r="F16" s="60">
        <f t="shared" si="3"/>
        <v>0</v>
      </c>
      <c r="G16" s="46" t="s">
        <v>26</v>
      </c>
      <c r="H16" s="46" t="s">
        <v>26</v>
      </c>
      <c r="I16" s="50" t="str">
        <f>HYPERLINK("https://www.canada.ca/en/public-health/services/diseases/2019-novel-coronavirus-infection.html#a1","Source")</f>
        <v>Source</v>
      </c>
      <c r="J16" s="28"/>
      <c r="K16" s="28"/>
      <c r="L16" s="33">
        <v>13.0</v>
      </c>
      <c r="M16" s="57">
        <v>0.0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30.0" customHeight="1">
      <c r="A17" s="31" t="s">
        <v>181</v>
      </c>
      <c r="B17" s="33">
        <v>8.0</v>
      </c>
      <c r="C17" s="35">
        <f t="shared" si="1"/>
        <v>0</v>
      </c>
      <c r="D17" s="57">
        <v>0.0</v>
      </c>
      <c r="E17" s="59">
        <f t="shared" si="2"/>
        <v>0</v>
      </c>
      <c r="F17" s="60">
        <f t="shared" si="3"/>
        <v>0</v>
      </c>
      <c r="G17" s="46" t="s">
        <v>26</v>
      </c>
      <c r="H17" s="46">
        <v>6.0</v>
      </c>
      <c r="I17" s="50" t="str">
        <f>HYPERLINK("https://yukon.ca/covid-19","Source")</f>
        <v>Source</v>
      </c>
      <c r="J17" s="28"/>
      <c r="K17" s="28"/>
      <c r="L17" s="33">
        <v>8.0</v>
      </c>
      <c r="M17" s="57">
        <v>0.0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30.0" customHeight="1">
      <c r="A18" s="31" t="s">
        <v>184</v>
      </c>
      <c r="B18" s="33">
        <v>5.0</v>
      </c>
      <c r="C18" s="35">
        <f t="shared" si="1"/>
        <v>0</v>
      </c>
      <c r="D18" s="57">
        <v>0.0</v>
      </c>
      <c r="E18" s="59">
        <f t="shared" si="2"/>
        <v>0</v>
      </c>
      <c r="F18" s="39">
        <f t="shared" si="3"/>
        <v>0</v>
      </c>
      <c r="G18" s="46" t="s">
        <v>26</v>
      </c>
      <c r="H18" s="46">
        <v>2.0</v>
      </c>
      <c r="I18" s="50" t="str">
        <f>HYPERLINK("https://www.cbc.ca/news/canada/north/nwt-first-case-covid19-1.5505701","Source")</f>
        <v>Source</v>
      </c>
      <c r="J18" s="66"/>
      <c r="K18" s="28"/>
      <c r="L18" s="33">
        <v>5.0</v>
      </c>
      <c r="M18" s="57">
        <v>0.0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30.0" customHeight="1">
      <c r="A19" s="31" t="s">
        <v>187</v>
      </c>
      <c r="B19" s="33">
        <v>0.0</v>
      </c>
      <c r="C19" s="35">
        <f t="shared" si="1"/>
        <v>0</v>
      </c>
      <c r="D19" s="57">
        <v>0.0</v>
      </c>
      <c r="E19" s="59">
        <f t="shared" si="2"/>
        <v>0</v>
      </c>
      <c r="F19" s="102" t="s">
        <v>47</v>
      </c>
      <c r="G19" s="46" t="s">
        <v>47</v>
      </c>
      <c r="H19" s="46" t="s">
        <v>47</v>
      </c>
      <c r="I19" s="50" t="str">
        <f>HYPERLINK("https://www.gov.nu.ca/health/information/covid-19-novel-coronavirus","Source")</f>
        <v>Source</v>
      </c>
      <c r="J19" s="28"/>
      <c r="K19" s="28"/>
      <c r="L19" s="33">
        <v>0.0</v>
      </c>
      <c r="M19" s="57">
        <v>0.0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30.0" customHeight="1">
      <c r="A20" s="82" t="s">
        <v>59</v>
      </c>
      <c r="B20" s="84">
        <f>SUM(B6:B19)</f>
        <v>30092</v>
      </c>
      <c r="C20" s="35">
        <f t="shared" si="1"/>
        <v>1713</v>
      </c>
      <c r="D20" s="84">
        <f>SUM(D6:D19)</f>
        <v>1193</v>
      </c>
      <c r="E20" s="37">
        <f t="shared" si="2"/>
        <v>183</v>
      </c>
      <c r="F20" s="39">
        <f>DIVIDE(D20, B20)</f>
        <v>0.0396450884</v>
      </c>
      <c r="G20" s="84">
        <f t="shared" ref="G20:H20" si="4">SUM(G6:G19)</f>
        <v>318</v>
      </c>
      <c r="H20" s="84">
        <f t="shared" si="4"/>
        <v>9351</v>
      </c>
      <c r="I20" s="85"/>
      <c r="J20" s="28"/>
      <c r="K20" s="28"/>
      <c r="L20" s="84">
        <f t="shared" ref="L20:M20" si="5">SUM(L6:L19)</f>
        <v>28379</v>
      </c>
      <c r="M20" s="84">
        <f t="shared" si="5"/>
        <v>1010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93"/>
      <c r="B21" s="10"/>
      <c r="C21" s="10"/>
      <c r="D21" s="10"/>
      <c r="E21" s="10"/>
      <c r="F21" s="10"/>
      <c r="G21" s="10"/>
      <c r="H21" s="10"/>
      <c r="I21" s="9"/>
      <c r="J21" s="4"/>
      <c r="K21" s="4"/>
      <c r="L21" s="10"/>
      <c r="M21" s="10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0"/>
      <c r="B22" s="92"/>
      <c r="C22" s="92"/>
      <c r="D22" s="10"/>
      <c r="E22" s="10"/>
      <c r="F22" s="10"/>
      <c r="G22" s="10"/>
      <c r="H22" s="10"/>
      <c r="I22" s="9"/>
      <c r="J22" s="4"/>
      <c r="K22" s="4"/>
      <c r="L22" s="92"/>
      <c r="M22" s="10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3"/>
      <c r="B23" s="10"/>
      <c r="C23" s="10"/>
      <c r="D23" s="10"/>
      <c r="E23" s="10"/>
      <c r="F23" s="10"/>
      <c r="G23" s="10"/>
      <c r="H23" s="10"/>
      <c r="I23" s="9"/>
      <c r="J23" s="4"/>
      <c r="K23" s="4"/>
      <c r="L23" s="10"/>
      <c r="M23" s="10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3"/>
      <c r="B24" s="10"/>
      <c r="C24" s="10"/>
      <c r="D24" s="10"/>
      <c r="E24" s="10"/>
      <c r="F24" s="10"/>
      <c r="G24" s="10"/>
      <c r="H24" s="10"/>
      <c r="I24" s="9"/>
      <c r="J24" s="4"/>
      <c r="K24" s="9"/>
      <c r="L24" s="10"/>
      <c r="M24" s="10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2"/>
      <c r="H1" s="9"/>
      <c r="I1" s="9"/>
    </row>
    <row r="2">
      <c r="A2" s="3" t="s">
        <v>1</v>
      </c>
      <c r="B2" s="3" t="s">
        <v>2</v>
      </c>
      <c r="D2" s="5" t="s">
        <v>3</v>
      </c>
      <c r="F2" s="7" t="s">
        <v>202</v>
      </c>
      <c r="I2" s="9"/>
    </row>
    <row r="3">
      <c r="A3" s="12">
        <f t="shared" ref="A3:B3" si="1">SUM(B15, B16)</f>
        <v>84593</v>
      </c>
      <c r="B3" s="12">
        <f t="shared" si="1"/>
        <v>3342</v>
      </c>
      <c r="D3" s="14">
        <f>SUM(F15, F16)</f>
        <v>79112</v>
      </c>
      <c r="F3" s="15">
        <f>MINUS(A3,B3 + D3)</f>
        <v>2139</v>
      </c>
      <c r="G3" s="15"/>
      <c r="H3" s="5"/>
      <c r="I3" s="9"/>
    </row>
    <row r="4">
      <c r="A4" s="17"/>
      <c r="B4" s="8"/>
      <c r="C4" s="8"/>
      <c r="D4" s="6"/>
      <c r="E4" s="6"/>
      <c r="F4" s="6"/>
      <c r="G4" s="8"/>
      <c r="H4" s="4"/>
      <c r="I4" s="4"/>
    </row>
    <row r="5" ht="30.0" customHeight="1">
      <c r="A5" s="121" t="s">
        <v>204</v>
      </c>
      <c r="B5" s="123" t="s">
        <v>7</v>
      </c>
      <c r="C5" s="123" t="s">
        <v>9</v>
      </c>
      <c r="D5" s="125" t="s">
        <v>207</v>
      </c>
      <c r="E5" s="125" t="s">
        <v>208</v>
      </c>
      <c r="F5" s="125" t="s">
        <v>14</v>
      </c>
      <c r="G5" s="123"/>
      <c r="H5" s="28"/>
      <c r="I5" s="28"/>
    </row>
    <row r="6" ht="30.0" customHeight="1">
      <c r="A6" s="77" t="s">
        <v>209</v>
      </c>
      <c r="B6" s="78">
        <v>67803.0</v>
      </c>
      <c r="C6" s="78">
        <v>3222.0</v>
      </c>
      <c r="D6" s="128">
        <v>38.0</v>
      </c>
      <c r="E6" s="80" t="s">
        <v>26</v>
      </c>
      <c r="F6" s="128">
        <v>64435.0</v>
      </c>
      <c r="G6" s="131" t="str">
        <f>HYPERLINK("http://www.nhc.gov.cn/yjb/s7860/202004/9ffacd69bc67476eb83a2776b8d8c70c.shtml","Source")</f>
        <v>Source</v>
      </c>
      <c r="H6" s="133"/>
      <c r="I6" s="28"/>
    </row>
    <row r="7" ht="30.0" customHeight="1">
      <c r="A7" s="135" t="s">
        <v>212</v>
      </c>
      <c r="B7" s="136">
        <v>1472.0</v>
      </c>
      <c r="C7" s="138">
        <v>8.0</v>
      </c>
      <c r="D7" s="140">
        <v>2.0</v>
      </c>
      <c r="E7" s="140">
        <v>4.0</v>
      </c>
      <c r="F7" s="142">
        <v>1357.0</v>
      </c>
      <c r="G7" s="145" t="str">
        <f>HYPERLINK("http://wsjkw.gd.gov.cn/zwyw_yqxx/content/post_2963066.html","Source")</f>
        <v>Source</v>
      </c>
      <c r="H7" s="28"/>
      <c r="I7" s="28"/>
    </row>
    <row r="8" ht="30.0" customHeight="1">
      <c r="A8" s="77" t="s">
        <v>217</v>
      </c>
      <c r="B8" s="78">
        <v>1276.0</v>
      </c>
      <c r="C8" s="79">
        <v>22.0</v>
      </c>
      <c r="D8" s="80">
        <v>0.0</v>
      </c>
      <c r="E8" s="80">
        <v>0.0</v>
      </c>
      <c r="F8" s="128">
        <v>1251.0</v>
      </c>
      <c r="G8" s="131" t="str">
        <f>HYPERLINK("https://m.weibo.cn/detail/4488452735550800","Source")</f>
        <v>Source</v>
      </c>
      <c r="H8" s="133"/>
      <c r="I8" s="28"/>
    </row>
    <row r="9" ht="30.0" customHeight="1">
      <c r="A9" s="77" t="s">
        <v>220</v>
      </c>
      <c r="B9" s="78">
        <v>1257.0</v>
      </c>
      <c r="C9" s="79">
        <v>1.0</v>
      </c>
      <c r="D9" s="80" t="s">
        <v>26</v>
      </c>
      <c r="E9" s="80" t="s">
        <v>26</v>
      </c>
      <c r="F9" s="128">
        <v>1226.0</v>
      </c>
      <c r="G9" s="148" t="str">
        <f>HYPERLINK("http://www.bjnews.com.cn/feature/2020/03/31/711060.html","Source")</f>
        <v>Source</v>
      </c>
      <c r="H9" s="28"/>
      <c r="I9" s="28"/>
    </row>
    <row r="10" ht="30.0" customHeight="1">
      <c r="A10" s="77" t="s">
        <v>223</v>
      </c>
      <c r="B10" s="78">
        <v>1018.0</v>
      </c>
      <c r="C10" s="79">
        <v>4.0</v>
      </c>
      <c r="D10" s="80">
        <v>0.0</v>
      </c>
      <c r="E10" s="80">
        <v>0.0</v>
      </c>
      <c r="F10" s="128">
        <v>1014.0</v>
      </c>
      <c r="G10" s="131" t="str">
        <f>HYPERLINK("http://wjw.hunan.gov.cn/wjw/xxgk/gzdt/zyxw_1/202003/t20200331_11867420.html","Source")</f>
        <v>Source</v>
      </c>
      <c r="H10" s="28"/>
      <c r="I10" s="28"/>
    </row>
    <row r="11" ht="30.0" customHeight="1">
      <c r="A11" s="77" t="s">
        <v>225</v>
      </c>
      <c r="B11" s="78">
        <v>583.0</v>
      </c>
      <c r="C11" s="79">
        <v>8.0</v>
      </c>
      <c r="D11" s="80" t="s">
        <v>26</v>
      </c>
      <c r="E11" s="80" t="s">
        <v>26</v>
      </c>
      <c r="F11" s="80">
        <v>418.0</v>
      </c>
      <c r="G11" s="148" t="str">
        <f>HYPERLINK("http://wjw.beijing.gov.cn/xwzx_20031/wnxw/202004/t20200401_1771919.html","Source")</f>
        <v>Source</v>
      </c>
      <c r="H11" s="28"/>
      <c r="I11" s="28"/>
    </row>
    <row r="12" ht="30.0" customHeight="1">
      <c r="A12" s="77" t="s">
        <v>227</v>
      </c>
      <c r="B12" s="78">
        <v>516.0</v>
      </c>
      <c r="C12" s="79">
        <v>7.0</v>
      </c>
      <c r="D12" s="80">
        <v>0.0</v>
      </c>
      <c r="E12" s="80">
        <v>5.0</v>
      </c>
      <c r="F12" s="80">
        <v>341.0</v>
      </c>
      <c r="G12" s="131" t="str">
        <f>HYPERLINK("http://wsjkw.sh.gov.cn/xwfb/20200401/50133c67b43d4c91a884d6de41dfce23.html","Source")</f>
        <v>Source</v>
      </c>
      <c r="H12" s="28"/>
      <c r="I12" s="28"/>
    </row>
    <row r="13" ht="30.0" customHeight="1">
      <c r="A13" s="77" t="s">
        <v>229</v>
      </c>
      <c r="B13" s="78">
        <v>8416.0</v>
      </c>
      <c r="C13" s="79">
        <v>70.0</v>
      </c>
      <c r="D13" s="80" t="s">
        <v>231</v>
      </c>
      <c r="E13" s="80" t="s">
        <v>26</v>
      </c>
      <c r="F13" s="128">
        <v>7850.0</v>
      </c>
      <c r="G13" s="131" t="str">
        <f>HYPERLINK("http://www.nhc.gov.cn/yjb/s7860/202004/9ffacd69bc67476eb83a2776b8d8c70c.shtml","Source")</f>
        <v>Source</v>
      </c>
      <c r="H13" s="133"/>
      <c r="I13" s="28"/>
    </row>
    <row r="14" ht="30.0" customHeight="1">
      <c r="A14" s="77" t="s">
        <v>232</v>
      </c>
      <c r="B14" s="78">
        <v>2252.0</v>
      </c>
      <c r="C14" s="79">
        <v>0.0</v>
      </c>
      <c r="D14" s="80">
        <v>0.0</v>
      </c>
      <c r="E14" s="80">
        <v>0.0</v>
      </c>
      <c r="F14" s="158">
        <v>1220.0</v>
      </c>
      <c r="G14" s="81"/>
      <c r="H14" s="133"/>
      <c r="I14" s="28"/>
    </row>
    <row r="15" ht="30.0" customHeight="1">
      <c r="A15" s="86" t="s">
        <v>59</v>
      </c>
      <c r="B15" s="159">
        <f t="shared" ref="B15:C15" si="2">SUM(B6:B14)</f>
        <v>84593</v>
      </c>
      <c r="C15" s="159">
        <f t="shared" si="2"/>
        <v>3342</v>
      </c>
      <c r="D15" s="159">
        <v>95.0</v>
      </c>
      <c r="E15" s="159"/>
      <c r="F15" s="159">
        <f>SUM(F6:F14)</f>
        <v>79112</v>
      </c>
      <c r="G15" s="89"/>
      <c r="H15" s="28"/>
      <c r="I15" s="28"/>
    </row>
    <row r="16">
      <c r="A16" s="86"/>
      <c r="B16" s="87"/>
      <c r="C16" s="87"/>
      <c r="D16" s="88"/>
      <c r="E16" s="160"/>
      <c r="F16" s="87"/>
      <c r="G16" s="89"/>
      <c r="H16" s="4"/>
      <c r="I16" s="4"/>
    </row>
    <row r="17">
      <c r="A17" s="90"/>
      <c r="B17" s="92"/>
      <c r="C17" s="10"/>
      <c r="D17" s="10"/>
      <c r="E17" s="10"/>
      <c r="F17" s="10"/>
      <c r="G17" s="9"/>
      <c r="H17" s="9"/>
      <c r="I17" s="9"/>
    </row>
    <row r="18">
      <c r="A18" s="93"/>
      <c r="B18" s="10"/>
      <c r="C18" s="10"/>
      <c r="D18" s="10"/>
      <c r="E18" s="10"/>
      <c r="F18" s="10"/>
      <c r="G18" s="9"/>
      <c r="H18" s="9"/>
      <c r="I18" s="9"/>
    </row>
    <row r="19">
      <c r="A19" s="93"/>
      <c r="B19" s="10"/>
      <c r="C19" s="10"/>
      <c r="D19" s="10"/>
      <c r="E19" s="10"/>
      <c r="F19" s="10"/>
      <c r="G19" s="9"/>
      <c r="H19" s="9"/>
      <c r="I19" s="9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2" max="2" width="17.57"/>
  </cols>
  <sheetData>
    <row r="1">
      <c r="A1" s="120"/>
      <c r="B1" s="29"/>
      <c r="C1" s="29"/>
      <c r="D1" s="29"/>
      <c r="E1" s="29"/>
      <c r="F1" s="29"/>
      <c r="G1" s="29"/>
      <c r="H1" s="29"/>
      <c r="I1" s="29"/>
      <c r="J1" s="29"/>
      <c r="K1" s="29"/>
    </row>
    <row r="2">
      <c r="A2" s="122" t="s">
        <v>205</v>
      </c>
      <c r="B2" s="124"/>
      <c r="C2" s="126"/>
      <c r="D2" s="126"/>
      <c r="E2" s="127"/>
      <c r="F2" s="129" t="s">
        <v>57</v>
      </c>
      <c r="G2" s="130" t="s">
        <v>7</v>
      </c>
      <c r="H2" s="130" t="s">
        <v>9</v>
      </c>
      <c r="I2" s="130" t="s">
        <v>14</v>
      </c>
      <c r="J2" s="129"/>
      <c r="K2" s="129"/>
    </row>
    <row r="3">
      <c r="A3" s="132" t="s">
        <v>211</v>
      </c>
      <c r="B3" s="124"/>
      <c r="C3" s="134">
        <v>18.0</v>
      </c>
      <c r="D3" s="137" t="str">
        <f>HYPERLINK("https://tass.com/world/1141003","Source")</f>
        <v>Source</v>
      </c>
      <c r="E3" s="127"/>
      <c r="F3" s="139" t="s">
        <v>214</v>
      </c>
      <c r="G3" s="141">
        <v>39.0</v>
      </c>
      <c r="H3" s="141">
        <v>0.0</v>
      </c>
      <c r="I3" s="141"/>
      <c r="J3" s="143"/>
      <c r="K3" s="144"/>
    </row>
    <row r="4">
      <c r="A4" s="132" t="s">
        <v>216</v>
      </c>
      <c r="B4" s="124"/>
      <c r="C4" s="134">
        <v>16.0</v>
      </c>
      <c r="D4" s="146" t="str">
        <f>HYPERLINK("https://ria.ru/20200414/1570039823.html","Source")</f>
        <v>Source</v>
      </c>
      <c r="E4" s="127"/>
      <c r="F4" s="139" t="s">
        <v>218</v>
      </c>
      <c r="G4" s="141">
        <v>8.0</v>
      </c>
      <c r="H4" s="141">
        <v>0.0</v>
      </c>
      <c r="I4" s="141"/>
      <c r="J4" s="143"/>
      <c r="K4" s="144"/>
    </row>
    <row r="5">
      <c r="A5" s="132" t="s">
        <v>219</v>
      </c>
      <c r="B5" s="124"/>
      <c r="C5" s="134">
        <v>3.0</v>
      </c>
      <c r="D5" s="146" t="str">
        <f>HYPERLINK("http://apsnypress.info/news/opershtab-v-respublike-3-podtverzhdennykh-sluchaya-zabolevaniya-koronavirusom/","Source")</f>
        <v>Source</v>
      </c>
      <c r="E5" s="147"/>
      <c r="F5" s="149" t="s">
        <v>222</v>
      </c>
      <c r="G5" s="150">
        <v>353.0</v>
      </c>
      <c r="H5" s="151">
        <v>32.0</v>
      </c>
      <c r="I5" s="152" t="s">
        <v>26</v>
      </c>
      <c r="J5" s="153" t="str">
        <f>HYPERLINK("https://www.bfhd.wa.gov/cms/One.aspx?portalId=10766056&amp;pageId=16584954","Source")</f>
        <v>Source</v>
      </c>
      <c r="K5" s="11"/>
    </row>
    <row r="6">
      <c r="A6" s="154" t="s">
        <v>226</v>
      </c>
      <c r="B6" s="124"/>
      <c r="C6" s="134">
        <v>6.0</v>
      </c>
      <c r="D6" s="155" t="str">
        <f>HYPERLINK("https://www.tert.am/en/news/2020/04/13/corona-artsakh/3261919","Source")</f>
        <v>Source</v>
      </c>
      <c r="E6" s="29"/>
      <c r="F6" s="156" t="s">
        <v>228</v>
      </c>
      <c r="G6" s="150">
        <v>59.0</v>
      </c>
      <c r="H6" s="151">
        <v>5.0</v>
      </c>
      <c r="I6" s="152"/>
      <c r="J6" s="153"/>
      <c r="K6" s="11"/>
    </row>
    <row r="7">
      <c r="A7" s="157" t="s">
        <v>59</v>
      </c>
      <c r="B7" s="124"/>
      <c r="C7" s="10">
        <f>SUM(C3:C6)</f>
        <v>43</v>
      </c>
      <c r="D7" s="124"/>
      <c r="E7" s="29"/>
      <c r="F7" s="156" t="s">
        <v>233</v>
      </c>
      <c r="G7" s="150">
        <v>13.0</v>
      </c>
      <c r="H7" s="151">
        <v>0.0</v>
      </c>
      <c r="I7" s="152"/>
      <c r="J7" s="153"/>
      <c r="K7" s="11"/>
    </row>
    <row r="8">
      <c r="A8" s="126"/>
      <c r="B8" s="124"/>
      <c r="C8" s="124"/>
      <c r="D8" s="124"/>
      <c r="E8" s="29"/>
      <c r="F8" s="156" t="s">
        <v>234</v>
      </c>
      <c r="G8" s="150">
        <v>232.0</v>
      </c>
      <c r="H8" s="151">
        <v>14.0</v>
      </c>
      <c r="I8" s="152"/>
      <c r="J8" s="153"/>
      <c r="K8" s="11"/>
    </row>
    <row r="9">
      <c r="A9" s="122" t="s">
        <v>235</v>
      </c>
      <c r="B9" s="126"/>
      <c r="C9" s="126"/>
      <c r="D9" s="124"/>
      <c r="E9" s="29"/>
      <c r="F9" s="156" t="s">
        <v>237</v>
      </c>
      <c r="G9" s="150">
        <v>1.0</v>
      </c>
      <c r="H9" s="151">
        <v>0.0</v>
      </c>
      <c r="I9" s="152"/>
      <c r="J9" s="153"/>
      <c r="K9" s="11"/>
    </row>
    <row r="10">
      <c r="A10" s="132" t="s">
        <v>238</v>
      </c>
      <c r="B10" s="137" t="str">
        <f>HYPERLINK("https://en.wikipedia.org/wiki/2020_coronavirus_pandemic_in_R%C3%A9union","Link")</f>
        <v>Link</v>
      </c>
      <c r="C10" s="137" t="str">
        <f>HYPERLINK("http://www.reunion.gouv.fr/point-de-situation-du-06-04-2020-5-nouveaux-cas-a6489.html","Link")</f>
        <v>Link</v>
      </c>
      <c r="D10" s="124"/>
      <c r="E10" s="29"/>
      <c r="F10" s="139" t="s">
        <v>239</v>
      </c>
      <c r="G10" s="141">
        <v>25.0</v>
      </c>
      <c r="H10" s="141">
        <v>0.0</v>
      </c>
      <c r="I10" s="141"/>
      <c r="J10" s="143"/>
      <c r="K10" s="144"/>
    </row>
    <row r="11">
      <c r="A11" s="154" t="s">
        <v>240</v>
      </c>
      <c r="B11" s="137" t="str">
        <f>HYPERLINK("https://en.wikipedia.org/wiki/2020_coronavirus_pandemic_in_Saint_Pierre_and_Miquelon","Link")</f>
        <v>Link</v>
      </c>
      <c r="C11" s="132"/>
      <c r="D11" s="124"/>
      <c r="E11" s="29"/>
      <c r="F11" s="139" t="s">
        <v>242</v>
      </c>
      <c r="G11" s="141">
        <v>34.0</v>
      </c>
      <c r="H11" s="141">
        <v>1.0</v>
      </c>
      <c r="I11" s="141"/>
      <c r="J11" s="143"/>
      <c r="K11" s="144"/>
    </row>
    <row r="12">
      <c r="A12" s="132" t="s">
        <v>243</v>
      </c>
      <c r="B12" s="137" t="str">
        <f>HYPERLINK("https://en.wikipedia.org/wiki/2020_coronavirus_pandemic_in_the_Guantanamo_Bay_Naval_Base","Link")</f>
        <v>Link</v>
      </c>
      <c r="C12" s="161" t="str">
        <f>HYPERLINK("https://www.navy.mil/submit/display.asp?story_id=112454","Link")</f>
        <v>Link</v>
      </c>
      <c r="D12" s="124"/>
      <c r="E12" s="29"/>
      <c r="F12" s="139" t="s">
        <v>244</v>
      </c>
      <c r="G12" s="141">
        <v>1.0</v>
      </c>
      <c r="H12" s="141">
        <v>0.0</v>
      </c>
      <c r="I12" s="141"/>
      <c r="J12" s="143"/>
      <c r="K12" s="144"/>
    </row>
    <row r="13">
      <c r="A13" s="132" t="s">
        <v>246</v>
      </c>
      <c r="B13" s="137" t="str">
        <f>HYPERLINK("https://en.wikipedia.org/wiki/2020_coronavirus_pandemic_in_Sint_Eustatius","Link")</f>
        <v>Link</v>
      </c>
      <c r="C13" s="124"/>
      <c r="D13" s="124"/>
      <c r="E13" s="162"/>
      <c r="F13" s="149" t="s">
        <v>247</v>
      </c>
      <c r="G13" s="150">
        <v>190.0</v>
      </c>
      <c r="H13" s="151">
        <v>4.0</v>
      </c>
      <c r="I13" s="152" t="s">
        <v>26</v>
      </c>
      <c r="J13" s="153" t="str">
        <f>HYPERLINK("https://www.bfhd.wa.gov/cms/One.aspx?portalId=10766056&amp;pageId=16584954","Source")</f>
        <v>Source</v>
      </c>
      <c r="K13" s="152"/>
    </row>
    <row r="14">
      <c r="A14" s="132" t="s">
        <v>248</v>
      </c>
      <c r="B14" s="137" t="str">
        <f>HYPERLINK("https://en.wikipedia.org/wiki/2020_coronavirus_pandemic_in_Somaliland","Link")</f>
        <v>Link</v>
      </c>
      <c r="C14" s="124"/>
      <c r="D14" s="124"/>
      <c r="E14" s="29"/>
      <c r="F14" s="139" t="s">
        <v>250</v>
      </c>
      <c r="G14" s="141">
        <v>0.0</v>
      </c>
      <c r="H14" s="141">
        <v>0.0</v>
      </c>
      <c r="I14" s="141"/>
      <c r="J14" s="143"/>
      <c r="K14" s="144"/>
    </row>
    <row r="15">
      <c r="A15" s="154" t="s">
        <v>251</v>
      </c>
      <c r="B15" s="137" t="str">
        <f>HYPERLINK("https://en.wikipedia.org/wiki/2020_coronavirus_pandemic_in_S%C3%A3o_Tom%C3%A9_and_Pr%C3%ADncipe","Link")</f>
        <v>Link</v>
      </c>
      <c r="C15" s="124"/>
      <c r="D15" s="124"/>
      <c r="E15" s="162"/>
      <c r="F15" s="163" t="s">
        <v>252</v>
      </c>
      <c r="G15" s="164">
        <v>157.0</v>
      </c>
      <c r="H15" s="165">
        <v>2.0</v>
      </c>
      <c r="I15" s="164">
        <v>28.0</v>
      </c>
      <c r="J15" s="153" t="str">
        <f>HYPERLINK("http://granthealth.org/updates-for-covid-19-in-grant-county/","Source")</f>
        <v>Source</v>
      </c>
      <c r="K15" s="166"/>
    </row>
    <row r="16">
      <c r="A16" s="132" t="s">
        <v>254</v>
      </c>
      <c r="B16" s="137" t="str">
        <f>HYPERLINK("https://en.wikipedia.org/wiki/2020_coronavirus_pandemic_in_the_%C3%85land_Islands","Link")</f>
        <v>Link</v>
      </c>
      <c r="C16" s="124"/>
      <c r="D16" s="124"/>
      <c r="E16" s="29"/>
      <c r="F16" s="156" t="s">
        <v>255</v>
      </c>
      <c r="G16" s="150">
        <v>12.0</v>
      </c>
      <c r="H16" s="150">
        <v>0.0</v>
      </c>
      <c r="I16" s="150"/>
      <c r="J16" s="153"/>
      <c r="K16" s="144"/>
    </row>
    <row r="17">
      <c r="A17" s="154" t="s">
        <v>256</v>
      </c>
      <c r="B17" s="137" t="str">
        <f>HYPERLINK("https://en.wikipedia.org/wiki/2020_coronavirus_pandemic_in_Akrotiri_and_Dhekelia","Link")</f>
        <v>Link</v>
      </c>
      <c r="C17" s="124"/>
      <c r="D17" s="124"/>
      <c r="E17" s="162"/>
      <c r="F17" s="149" t="s">
        <v>257</v>
      </c>
      <c r="G17" s="150">
        <v>163.0</v>
      </c>
      <c r="H17" s="151">
        <v>8.0</v>
      </c>
      <c r="I17" s="152" t="s">
        <v>26</v>
      </c>
      <c r="J17" s="153" t="str">
        <f>HYPERLINK("https://www.islandcountywa.gov/Health/Pages/COVID-19.aspx","Source")</f>
        <v>Source</v>
      </c>
      <c r="K17" s="152"/>
    </row>
    <row r="18">
      <c r="A18" s="132" t="s">
        <v>259</v>
      </c>
      <c r="B18" s="137" t="str">
        <f>HYPERLINK("https://en.wikipedia.org/wiki/2020_coronavirus_pandemic_in_the_Collectivity_of_Saint_Martin","Link")</f>
        <v>Link</v>
      </c>
      <c r="C18" s="126"/>
      <c r="D18" s="124"/>
      <c r="E18" s="29"/>
      <c r="F18" s="156" t="s">
        <v>260</v>
      </c>
      <c r="G18" s="150">
        <v>28.0</v>
      </c>
      <c r="H18" s="151">
        <v>0.0</v>
      </c>
      <c r="I18" s="152"/>
      <c r="J18" s="153"/>
      <c r="K18" s="152"/>
    </row>
    <row r="19">
      <c r="A19" s="132" t="s">
        <v>261</v>
      </c>
      <c r="B19" s="137" t="str">
        <f>HYPERLINK("https://en.wikipedia.org/wiki/2020_coronavirus_pandemic_in_French_Guiana","Link")</f>
        <v>Link</v>
      </c>
      <c r="C19" s="161" t="str">
        <f>HYPERLINK("http://www.guyane.gouv.fr/Politiques-publiques/Sante/Coronavirus-Covid-19/COVID-INFO","Link")</f>
        <v>Link</v>
      </c>
      <c r="D19" s="124"/>
      <c r="E19" s="162"/>
      <c r="F19" s="149" t="s">
        <v>262</v>
      </c>
      <c r="G19" s="150">
        <v>4697.0</v>
      </c>
      <c r="H19" s="151">
        <v>312.0</v>
      </c>
      <c r="I19" s="152" t="s">
        <v>26</v>
      </c>
      <c r="J19" s="153" t="str">
        <f>HYPERLINK("https://kingcounty.gov/depts/health/communicable-diseases/disease-control/novel-coronavirus.aspx","Source")</f>
        <v>Source</v>
      </c>
      <c r="K19" s="152"/>
    </row>
    <row r="20">
      <c r="A20" s="132" t="s">
        <v>264</v>
      </c>
      <c r="B20" s="137" t="str">
        <f>HYPERLINK("https://en.wikipedia.org/wiki/2020_coronavirus_pandemic_in_Guadeloupe","Link")</f>
        <v>Link</v>
      </c>
      <c r="C20" s="124"/>
      <c r="D20" s="124"/>
      <c r="E20" s="29"/>
      <c r="F20" s="156" t="s">
        <v>265</v>
      </c>
      <c r="G20" s="150">
        <v>131.0</v>
      </c>
      <c r="H20" s="151">
        <v>1.0</v>
      </c>
      <c r="I20" s="152"/>
      <c r="J20" s="153"/>
      <c r="K20" s="152"/>
    </row>
    <row r="21">
      <c r="A21" s="132" t="s">
        <v>266</v>
      </c>
      <c r="B21" s="137" t="str">
        <f>HYPERLINK("https://en.wikipedia.org/wiki/2020_coronavirus_pandemic_in_Martinique","Link")</f>
        <v>Link</v>
      </c>
      <c r="C21" s="126"/>
      <c r="D21" s="124"/>
      <c r="E21" s="162"/>
      <c r="F21" s="149" t="s">
        <v>267</v>
      </c>
      <c r="G21" s="151">
        <v>16.0</v>
      </c>
      <c r="H21" s="151">
        <v>0.0</v>
      </c>
      <c r="I21" s="151">
        <v>11.0</v>
      </c>
      <c r="J21" s="153" t="str">
        <f>HYPERLINK("https://kimatv.com/news/local/12-total-cases-of-covid-19-confirmed-in-kittitas-county","Source")</f>
        <v>Source</v>
      </c>
      <c r="K21" s="167" t="str">
        <f>HYPERLINK("https://kitcogis.maps.arcgis.com/apps/opsdashboard/index.html#/8d4896b6fe7b4805a7251a1284b051fb","Source")</f>
        <v>Source</v>
      </c>
    </row>
    <row r="22">
      <c r="A22" s="9" t="s">
        <v>269</v>
      </c>
      <c r="B22" s="161" t="str">
        <f>HYPERLINK("https://en.wikipedia.org/wiki/2020_coronavirus_pandemic_in_Mayotte","Link")</f>
        <v>Link</v>
      </c>
      <c r="C22" s="161" t="str">
        <f>HYPERLINK("http://www.mayotte.gouv.fr/Politiques-publiques/Sante/CORONAVIRUS-COVID-19/Point-de-situation/Coronavirus-COVID-19-a-Mayotte-186-cas-confirmes-au-total","Link")</f>
        <v>Link</v>
      </c>
      <c r="D22" s="124"/>
      <c r="F22" s="156" t="s">
        <v>270</v>
      </c>
      <c r="G22" s="151">
        <v>14.0</v>
      </c>
      <c r="H22" s="151">
        <v>2.0</v>
      </c>
      <c r="I22" s="151"/>
      <c r="J22" s="153"/>
      <c r="K22" s="168"/>
    </row>
    <row r="23">
      <c r="A23" s="169" t="s">
        <v>272</v>
      </c>
      <c r="B23" s="170" t="str">
        <f>HYPERLINK("https://twitter.com/NNPrezNez","Link")</f>
        <v>Link</v>
      </c>
      <c r="C23" s="170" t="str">
        <f>HYPERLINK("https://navajo-nation-coronavirus-response-ndoh-nec.hub.arcgis.com/","Link")</f>
        <v>Link</v>
      </c>
      <c r="D23" s="170" t="str">
        <f>HYPERLINK("https://twitter.com/navajohealth","Link")</f>
        <v>Link</v>
      </c>
      <c r="F23" s="156" t="s">
        <v>273</v>
      </c>
      <c r="G23" s="151">
        <v>19.0</v>
      </c>
      <c r="H23" s="151">
        <v>2.0</v>
      </c>
      <c r="I23" s="151"/>
      <c r="J23" s="153"/>
      <c r="K23" s="168"/>
    </row>
    <row r="24">
      <c r="A24" s="23" t="s">
        <v>274</v>
      </c>
      <c r="B24" s="170" t="str">
        <f>HYPERLINK("https://www.ihs.gov/coronavirus/?CFID=181292988&amp;CFTOKEN=50674899","Link")</f>
        <v>Link</v>
      </c>
      <c r="C24" s="170" t="str">
        <f>HYPERLINK("https://www.nec.navajo-nsn.gov/","Link")</f>
        <v>Link</v>
      </c>
      <c r="D24" s="171"/>
      <c r="F24" s="156" t="s">
        <v>276</v>
      </c>
      <c r="G24" s="151">
        <v>2.0</v>
      </c>
      <c r="H24" s="151">
        <v>0.0</v>
      </c>
      <c r="I24" s="151"/>
      <c r="J24" s="153"/>
      <c r="K24" s="168"/>
    </row>
    <row r="25">
      <c r="A25" s="171"/>
      <c r="B25" s="172"/>
      <c r="C25" s="171"/>
      <c r="D25" s="171"/>
      <c r="F25" s="156" t="s">
        <v>277</v>
      </c>
      <c r="G25" s="151">
        <v>20.0</v>
      </c>
      <c r="H25" s="151">
        <v>0.0</v>
      </c>
      <c r="I25" s="151"/>
      <c r="J25" s="153"/>
      <c r="K25" s="168"/>
    </row>
    <row r="26">
      <c r="A26" s="171"/>
      <c r="B26" s="173"/>
      <c r="C26" s="171"/>
      <c r="D26" s="171"/>
      <c r="F26" s="156" t="s">
        <v>278</v>
      </c>
      <c r="G26" s="150">
        <v>15.0</v>
      </c>
      <c r="H26" s="150">
        <v>0.0</v>
      </c>
      <c r="I26" s="150"/>
      <c r="J26" s="153"/>
      <c r="K26" s="144"/>
    </row>
    <row r="27">
      <c r="A27" s="174" t="s">
        <v>279</v>
      </c>
      <c r="B27" s="172" t="s">
        <v>280</v>
      </c>
      <c r="C27" s="171"/>
      <c r="D27" s="171"/>
      <c r="F27" s="156" t="s">
        <v>282</v>
      </c>
      <c r="G27" s="150">
        <v>1.0</v>
      </c>
      <c r="H27" s="150">
        <v>0.0</v>
      </c>
      <c r="I27" s="150"/>
      <c r="J27" s="153"/>
      <c r="K27" s="144"/>
    </row>
    <row r="28">
      <c r="A28" s="171" t="s">
        <v>56</v>
      </c>
      <c r="B28" s="172"/>
      <c r="C28" s="171"/>
      <c r="D28" s="171"/>
      <c r="F28" s="156" t="s">
        <v>283</v>
      </c>
      <c r="G28" s="150">
        <v>1.0</v>
      </c>
      <c r="H28" s="150">
        <v>0.0</v>
      </c>
      <c r="I28" s="150"/>
      <c r="J28" s="153"/>
      <c r="K28" s="144"/>
    </row>
    <row r="29">
      <c r="A29" s="171" t="s">
        <v>33</v>
      </c>
      <c r="B29" s="173" t="str">
        <f>HYPERLINK("https://twitter.com/DHSCgovuk","Link")</f>
        <v>Link</v>
      </c>
      <c r="C29" s="171"/>
      <c r="D29" s="171"/>
      <c r="E29" s="175"/>
      <c r="F29" s="149" t="s">
        <v>284</v>
      </c>
      <c r="G29" s="150">
        <v>1022.0</v>
      </c>
      <c r="H29" s="151">
        <v>28.0</v>
      </c>
      <c r="I29" s="152" t="s">
        <v>26</v>
      </c>
      <c r="J29" s="153" t="str">
        <f>HYPERLINK("https://twitter.com/TPCHD","Source")</f>
        <v>Source</v>
      </c>
      <c r="K29" s="153" t="str">
        <f>HYPERLINK("https://www.tpchd.org/healthy-people/diseases/covid-19-pierce-county-cases","Source")</f>
        <v>Source</v>
      </c>
    </row>
    <row r="30">
      <c r="A30" s="171" t="s">
        <v>20</v>
      </c>
      <c r="B30" s="172"/>
      <c r="C30" s="171"/>
      <c r="D30" s="171"/>
      <c r="F30" s="156" t="s">
        <v>285</v>
      </c>
      <c r="G30" s="151">
        <v>13.0</v>
      </c>
      <c r="H30" s="151">
        <v>0.0</v>
      </c>
      <c r="I30" s="152"/>
      <c r="J30" s="153"/>
      <c r="K30" s="153"/>
    </row>
    <row r="31">
      <c r="A31" s="171" t="s">
        <v>35</v>
      </c>
      <c r="B31" s="172"/>
      <c r="C31" s="171"/>
      <c r="D31" s="171"/>
      <c r="F31" s="156" t="s">
        <v>286</v>
      </c>
      <c r="G31" s="151">
        <v>207.0</v>
      </c>
      <c r="H31" s="151">
        <v>6.0</v>
      </c>
      <c r="I31" s="152"/>
      <c r="J31" s="153"/>
      <c r="K31" s="153"/>
    </row>
    <row r="32">
      <c r="A32" s="171" t="s">
        <v>46</v>
      </c>
      <c r="B32" s="172"/>
      <c r="C32" s="171"/>
      <c r="D32" s="171"/>
      <c r="F32" s="156" t="s">
        <v>288</v>
      </c>
      <c r="G32" s="151">
        <v>3.0</v>
      </c>
      <c r="H32" s="151">
        <v>0.0</v>
      </c>
      <c r="I32" s="152"/>
      <c r="J32" s="153"/>
      <c r="K32" s="153"/>
    </row>
    <row r="33">
      <c r="A33" s="171" t="s">
        <v>25</v>
      </c>
      <c r="B33" s="172"/>
      <c r="C33" s="171"/>
      <c r="D33" s="171"/>
      <c r="E33" s="175"/>
      <c r="F33" s="149" t="s">
        <v>289</v>
      </c>
      <c r="G33" s="150">
        <v>2124.0</v>
      </c>
      <c r="H33" s="150">
        <v>81.0</v>
      </c>
      <c r="I33" s="150">
        <v>1362.0</v>
      </c>
      <c r="J33" s="153" t="str">
        <f>HYPERLINK("https://www.snohd.org/499/COVID-19-Case-Count-Info","Source")</f>
        <v>Source</v>
      </c>
      <c r="K33" s="144"/>
    </row>
    <row r="34">
      <c r="A34" s="171" t="s">
        <v>32</v>
      </c>
      <c r="B34" s="171"/>
      <c r="C34" s="171"/>
      <c r="D34" s="171"/>
      <c r="E34" s="175"/>
      <c r="F34" s="149" t="s">
        <v>290</v>
      </c>
      <c r="G34" s="150">
        <v>286.0</v>
      </c>
      <c r="H34" s="151">
        <v>17.0</v>
      </c>
      <c r="I34" s="152" t="s">
        <v>26</v>
      </c>
      <c r="J34" s="153" t="str">
        <f>HYPERLINK("https://srhd.org/covid19","Source")</f>
        <v>Source</v>
      </c>
      <c r="K34" s="152"/>
    </row>
    <row r="35">
      <c r="A35" s="171" t="s">
        <v>42</v>
      </c>
      <c r="B35" s="171"/>
      <c r="C35" s="171"/>
      <c r="D35" s="171"/>
      <c r="F35" s="156" t="s">
        <v>291</v>
      </c>
      <c r="G35" s="151">
        <v>7.0</v>
      </c>
      <c r="H35" s="151">
        <v>1.0</v>
      </c>
      <c r="I35" s="152"/>
      <c r="J35" s="153"/>
      <c r="K35" s="166"/>
    </row>
    <row r="36">
      <c r="A36" s="171" t="s">
        <v>292</v>
      </c>
      <c r="B36" s="176" t="s">
        <v>293</v>
      </c>
      <c r="C36" s="171"/>
      <c r="D36" s="171"/>
      <c r="F36" s="156" t="s">
        <v>294</v>
      </c>
      <c r="G36" s="151">
        <v>82.0</v>
      </c>
      <c r="H36" s="151">
        <v>1.0</v>
      </c>
      <c r="I36" s="152"/>
      <c r="J36" s="153"/>
      <c r="K36" s="166"/>
    </row>
    <row r="37">
      <c r="A37" s="171"/>
      <c r="B37" s="171"/>
      <c r="F37" s="156" t="s">
        <v>295</v>
      </c>
      <c r="G37" s="151">
        <v>2.0</v>
      </c>
      <c r="H37" s="151">
        <v>0.0</v>
      </c>
      <c r="I37" s="152"/>
      <c r="J37" s="153"/>
      <c r="K37" s="166"/>
    </row>
    <row r="38">
      <c r="A38" s="171"/>
      <c r="B38" s="171"/>
      <c r="F38" s="156" t="s">
        <v>296</v>
      </c>
      <c r="G38" s="151">
        <v>24.0</v>
      </c>
      <c r="H38" s="151">
        <v>0.0</v>
      </c>
      <c r="I38" s="152"/>
      <c r="J38" s="153"/>
      <c r="K38" s="166"/>
    </row>
    <row r="39">
      <c r="E39" s="175"/>
      <c r="F39" s="149" t="s">
        <v>297</v>
      </c>
      <c r="G39" s="151">
        <v>269.0</v>
      </c>
      <c r="H39" s="151">
        <v>25.0</v>
      </c>
      <c r="I39" s="152" t="s">
        <v>26</v>
      </c>
      <c r="J39" s="153" t="str">
        <f>HYPERLINK("https://www.whatcomcounty.us/3329/Novel-Coronavirus-COVID-19#case","Source")</f>
        <v>Source</v>
      </c>
      <c r="K39" s="166"/>
    </row>
    <row r="40">
      <c r="A40" s="178" t="s">
        <v>16</v>
      </c>
      <c r="B40" s="179" t="s">
        <v>7</v>
      </c>
      <c r="C40" s="179" t="s">
        <v>9</v>
      </c>
      <c r="F40" s="156" t="s">
        <v>299</v>
      </c>
      <c r="G40" s="151">
        <v>11.0</v>
      </c>
      <c r="H40" s="151">
        <v>0.0</v>
      </c>
      <c r="I40" s="152"/>
      <c r="J40" s="153"/>
      <c r="K40" s="166"/>
    </row>
    <row r="41">
      <c r="A41" s="180" t="s">
        <v>300</v>
      </c>
      <c r="B41" s="181">
        <v>25932.0</v>
      </c>
      <c r="C41" s="181">
        <v>1706.0</v>
      </c>
      <c r="E41" s="175"/>
      <c r="F41" s="149" t="s">
        <v>301</v>
      </c>
      <c r="G41" s="151">
        <v>674.0</v>
      </c>
      <c r="H41" s="151">
        <v>29.0</v>
      </c>
      <c r="I41" s="152" t="s">
        <v>26</v>
      </c>
      <c r="J41" s="153" t="str">
        <f>HYPERLINK("https://www.yakimacounty.us/2323/COVID-19","Source")</f>
        <v>Source</v>
      </c>
      <c r="K41" s="183"/>
    </row>
    <row r="42">
      <c r="A42" s="180" t="s">
        <v>303</v>
      </c>
      <c r="B42" s="181">
        <v>33521.0</v>
      </c>
      <c r="C42" s="181">
        <v>2586.0</v>
      </c>
      <c r="F42" s="156" t="s">
        <v>304</v>
      </c>
      <c r="G42" s="150">
        <v>280.0</v>
      </c>
      <c r="H42" s="151">
        <v>0.0</v>
      </c>
      <c r="I42" s="152" t="s">
        <v>26</v>
      </c>
      <c r="J42" s="153" t="str">
        <f>HYPERLINK("https://www.doh.wa.gov/Emergencies/Coronavirus","Source")</f>
        <v>Source</v>
      </c>
      <c r="K42" s="166"/>
    </row>
    <row r="43">
      <c r="A43" s="180" t="s">
        <v>305</v>
      </c>
      <c r="B43" s="181">
        <v>17091.0</v>
      </c>
      <c r="C43" s="181">
        <v>1628.0</v>
      </c>
      <c r="F43" s="149" t="s">
        <v>306</v>
      </c>
      <c r="G43" s="184">
        <f t="shared" ref="G43:I43" si="1">SUM(G3:G42)</f>
        <v>11235</v>
      </c>
      <c r="H43" s="184">
        <f t="shared" si="1"/>
        <v>571</v>
      </c>
      <c r="I43" s="184">
        <f t="shared" si="1"/>
        <v>1401</v>
      </c>
      <c r="J43" s="152"/>
      <c r="K43" s="152"/>
    </row>
    <row r="44">
      <c r="A44" s="180" t="s">
        <v>308</v>
      </c>
      <c r="B44" s="181">
        <v>37918.0</v>
      </c>
      <c r="C44" s="181">
        <v>2306.0</v>
      </c>
      <c r="F44" s="149"/>
      <c r="G44" s="184"/>
      <c r="H44" s="184"/>
      <c r="I44" s="185"/>
      <c r="J44" s="152"/>
      <c r="K44" s="152"/>
    </row>
    <row r="45">
      <c r="A45" s="180" t="s">
        <v>309</v>
      </c>
      <c r="B45" s="181">
        <v>8684.0</v>
      </c>
      <c r="C45" s="186">
        <v>406.0</v>
      </c>
      <c r="F45" s="149"/>
      <c r="G45" s="184"/>
      <c r="H45" s="184"/>
      <c r="I45" s="185"/>
      <c r="J45" s="152"/>
      <c r="K45" s="152"/>
    </row>
    <row r="46">
      <c r="A46" s="187" t="s">
        <v>310</v>
      </c>
      <c r="B46" s="188">
        <f t="shared" ref="B46:C46" si="2">SUM(B41:B45)</f>
        <v>123146</v>
      </c>
      <c r="C46" s="188">
        <f t="shared" si="2"/>
        <v>8632</v>
      </c>
      <c r="F46" s="149"/>
      <c r="G46" s="184"/>
      <c r="H46" s="184"/>
      <c r="I46" s="185"/>
      <c r="J46" s="152"/>
      <c r="K46" s="152"/>
    </row>
    <row r="47">
      <c r="A47" s="189" t="s">
        <v>312</v>
      </c>
      <c r="B47" s="190">
        <v>3914.0</v>
      </c>
      <c r="C47" s="190">
        <v>3914.0</v>
      </c>
      <c r="F47" s="149"/>
      <c r="G47" s="184"/>
      <c r="H47" s="184"/>
      <c r="I47" s="185"/>
      <c r="J47" s="152"/>
      <c r="K47" s="152"/>
    </row>
    <row r="48">
      <c r="A48" s="180" t="s">
        <v>313</v>
      </c>
      <c r="B48" s="181">
        <v>99138.0</v>
      </c>
      <c r="C48" s="181">
        <v>3560.0</v>
      </c>
      <c r="F48" s="149"/>
      <c r="G48" s="184"/>
      <c r="H48" s="184"/>
      <c r="I48" s="185"/>
      <c r="J48" s="152"/>
      <c r="K48" s="152"/>
    </row>
    <row r="49">
      <c r="A49" s="187" t="s">
        <v>314</v>
      </c>
      <c r="B49" s="191">
        <f t="shared" ref="B49:C49" si="3">SUM(B46:B48)</f>
        <v>226198</v>
      </c>
      <c r="C49" s="191">
        <f t="shared" si="3"/>
        <v>16106</v>
      </c>
      <c r="F49" s="149"/>
      <c r="G49" s="184"/>
      <c r="H49" s="184"/>
      <c r="I49" s="185"/>
      <c r="J49" s="152"/>
      <c r="K49" s="152"/>
    </row>
    <row r="50">
      <c r="B50" s="192"/>
      <c r="C50" s="192"/>
      <c r="F50" s="149"/>
      <c r="G50" s="184"/>
      <c r="H50" s="184"/>
      <c r="I50" s="185"/>
      <c r="J50" s="152"/>
      <c r="K50" s="152"/>
    </row>
    <row r="51">
      <c r="B51" s="181"/>
      <c r="C51" s="181"/>
      <c r="F51" s="149"/>
      <c r="G51" s="184"/>
      <c r="H51" s="184"/>
      <c r="I51" s="185"/>
      <c r="J51" s="152"/>
      <c r="K51" s="152"/>
    </row>
    <row r="52">
      <c r="B52" s="192"/>
      <c r="C52" s="192"/>
      <c r="F52" s="149"/>
      <c r="G52" s="184"/>
      <c r="H52" s="184"/>
      <c r="I52" s="185"/>
      <c r="J52" s="152"/>
      <c r="K52" s="152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2" t="s">
        <v>327</v>
      </c>
      <c r="F1" s="9"/>
      <c r="G1" s="9"/>
      <c r="H1" s="9"/>
    </row>
    <row r="2">
      <c r="A2" s="3" t="s">
        <v>328</v>
      </c>
      <c r="B2" s="3" t="s">
        <v>329</v>
      </c>
      <c r="D2" s="5" t="s">
        <v>330</v>
      </c>
      <c r="E2" s="6"/>
      <c r="F2" s="9"/>
      <c r="G2" s="9"/>
      <c r="H2" s="9"/>
    </row>
    <row r="3">
      <c r="A3" s="12">
        <f t="shared" ref="A3:B3" si="1">SUM(B24, B25)</f>
        <v>3196</v>
      </c>
      <c r="B3" s="12">
        <f t="shared" si="1"/>
        <v>33</v>
      </c>
      <c r="D3" s="14">
        <f>SUM(E24, E25)</f>
        <v>9</v>
      </c>
      <c r="E3" s="6"/>
      <c r="F3" s="9"/>
      <c r="G3" s="9"/>
      <c r="H3" s="9"/>
    </row>
    <row r="4">
      <c r="A4" s="17"/>
      <c r="B4" s="8"/>
      <c r="C4" s="8"/>
      <c r="D4" s="6"/>
      <c r="E4" s="6"/>
      <c r="F4" s="9"/>
      <c r="G4" s="9"/>
      <c r="H4" s="9"/>
    </row>
    <row r="5" ht="30.0" customHeight="1">
      <c r="A5" s="121" t="s">
        <v>333</v>
      </c>
      <c r="B5" s="123" t="s">
        <v>334</v>
      </c>
      <c r="C5" s="123" t="s">
        <v>335</v>
      </c>
      <c r="D5" s="125" t="s">
        <v>336</v>
      </c>
      <c r="E5" s="125" t="s">
        <v>337</v>
      </c>
      <c r="F5" s="29"/>
      <c r="G5" s="29"/>
      <c r="H5" s="29"/>
    </row>
    <row r="6" ht="30.0" customHeight="1">
      <c r="A6" s="77" t="s">
        <v>338</v>
      </c>
      <c r="B6" s="78">
        <v>977.0</v>
      </c>
      <c r="C6" s="79">
        <v>11.0</v>
      </c>
      <c r="D6" s="80"/>
      <c r="E6" s="80">
        <v>1.0</v>
      </c>
      <c r="F6" s="29"/>
      <c r="G6" s="29"/>
      <c r="H6" s="29"/>
    </row>
    <row r="7" ht="30.0" customHeight="1">
      <c r="A7" s="77" t="s">
        <v>81</v>
      </c>
      <c r="B7" s="78">
        <v>434.0</v>
      </c>
      <c r="C7" s="79">
        <v>0.0</v>
      </c>
      <c r="D7" s="80"/>
      <c r="E7" s="193"/>
      <c r="F7" s="29"/>
      <c r="G7" s="29"/>
      <c r="H7" s="29"/>
    </row>
    <row r="8" ht="30.0" customHeight="1">
      <c r="A8" s="77" t="s">
        <v>85</v>
      </c>
      <c r="B8" s="78">
        <v>426.0</v>
      </c>
      <c r="C8" s="78">
        <v>7.0</v>
      </c>
      <c r="D8" s="128">
        <v>6.0</v>
      </c>
      <c r="E8" s="80">
        <v>3.0</v>
      </c>
      <c r="F8" s="29"/>
      <c r="G8" s="29"/>
      <c r="H8" s="29"/>
    </row>
    <row r="9" ht="30.0" customHeight="1">
      <c r="A9" s="77" t="s">
        <v>74</v>
      </c>
      <c r="B9" s="78">
        <v>263.0</v>
      </c>
      <c r="C9" s="79">
        <v>3.0</v>
      </c>
      <c r="D9" s="80">
        <v>16.0</v>
      </c>
      <c r="E9" s="80">
        <v>2.0</v>
      </c>
      <c r="F9" s="29"/>
      <c r="G9" s="29"/>
      <c r="H9" s="29"/>
    </row>
    <row r="10" ht="30.0" customHeight="1">
      <c r="A10" s="77" t="s">
        <v>340</v>
      </c>
      <c r="B10" s="78">
        <v>203.0</v>
      </c>
      <c r="C10" s="79">
        <v>2.0</v>
      </c>
      <c r="D10" s="80">
        <v>3.0</v>
      </c>
      <c r="E10" s="80">
        <v>3.0</v>
      </c>
      <c r="F10" s="29"/>
      <c r="G10" s="29"/>
      <c r="H10" s="29"/>
    </row>
    <row r="11" ht="30.0" customHeight="1">
      <c r="A11" s="77" t="s">
        <v>341</v>
      </c>
      <c r="B11" s="78">
        <v>200.0</v>
      </c>
      <c r="C11" s="79">
        <v>1.0</v>
      </c>
      <c r="D11" s="80">
        <v>8.0</v>
      </c>
      <c r="E11" s="193"/>
      <c r="F11" s="29"/>
      <c r="G11" s="29"/>
      <c r="H11" s="29"/>
    </row>
    <row r="12" ht="30.0" customHeight="1">
      <c r="A12" s="77" t="s">
        <v>157</v>
      </c>
      <c r="B12" s="78">
        <v>158.0</v>
      </c>
      <c r="C12" s="79">
        <v>3.0</v>
      </c>
      <c r="D12" s="80"/>
      <c r="E12" s="193"/>
      <c r="F12" s="29"/>
      <c r="G12" s="29"/>
      <c r="H12" s="29"/>
    </row>
    <row r="13" ht="30.0" customHeight="1">
      <c r="A13" s="77" t="s">
        <v>146</v>
      </c>
      <c r="B13" s="78">
        <v>158.0</v>
      </c>
      <c r="C13" s="79">
        <v>0.0</v>
      </c>
      <c r="D13" s="80"/>
      <c r="E13" s="193"/>
      <c r="F13" s="29"/>
      <c r="G13" s="29"/>
      <c r="H13" s="29"/>
    </row>
    <row r="14" ht="30.0" customHeight="1">
      <c r="A14" s="77" t="s">
        <v>281</v>
      </c>
      <c r="B14" s="78">
        <v>113.0</v>
      </c>
      <c r="C14" s="79">
        <v>2.0</v>
      </c>
      <c r="D14" s="80"/>
      <c r="E14" s="193"/>
      <c r="F14" s="29"/>
      <c r="G14" s="29"/>
      <c r="H14" s="29"/>
    </row>
    <row r="15" ht="30.0" customHeight="1">
      <c r="A15" s="77" t="s">
        <v>315</v>
      </c>
      <c r="B15" s="78">
        <v>110.0</v>
      </c>
      <c r="C15" s="79"/>
      <c r="D15" s="80"/>
      <c r="E15" s="193"/>
      <c r="F15" s="29"/>
      <c r="G15" s="29"/>
      <c r="H15" s="29"/>
    </row>
    <row r="16" ht="30.0" customHeight="1">
      <c r="A16" s="77" t="s">
        <v>343</v>
      </c>
      <c r="B16" s="78">
        <v>72.0</v>
      </c>
      <c r="C16" s="79">
        <v>2.0</v>
      </c>
      <c r="D16" s="80"/>
      <c r="E16" s="193"/>
      <c r="F16" s="29"/>
      <c r="G16" s="29"/>
      <c r="H16" s="29"/>
    </row>
    <row r="17" ht="30.0" customHeight="1">
      <c r="A17" s="77" t="s">
        <v>322</v>
      </c>
      <c r="B17" s="78">
        <v>24.0</v>
      </c>
      <c r="C17" s="79">
        <v>0.0</v>
      </c>
      <c r="D17" s="80"/>
      <c r="E17" s="193"/>
      <c r="F17" s="29"/>
      <c r="G17" s="29"/>
      <c r="H17" s="29"/>
    </row>
    <row r="18" ht="30.0" customHeight="1">
      <c r="A18" s="77" t="s">
        <v>236</v>
      </c>
      <c r="B18" s="78">
        <v>21.0</v>
      </c>
      <c r="C18" s="79">
        <v>1.0</v>
      </c>
      <c r="D18" s="80"/>
      <c r="E18" s="193"/>
      <c r="F18" s="29"/>
      <c r="G18" s="29"/>
      <c r="H18" s="29"/>
    </row>
    <row r="19" ht="30.0" customHeight="1">
      <c r="A19" s="77" t="s">
        <v>319</v>
      </c>
      <c r="B19" s="78">
        <v>19.0</v>
      </c>
      <c r="C19" s="79">
        <v>0.0</v>
      </c>
      <c r="D19" s="80"/>
      <c r="E19" s="193"/>
      <c r="F19" s="29"/>
      <c r="G19" s="29"/>
      <c r="H19" s="29"/>
    </row>
    <row r="20" ht="30.0" customHeight="1">
      <c r="A20" s="77" t="s">
        <v>345</v>
      </c>
      <c r="B20" s="78">
        <v>18.0</v>
      </c>
      <c r="C20" s="79">
        <v>1.0</v>
      </c>
      <c r="D20" s="80"/>
      <c r="E20" s="193"/>
      <c r="F20" s="29"/>
      <c r="G20" s="29"/>
      <c r="H20" s="29"/>
    </row>
    <row r="21" ht="30.0" customHeight="1">
      <c r="A21" s="77" t="s">
        <v>346</v>
      </c>
      <c r="B21" s="78">
        <v>13.0</v>
      </c>
      <c r="C21" s="79">
        <v>1.0</v>
      </c>
      <c r="D21" s="80"/>
      <c r="E21" s="193"/>
      <c r="F21" s="29"/>
      <c r="G21" s="29"/>
      <c r="H21" s="29"/>
    </row>
    <row r="22" ht="30.0" customHeight="1">
      <c r="A22" s="77" t="s">
        <v>347</v>
      </c>
      <c r="B22" s="78">
        <v>3.0</v>
      </c>
      <c r="C22" s="79"/>
      <c r="D22" s="80"/>
      <c r="E22" s="193"/>
      <c r="F22" s="29"/>
      <c r="G22" s="29"/>
      <c r="H22" s="29"/>
    </row>
    <row r="23" ht="30.0" customHeight="1">
      <c r="A23" s="77" t="s">
        <v>349</v>
      </c>
      <c r="B23" s="78">
        <v>2.0</v>
      </c>
      <c r="C23" s="79"/>
      <c r="D23" s="80"/>
      <c r="E23" s="193"/>
      <c r="F23" s="29"/>
      <c r="G23" s="29"/>
      <c r="H23" s="29"/>
    </row>
    <row r="24" ht="30.0" customHeight="1">
      <c r="A24" s="86" t="s">
        <v>59</v>
      </c>
      <c r="B24" s="159">
        <f t="shared" ref="B24:C24" si="2">SUM(B6:B20)</f>
        <v>3196</v>
      </c>
      <c r="C24" s="159">
        <f t="shared" si="2"/>
        <v>33</v>
      </c>
      <c r="D24" s="159">
        <f t="shared" ref="D24:E24" si="3">SUM(D6:D16)</f>
        <v>33</v>
      </c>
      <c r="E24" s="159">
        <f t="shared" si="3"/>
        <v>9</v>
      </c>
      <c r="F24" s="29"/>
      <c r="G24" s="29"/>
      <c r="H24" s="29"/>
    </row>
    <row r="25">
      <c r="A25" s="93"/>
      <c r="B25" s="10"/>
      <c r="C25" s="10"/>
      <c r="D25" s="10"/>
      <c r="E25" s="10"/>
      <c r="F25" s="9"/>
      <c r="G25" s="9"/>
      <c r="H25" s="9"/>
    </row>
    <row r="26">
      <c r="A26" s="90"/>
      <c r="B26" s="92"/>
      <c r="C26" s="10"/>
      <c r="D26" s="10"/>
      <c r="E26" s="10"/>
      <c r="F26" s="9"/>
      <c r="G26" s="9"/>
      <c r="H26" s="9"/>
    </row>
    <row r="27">
      <c r="A27" s="93"/>
      <c r="B27" s="10"/>
      <c r="C27" s="10"/>
      <c r="D27" s="10"/>
      <c r="E27" s="10"/>
      <c r="F27" s="9"/>
      <c r="G27" s="9"/>
      <c r="H27" s="9"/>
    </row>
    <row r="28">
      <c r="A28" s="93"/>
      <c r="B28" s="10"/>
      <c r="C28" s="10"/>
      <c r="D28" s="10"/>
      <c r="E28" s="10"/>
      <c r="F28" s="9"/>
      <c r="G28" s="9"/>
      <c r="H28" s="9"/>
    </row>
  </sheetData>
  <mergeCells count="3">
    <mergeCell ref="A1:E1"/>
    <mergeCell ref="B2:C2"/>
    <mergeCell ref="B3:C3"/>
  </mergeCells>
  <drawing r:id="rId1"/>
  <tableParts count="1">
    <tablePart r:id="rId3"/>
  </tableParts>
</worksheet>
</file>