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OLD STATE TOTAL:
4,896 cases / 195 deaths
--
NEW: 
SNOHOMISH COUNTY - 1,229 cases / 33 dead (+ 161 cases / +12 dead)
Tacoma-Pierce - 377 cases, 6 deaths (+89 cases)
Whatcom - 139 cases / 7 dead (+28 cases / +3 dead)
Yakima County - 202 cases / 3 dead (+107 cases - +1 dead)
Grant - 69 cases, 1 dead (+19 cases)
King - 2,496, 164 deaths (+335 cases, +20 deaths)</t>
      </text>
    </comment>
    <comment authorId="0" ref="L15">
      <text>
        <t xml:space="preserve">OLD STATE TOTAL:
4,896 cases / 195 deaths
--
NEW: 
SNOHOMISH COUNTY - 1,229 cases / 33 dead (+ 161 cases / +12 dead)
Tacoma-Pierce - 377 cases, 6 deaths (+89 cases)
Whatcom - 139 cases / 7 dead (+28 cases / +3 dead)
Yakima County - 202 cases / 3 dead (+107 cases - +1 dead)
Grant - 69 cases, 1 dead (+19 cases)
King - 2,496, 164 deaths (+335 cases, +20 deaths)</t>
      </text>
    </comment>
  </commentList>
</comments>
</file>

<file path=xl/sharedStrings.xml><?xml version="1.0" encoding="utf-8"?>
<sst xmlns="http://schemas.openxmlformats.org/spreadsheetml/2006/main" count="744" uniqueCount="341">
  <si>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</si>
  <si>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</si>
  <si>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</si>
  <si>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</si>
  <si>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</si>
  <si>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</si>
  <si>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</si>
  <si>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</si>
  <si>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New cases</t>
  </si>
  <si>
    <t>Deaths</t>
  </si>
  <si>
    <t>WORLD</t>
  </si>
  <si>
    <t>New deaths</t>
  </si>
  <si>
    <t>Death rate</t>
  </si>
  <si>
    <t>Serious &amp; Critical</t>
  </si>
  <si>
    <t>Recovered</t>
  </si>
  <si>
    <t>Links</t>
  </si>
  <si>
    <t>New York</t>
  </si>
  <si>
    <t>New South Wales</t>
  </si>
  <si>
    <t>United States</t>
  </si>
  <si>
    <t>Victoria</t>
  </si>
  <si>
    <t>New Jersey</t>
  </si>
  <si>
    <t>Italy</t>
  </si>
  <si>
    <t>N/A</t>
  </si>
  <si>
    <t>Queensland</t>
  </si>
  <si>
    <t>Spain</t>
  </si>
  <si>
    <t>California</t>
  </si>
  <si>
    <t>Germany</t>
  </si>
  <si>
    <t>Frequent</t>
  </si>
  <si>
    <t>Michigan</t>
  </si>
  <si>
    <t>Western Australia</t>
  </si>
  <si>
    <t>China</t>
  </si>
  <si>
    <t>Louisiana</t>
  </si>
  <si>
    <t>South Australia</t>
  </si>
  <si>
    <t>Florida</t>
  </si>
  <si>
    <t>Daily</t>
  </si>
  <si>
    <t>Canberra (ACT)</t>
  </si>
  <si>
    <t>France</t>
  </si>
  <si>
    <t>Massachusetts</t>
  </si>
  <si>
    <t>Illinois</t>
  </si>
  <si>
    <t>Iran</t>
  </si>
  <si>
    <t>Tasmania</t>
  </si>
  <si>
    <t>Pennsylvania</t>
  </si>
  <si>
    <t>United Kingdom</t>
  </si>
  <si>
    <t>Northern Territory</t>
  </si>
  <si>
    <t>Washington</t>
  </si>
  <si>
    <t>Switzerland</t>
  </si>
  <si>
    <t>External territories</t>
  </si>
  <si>
    <t>Turkey</t>
  </si>
  <si>
    <t>Georgia</t>
  </si>
  <si>
    <t>-</t>
  </si>
  <si>
    <t>Several</t>
  </si>
  <si>
    <t>Belgium</t>
  </si>
  <si>
    <t>Texas</t>
  </si>
  <si>
    <t>Jervis Bay</t>
  </si>
  <si>
    <t>Netherlands</t>
  </si>
  <si>
    <t>Connecticut</t>
  </si>
  <si>
    <t>Canada</t>
  </si>
  <si>
    <t>Colorado</t>
  </si>
  <si>
    <t>Austria</t>
  </si>
  <si>
    <t>Indiana</t>
  </si>
  <si>
    <t>TOTAL</t>
  </si>
  <si>
    <t>Throughout</t>
  </si>
  <si>
    <t>South Korea</t>
  </si>
  <si>
    <t>Ohio</t>
  </si>
  <si>
    <t>Portugal</t>
  </si>
  <si>
    <t>Tennessee</t>
  </si>
  <si>
    <t>Brazil</t>
  </si>
  <si>
    <t>Maryland</t>
  </si>
  <si>
    <t>Israel</t>
  </si>
  <si>
    <t>North Carolina</t>
  </si>
  <si>
    <t>Sweden</t>
  </si>
  <si>
    <t>Australia</t>
  </si>
  <si>
    <t>Missouri</t>
  </si>
  <si>
    <t>Wisconsin</t>
  </si>
  <si>
    <t>Norway</t>
  </si>
  <si>
    <t>Ireland</t>
  </si>
  <si>
    <t>Virginia</t>
  </si>
  <si>
    <t>Czech Republic</t>
  </si>
  <si>
    <t>Numerous</t>
  </si>
  <si>
    <t>Russia</t>
  </si>
  <si>
    <t>Arizona</t>
  </si>
  <si>
    <t>South Carolina</t>
  </si>
  <si>
    <t>Chile</t>
  </si>
  <si>
    <t>Nevada</t>
  </si>
  <si>
    <t>Denmark</t>
  </si>
  <si>
    <t>Alabama</t>
  </si>
  <si>
    <t>Ecuador</t>
  </si>
  <si>
    <t>Mississippi</t>
  </si>
  <si>
    <t>Malaysia</t>
  </si>
  <si>
    <t>Utah</t>
  </si>
  <si>
    <t>CANADA</t>
  </si>
  <si>
    <t>Idaho</t>
  </si>
  <si>
    <t>Poland</t>
  </si>
  <si>
    <t>Quebec</t>
  </si>
  <si>
    <t>Oklahoma</t>
  </si>
  <si>
    <t>Romania</t>
  </si>
  <si>
    <t>Oregon</t>
  </si>
  <si>
    <t>Daily + deaths</t>
  </si>
  <si>
    <t>Philippines</t>
  </si>
  <si>
    <t>Kentucky</t>
  </si>
  <si>
    <t>Ontario</t>
  </si>
  <si>
    <t>Minnesota</t>
  </si>
  <si>
    <t>Japan</t>
  </si>
  <si>
    <t>Rhode Island</t>
  </si>
  <si>
    <t>British Columbia</t>
  </si>
  <si>
    <t>India</t>
  </si>
  <si>
    <t>District of Columbia</t>
  </si>
  <si>
    <t>Alberta</t>
  </si>
  <si>
    <t>Luxembourg</t>
  </si>
  <si>
    <t>Arkansas</t>
  </si>
  <si>
    <t>3 times/day</t>
  </si>
  <si>
    <t>Pakistan</t>
  </si>
  <si>
    <t>Iowa</t>
  </si>
  <si>
    <t>Saskatchewan</t>
  </si>
  <si>
    <t>Any time</t>
  </si>
  <si>
    <t>Kansas</t>
  </si>
  <si>
    <t>Saudi Arabia</t>
  </si>
  <si>
    <t>Newfoundland &amp; Labrador</t>
  </si>
  <si>
    <t>New Hampshire</t>
  </si>
  <si>
    <t>Thailand</t>
  </si>
  <si>
    <t>New Mexico</t>
  </si>
  <si>
    <t>Indonesia</t>
  </si>
  <si>
    <t>Delaware</t>
  </si>
  <si>
    <t>Nova Scotia</t>
  </si>
  <si>
    <t>Finland</t>
  </si>
  <si>
    <t>Maine</t>
  </si>
  <si>
    <t>Greece</t>
  </si>
  <si>
    <t>Manitoba</t>
  </si>
  <si>
    <t>Vermont</t>
  </si>
  <si>
    <t>Puerto Rico</t>
  </si>
  <si>
    <t>South Africa</t>
  </si>
  <si>
    <t>New Brunswick</t>
  </si>
  <si>
    <t>Hawaii</t>
  </si>
  <si>
    <t>Peru</t>
  </si>
  <si>
    <t>Nebraska</t>
  </si>
  <si>
    <t>Prince Edward Island</t>
  </si>
  <si>
    <t>Mexico</t>
  </si>
  <si>
    <t>Montana</t>
  </si>
  <si>
    <t>Dominican Republic</t>
  </si>
  <si>
    <t>Twice a day</t>
  </si>
  <si>
    <t>West Virginia</t>
  </si>
  <si>
    <t>Repatriated travellers</t>
  </si>
  <si>
    <t>South Dakota</t>
  </si>
  <si>
    <t>Iceland</t>
  </si>
  <si>
    <t>Yukon</t>
  </si>
  <si>
    <t>North Dakota</t>
  </si>
  <si>
    <t>Wyoming</t>
  </si>
  <si>
    <t>Panama</t>
  </si>
  <si>
    <t>Northwest Territories</t>
  </si>
  <si>
    <t>Alaska</t>
  </si>
  <si>
    <t>Argentina</t>
  </si>
  <si>
    <t>Guam</t>
  </si>
  <si>
    <t>Nunavut</t>
  </si>
  <si>
    <t>Serbia</t>
  </si>
  <si>
    <t>Diamond Princess (repatriated)</t>
  </si>
  <si>
    <t>U.S. Virgin Islands</t>
  </si>
  <si>
    <t>Colombia</t>
  </si>
  <si>
    <t>Grand Princess</t>
  </si>
  <si>
    <t>Singapore</t>
  </si>
  <si>
    <t>Northern Mariana Islands</t>
  </si>
  <si>
    <t>United Arab Emirates</t>
  </si>
  <si>
    <t>Wuhan (repatriated)</t>
  </si>
  <si>
    <t>Croatia</t>
  </si>
  <si>
    <t>American Samoa</t>
  </si>
  <si>
    <t>Algeria</t>
  </si>
  <si>
    <t>TBD</t>
  </si>
  <si>
    <t>Qatar</t>
  </si>
  <si>
    <t>U.S. TOTAL</t>
  </si>
  <si>
    <t>Slovenia</t>
  </si>
  <si>
    <t>Ukraine</t>
  </si>
  <si>
    <t>2 times/day</t>
  </si>
  <si>
    <t>Egypt</t>
  </si>
  <si>
    <t>ACTIVE CASES</t>
  </si>
  <si>
    <t>% of deaths</t>
  </si>
  <si>
    <t>Estonia</t>
  </si>
  <si>
    <t>Hong Kong</t>
  </si>
  <si>
    <t>New Zealand</t>
  </si>
  <si>
    <t>MAINLAND CHINA</t>
  </si>
  <si>
    <t>Iraq</t>
  </si>
  <si>
    <t>A Marzo 21</t>
  </si>
  <si>
    <t>CASOS</t>
  </si>
  <si>
    <t>MUERTES</t>
  </si>
  <si>
    <t>RECUPERADOS</t>
  </si>
  <si>
    <t>Serious</t>
  </si>
  <si>
    <t>Critical</t>
  </si>
  <si>
    <t>Mundo Hispano</t>
  </si>
  <si>
    <t>Casos</t>
  </si>
  <si>
    <t>Muertes</t>
  </si>
  <si>
    <t>Serios</t>
  </si>
  <si>
    <t>Recuperados</t>
  </si>
  <si>
    <t>Brasil</t>
  </si>
  <si>
    <t>Diamond Princess</t>
  </si>
  <si>
    <t>Hubei province (includes Wuhan)</t>
  </si>
  <si>
    <t>Morocco</t>
  </si>
  <si>
    <t>México</t>
  </si>
  <si>
    <t>At least 3</t>
  </si>
  <si>
    <t>Panamá</t>
  </si>
  <si>
    <t>Armenia</t>
  </si>
  <si>
    <t>Costa Rica</t>
  </si>
  <si>
    <t>Uruguay</t>
  </si>
  <si>
    <t>Guangdong province</t>
  </si>
  <si>
    <t>Rep. Dominicana</t>
  </si>
  <si>
    <t>Honduras</t>
  </si>
  <si>
    <t>Cuba</t>
  </si>
  <si>
    <t>Bolivia</t>
  </si>
  <si>
    <t>Paraguay</t>
  </si>
  <si>
    <t>Lithuania</t>
  </si>
  <si>
    <t>Guatemala</t>
  </si>
  <si>
    <t>El Salvador</t>
  </si>
  <si>
    <t>Nicaragua</t>
  </si>
  <si>
    <t>Bahrain</t>
  </si>
  <si>
    <t>Henan province</t>
  </si>
  <si>
    <t>Hungary</t>
  </si>
  <si>
    <t>Zhejiang province</t>
  </si>
  <si>
    <t>Bosnia</t>
  </si>
  <si>
    <t>Hunan province</t>
  </si>
  <si>
    <t>Beijing</t>
  </si>
  <si>
    <t>Moldova</t>
  </si>
  <si>
    <t>Shanghai</t>
  </si>
  <si>
    <t>Lebanon</t>
  </si>
  <si>
    <t>Other regions/TBD</t>
  </si>
  <si>
    <t>&lt;20</t>
  </si>
  <si>
    <t>Latvia</t>
  </si>
  <si>
    <t>Asymptomatic</t>
  </si>
  <si>
    <t>Bulgaria</t>
  </si>
  <si>
    <t>Tunisia</t>
  </si>
  <si>
    <t>Andorra</t>
  </si>
  <si>
    <t>Slovakia</t>
  </si>
  <si>
    <t>Kazakhstan</t>
  </si>
  <si>
    <t>North Macedonia</t>
  </si>
  <si>
    <t>Taiwan</t>
  </si>
  <si>
    <t>Cyprus</t>
  </si>
  <si>
    <t>Kuwait</t>
  </si>
  <si>
    <t>Belarus</t>
  </si>
  <si>
    <t>Jordan</t>
  </si>
  <si>
    <t>Azerbaijan</t>
  </si>
  <si>
    <t>Burkina Faso</t>
  </si>
  <si>
    <t>Albania</t>
  </si>
  <si>
    <t>San Marino</t>
  </si>
  <si>
    <t>Afghanistan</t>
  </si>
  <si>
    <t>Cameroon</t>
  </si>
  <si>
    <t>Oman</t>
  </si>
  <si>
    <t>Vietnam</t>
  </si>
  <si>
    <t>Uzbekistan</t>
  </si>
  <si>
    <t>Ghana</t>
  </si>
  <si>
    <t>Malta</t>
  </si>
  <si>
    <t>Senegal</t>
  </si>
  <si>
    <t>Ivory Coast</t>
  </si>
  <si>
    <t>Nigeria</t>
  </si>
  <si>
    <t>Mauritius</t>
  </si>
  <si>
    <t>Palestine</t>
  </si>
  <si>
    <t>Sri Lanka</t>
  </si>
  <si>
    <t>Venezuela</t>
  </si>
  <si>
    <t>Montenegro</t>
  </si>
  <si>
    <t>Brunei</t>
  </si>
  <si>
    <t>Kosovo</t>
  </si>
  <si>
    <t>Kyrgyzstan</t>
  </si>
  <si>
    <t>Kenya</t>
  </si>
  <si>
    <t>Cambodia</t>
  </si>
  <si>
    <t>DR Congo</t>
  </si>
  <si>
    <t>Guernsey</t>
  </si>
  <si>
    <t>Jersey</t>
  </si>
  <si>
    <t>Isle of Man</t>
  </si>
  <si>
    <t>Gibraltar</t>
  </si>
  <si>
    <t>Trinidad and Tobago</t>
  </si>
  <si>
    <t>Rwanda</t>
  </si>
  <si>
    <t>Niger</t>
  </si>
  <si>
    <t>Northern Cyprus</t>
  </si>
  <si>
    <t>Liechtenstein</t>
  </si>
  <si>
    <t>Aruba</t>
  </si>
  <si>
    <t>Bangladesh</t>
  </si>
  <si>
    <t>Monaco</t>
  </si>
  <si>
    <t>Madagascar</t>
  </si>
  <si>
    <t>Uganda</t>
  </si>
  <si>
    <t>Jamaica</t>
  </si>
  <si>
    <t>Macau</t>
  </si>
  <si>
    <t>Togo</t>
  </si>
  <si>
    <t>French Polynesia</t>
  </si>
  <si>
    <t>Zambia</t>
  </si>
  <si>
    <t>Barbados</t>
  </si>
  <si>
    <t>Bermuda</t>
  </si>
  <si>
    <t>Mali</t>
  </si>
  <si>
    <t>Djibouti</t>
  </si>
  <si>
    <t>Guinea</t>
  </si>
  <si>
    <t>Ethiopia</t>
  </si>
  <si>
    <t>Cayman Islands</t>
  </si>
  <si>
    <t>Bahamas</t>
  </si>
  <si>
    <t>Congo Republic</t>
  </si>
  <si>
    <t>Guyana</t>
  </si>
  <si>
    <t>Tanzania</t>
  </si>
  <si>
    <t>Maldives</t>
  </si>
  <si>
    <t>Gabon</t>
  </si>
  <si>
    <t>Syria</t>
  </si>
  <si>
    <t>Sint Maarten</t>
  </si>
  <si>
    <t>Haiti</t>
  </si>
  <si>
    <t>New Caledonia</t>
  </si>
  <si>
    <t>Myanmar</t>
  </si>
  <si>
    <t>Eritrea</t>
  </si>
  <si>
    <t>Equatorial Guinea</t>
  </si>
  <si>
    <t>Mongolia</t>
  </si>
  <si>
    <t>Benin</t>
  </si>
  <si>
    <t>Saint Lucia</t>
  </si>
  <si>
    <t>Curaçao</t>
  </si>
  <si>
    <t>Namibia</t>
  </si>
  <si>
    <t>Greenland</t>
  </si>
  <si>
    <t>Seychelles</t>
  </si>
  <si>
    <t>Libya</t>
  </si>
  <si>
    <t>Suriname</t>
  </si>
  <si>
    <t>Grenada</t>
  </si>
  <si>
    <t>Eswatini</t>
  </si>
  <si>
    <t>Laos</t>
  </si>
  <si>
    <t>Guinea-Bissau</t>
  </si>
  <si>
    <t>Zimbabwe</t>
  </si>
  <si>
    <t>Mozambique</t>
  </si>
  <si>
    <t>St. Kitts and Nevis</t>
  </si>
  <si>
    <t>Sudan</t>
  </si>
  <si>
    <t>Angola</t>
  </si>
  <si>
    <t>Antigua and Barbuda</t>
  </si>
  <si>
    <t>Chad</t>
  </si>
  <si>
    <t>St. Barthélemy</t>
  </si>
  <si>
    <t>Cape Verde</t>
  </si>
  <si>
    <t>Mauritania</t>
  </si>
  <si>
    <t>Central African Republic</t>
  </si>
  <si>
    <t>Liberia</t>
  </si>
  <si>
    <t>Vatican City</t>
  </si>
  <si>
    <t>Fiji</t>
  </si>
  <si>
    <t>Montserrat</t>
  </si>
  <si>
    <t>Nepal</t>
  </si>
  <si>
    <t>Turks and Caicos Islands</t>
  </si>
  <si>
    <t>Somalia</t>
  </si>
  <si>
    <t>The Gambia</t>
  </si>
  <si>
    <t>Botswana</t>
  </si>
  <si>
    <t>Bhutan</t>
  </si>
  <si>
    <t>Belize</t>
  </si>
  <si>
    <t>British Virgin Islands</t>
  </si>
  <si>
    <t>Burundi</t>
  </si>
  <si>
    <t>Anguilla</t>
  </si>
  <si>
    <t>Sierra Leone</t>
  </si>
  <si>
    <t>Saint Vincent and the Grenadines</t>
  </si>
  <si>
    <t>Timor-Leste</t>
  </si>
  <si>
    <t>Papua New Guinea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</si>
</sst>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0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000000"/>
      <name val="Docs-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sz val="11.0"/>
      <color rgb="FF000000"/>
      <name val="Arial"/>
    </font>
    <font>
      <sz val="11.0"/>
      <color rgb="FFFFFFFF"/>
      <name val="Roboto"/>
    </font>
    <font>
      <b/>
      <sz val="11.0"/>
      <color rgb="FF38761D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2" fontId="4" numFmtId="0" xfId="0" applyFill="1" applyFont="1"/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8" numFmtId="3" xfId="0" applyAlignment="1" applyFont="1" applyNumberFormat="1">
      <alignment horizontal="left" vertical="bottom"/>
    </xf>
    <xf borderId="0" fillId="2" fontId="4" numFmtId="0" xfId="0" applyAlignment="1" applyFont="1">
      <alignment horizontal="center"/>
    </xf>
    <xf borderId="0" fillId="0" fontId="9" numFmtId="3" xfId="0" applyAlignment="1" applyFont="1" applyNumberFormat="1">
      <alignment horizontal="left" vertical="bottom"/>
    </xf>
    <xf borderId="0" fillId="2" fontId="10" numFmtId="0" xfId="0" applyAlignment="1" applyFont="1">
      <alignment horizontal="left" readingOrder="0"/>
    </xf>
    <xf borderId="0" fillId="0" fontId="11" numFmtId="3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/>
    </xf>
    <xf borderId="0" fillId="2" fontId="8" numFmtId="3" xfId="0" applyAlignment="1" applyFont="1" applyNumberFormat="1">
      <alignment horizontal="left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0" fillId="2" fontId="8" numFmtId="0" xfId="0" applyAlignment="1" applyFont="1">
      <alignment horizontal="left"/>
    </xf>
    <xf borderId="0" fillId="0" fontId="4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2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2" fontId="4" numFmtId="0" xfId="0" applyAlignment="1" applyFont="1">
      <alignment horizontal="center" vertical="center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7" fontId="12" numFmtId="3" xfId="0" applyAlignment="1" applyBorder="1" applyFill="1" applyFont="1" applyNumberFormat="1">
      <alignment horizontal="center" readingOrder="0" vertical="center"/>
    </xf>
    <xf borderId="1" fillId="2" fontId="4" numFmtId="10" xfId="0" applyAlignment="1" applyBorder="1" applyFont="1" applyNumberFormat="1">
      <alignment horizontal="center" readingOrder="0" vertical="center"/>
    </xf>
    <xf borderId="1" fillId="0" fontId="4" numFmtId="3" xfId="0" applyAlignment="1" applyBorder="1" applyFont="1" applyNumberFormat="1">
      <alignment horizontal="center" readingOrder="0" shrinkToFit="0" vertical="center" wrapText="1"/>
    </xf>
    <xf borderId="1" fillId="4" fontId="4" numFmtId="3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6" fontId="4" numFmtId="3" xfId="0" applyAlignment="1" applyBorder="1" applyFont="1" applyNumberFormat="1">
      <alignment horizontal="center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0" fillId="2" fontId="15" numFmtId="0" xfId="0" applyAlignment="1" applyFont="1">
      <alignment vertical="center"/>
    </xf>
    <xf borderId="0" fillId="8" fontId="4" numFmtId="0" xfId="0" applyAlignment="1" applyFill="1" applyFont="1">
      <alignment vertical="center"/>
    </xf>
    <xf borderId="1" fillId="0" fontId="16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0" fillId="9" fontId="4" numFmtId="0" xfId="0" applyAlignment="1" applyFill="1" applyFont="1">
      <alignment horizontal="center" vertical="center"/>
    </xf>
    <xf borderId="1" fillId="6" fontId="12" numFmtId="0" xfId="0" applyAlignment="1" applyBorder="1" applyFont="1">
      <alignment horizontal="center" readingOrder="0" shrinkToFit="0" vertical="center" wrapText="1"/>
    </xf>
    <xf borderId="1" fillId="4" fontId="4" numFmtId="10" xfId="0" applyAlignment="1" applyBorder="1" applyFont="1" applyNumberFormat="1">
      <alignment horizontal="center" readingOrder="0" vertical="center"/>
    </xf>
    <xf borderId="1" fillId="3" fontId="4" numFmtId="10" xfId="0" applyAlignment="1" applyBorder="1" applyFont="1" applyNumberFormat="1">
      <alignment horizontal="center" readingOrder="0" vertical="center"/>
    </xf>
    <xf borderId="1" fillId="3" fontId="4" numFmtId="0" xfId="0" applyAlignment="1" applyBorder="1" applyFont="1">
      <alignment horizontal="center" readingOrder="0" shrinkToFit="0" vertical="center" wrapText="1"/>
    </xf>
    <xf borderId="0" fillId="9" fontId="4" numFmtId="0" xfId="0" applyAlignment="1" applyFont="1">
      <alignment horizontal="center" vertical="center"/>
    </xf>
    <xf borderId="1" fillId="3" fontId="17" numFmtId="0" xfId="0" applyAlignment="1" applyBorder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horizontal="center" readingOrder="0" shrinkToFit="0" vertical="center" wrapText="1"/>
    </xf>
    <xf borderId="0" fillId="10" fontId="4" numFmtId="0" xfId="0" applyAlignment="1" applyFill="1" applyFont="1">
      <alignment vertical="center"/>
    </xf>
    <xf borderId="1" fillId="4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0" fillId="11" fontId="4" numFmtId="0" xfId="0" applyAlignment="1" applyFill="1" applyFont="1">
      <alignment vertical="center"/>
    </xf>
    <xf borderId="0" fillId="9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left"/>
    </xf>
    <xf borderId="0" fillId="8" fontId="22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2" fontId="22" numFmtId="0" xfId="0" applyAlignment="1" applyFont="1">
      <alignment vertical="center"/>
    </xf>
    <xf borderId="0" fillId="2" fontId="23" numFmtId="0" xfId="0" applyFont="1"/>
    <xf borderId="0" fillId="8" fontId="4" numFmtId="0" xfId="0" applyAlignment="1" applyFont="1">
      <alignment vertical="center"/>
    </xf>
    <xf borderId="0" fillId="8" fontId="24" numFmtId="0" xfId="0" applyAlignment="1" applyFont="1">
      <alignment vertical="center"/>
    </xf>
    <xf borderId="1" fillId="4" fontId="4" numFmtId="0" xfId="0" applyAlignment="1" applyBorder="1" applyFont="1">
      <alignment horizontal="center" readingOrder="0" vertical="center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25" numFmtId="0" xfId="0" applyAlignment="1" applyFont="1">
      <alignment horizontal="left" readingOrder="0" shrinkToFit="0" vertical="center" wrapText="1"/>
    </xf>
    <xf borderId="0" fillId="2" fontId="25" numFmtId="3" xfId="0" applyAlignment="1" applyFont="1" applyNumberFormat="1">
      <alignment horizontal="center" readingOrder="0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6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4" numFmtId="3" xfId="0" applyAlignment="1" applyFont="1" applyNumberFormat="1">
      <alignment horizontal="center" readingOrder="0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4" fontId="28" numFmtId="0" xfId="0" applyAlignment="1" applyFont="1">
      <alignment horizontal="center" readingOrder="0" shrinkToFit="0" vertical="center" wrapText="1"/>
    </xf>
    <xf borderId="0" fillId="3" fontId="2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4" numFmtId="3" xfId="0" applyAlignment="1" applyBorder="1" applyFont="1" applyNumberFormat="1">
      <alignment horizontal="center" readingOrder="0" vertical="center"/>
    </xf>
    <xf borderId="0" fillId="12" fontId="4" numFmtId="0" xfId="0" applyAlignment="1" applyFill="1" applyFont="1">
      <alignment vertical="center"/>
    </xf>
    <xf borderId="0" fillId="2" fontId="25" numFmtId="0" xfId="0" applyAlignment="1" applyFont="1">
      <alignment horizontal="left" readingOrder="0" vertical="center"/>
    </xf>
    <xf borderId="0" fillId="2" fontId="25" numFmtId="0" xfId="0" applyAlignment="1" applyFont="1">
      <alignment horizontal="center" readingOrder="0" vertical="center"/>
    </xf>
    <xf borderId="0" fillId="2" fontId="25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5" numFmtId="0" xfId="0" applyAlignment="1" applyFont="1">
      <alignment horizontal="center" readingOrder="0" vertical="center"/>
    </xf>
    <xf borderId="0" fillId="0" fontId="15" numFmtId="0" xfId="0" applyAlignment="1" applyFont="1">
      <alignment vertical="center"/>
    </xf>
    <xf borderId="0" fillId="2" fontId="15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6" numFmtId="3" xfId="0" applyAlignment="1" applyFont="1" applyNumberForma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2" fontId="23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World!$A$7:$A$204</c:f>
            </c:strRef>
          </c:cat>
          <c:val>
            <c:numRef>
              <c:f>World!$B$7:$B$204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World!$A$7:$A$204</c:f>
            </c:strRef>
          </c:cat>
          <c:val>
            <c:numRef>
              <c:f>World!$D$7:$D$205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6:I207" displayName="Table_10" id="10">
  <tableColumns count="9">
    <tableColumn name="WORLD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I20" displayName="Table_4" id="4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9" id="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8" id="8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07" displayName="Table_11" id="11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07" displayName="Table_12" id="12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68" displayName="Table_5" id="5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M5:M6" displayName="Table_6" id="6">
  <tableColumns count="1">
    <tableColumn name="Deaths" id="1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7" id="7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L5:M20" displayName="Table_3" id="3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6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3"/>
      <c r="C1" s="3"/>
      <c r="D1" s="3"/>
      <c r="E1" s="5"/>
      <c r="F1" s="5"/>
      <c r="G1" s="5"/>
      <c r="H1" s="8"/>
      <c r="I1" s="9"/>
      <c r="J1" s="4"/>
      <c r="K1" s="10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/>
      <c r="C2" s="3"/>
      <c r="D2" s="3"/>
      <c r="E2" s="5"/>
      <c r="F2" s="5"/>
      <c r="G2" s="5"/>
      <c r="H2" s="8"/>
      <c r="I2" s="9"/>
      <c r="J2" s="6"/>
      <c r="K2" s="12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</v>
      </c>
      <c r="B3" s="14" t="s">
        <v>2</v>
      </c>
      <c r="C3" s="5" t="s">
        <v>3</v>
      </c>
      <c r="E3" s="7" t="s">
        <v>4</v>
      </c>
      <c r="H3" s="8"/>
      <c r="I3" s="9"/>
      <c r="J3" s="6"/>
      <c r="K3" s="12"/>
      <c r="L3" s="14" t="s">
        <v>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>
        <f>SUM(B206, B207)</f>
        <v>1021515</v>
      </c>
      <c r="B4" s="17">
        <f>SUM(D206, D207)</f>
        <v>53271</v>
      </c>
      <c r="C4" s="13">
        <f>SUM(H206, H207)</f>
        <v>209221</v>
      </c>
      <c r="E4" s="15">
        <f>MINUS(A4,B4 + C4)</f>
        <v>759023</v>
      </c>
      <c r="F4" s="15"/>
      <c r="G4" s="5"/>
      <c r="H4" s="8"/>
      <c r="I4" s="9"/>
      <c r="J4" s="4"/>
      <c r="K4" s="12"/>
      <c r="L4" s="20">
        <f>SUM(N206, N207)</f>
        <v>0</v>
      </c>
      <c r="N4" s="2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/>
      <c r="B5" s="9"/>
      <c r="C5" s="9"/>
      <c r="D5" s="9"/>
      <c r="E5" s="8"/>
      <c r="F5" s="8"/>
      <c r="G5" s="8"/>
      <c r="H5" s="8"/>
      <c r="I5" s="9"/>
      <c r="J5" s="4"/>
      <c r="K5" s="12"/>
      <c r="L5" s="9"/>
      <c r="M5" s="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23" t="s">
        <v>10</v>
      </c>
      <c r="B6" s="25" t="s">
        <v>7</v>
      </c>
      <c r="C6" s="22" t="s">
        <v>8</v>
      </c>
      <c r="D6" s="25" t="s">
        <v>9</v>
      </c>
      <c r="E6" s="24" t="s">
        <v>11</v>
      </c>
      <c r="F6" s="24" t="s">
        <v>12</v>
      </c>
      <c r="G6" s="24" t="s">
        <v>13</v>
      </c>
      <c r="H6" s="27" t="s">
        <v>14</v>
      </c>
      <c r="I6" s="25" t="s">
        <v>15</v>
      </c>
      <c r="J6" s="29"/>
      <c r="K6" s="32"/>
      <c r="L6" s="25" t="s">
        <v>7</v>
      </c>
      <c r="M6" s="25" t="s">
        <v>9</v>
      </c>
      <c r="N6" s="29"/>
      <c r="O6" s="34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30.0" customHeight="1">
      <c r="A7" s="36" t="s">
        <v>18</v>
      </c>
      <c r="B7" s="38">
        <f>USA!A3</f>
        <v>244771</v>
      </c>
      <c r="C7" s="40">
        <f t="shared" ref="C7:C181" si="1">MINUS(B7,L7)</f>
        <v>29342</v>
      </c>
      <c r="D7" s="38">
        <f>USA!B3</f>
        <v>6072</v>
      </c>
      <c r="E7" s="45">
        <f t="shared" ref="E7:E205" si="2">MINUS(D7, M7)</f>
        <v>1004</v>
      </c>
      <c r="F7" s="41">
        <f t="shared" ref="F7:F204" si="3">DIVIDE(D7, B7)</f>
        <v>0.02480686029</v>
      </c>
      <c r="G7" s="48">
        <f>USA!G66</f>
        <v>4813</v>
      </c>
      <c r="H7" s="48">
        <f>USA!C3</f>
        <v>9359</v>
      </c>
      <c r="I7" s="51" t="str">
        <f>HYPERLINK("https://bnonews.com/index.php/2019/12/tracking-coronavirus-u-s-data/","Source")</f>
        <v>Source</v>
      </c>
      <c r="J7" s="53"/>
      <c r="K7" s="57"/>
      <c r="L7" s="38">
        <v>215429.0</v>
      </c>
      <c r="M7" s="38">
        <v>5068.0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30.0" customHeight="1">
      <c r="A8" s="36" t="s">
        <v>21</v>
      </c>
      <c r="B8" s="38">
        <v>115495.0</v>
      </c>
      <c r="C8" s="40">
        <f t="shared" si="1"/>
        <v>4921</v>
      </c>
      <c r="D8" s="38">
        <v>13974.0</v>
      </c>
      <c r="E8" s="45">
        <f t="shared" si="2"/>
        <v>819</v>
      </c>
      <c r="F8" s="59">
        <f t="shared" si="3"/>
        <v>0.1209922507</v>
      </c>
      <c r="G8" s="48">
        <v>4053.0</v>
      </c>
      <c r="H8" s="48">
        <v>18278.0</v>
      </c>
      <c r="I8" s="51" t="str">
        <f>HYPERLINK("https://pbs.twimg.com/media/EUnGtCyXgAEbblB?format=jpg&amp;name=large","Source")</f>
        <v>Source</v>
      </c>
      <c r="J8" s="28"/>
      <c r="K8" s="62"/>
      <c r="L8" s="38">
        <v>110574.0</v>
      </c>
      <c r="M8" s="38">
        <v>13155.0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30.0" customHeight="1">
      <c r="A9" s="36" t="s">
        <v>24</v>
      </c>
      <c r="B9" s="38">
        <v>112065.0</v>
      </c>
      <c r="C9" s="40">
        <f t="shared" si="1"/>
        <v>7947</v>
      </c>
      <c r="D9" s="64">
        <v>10348.0</v>
      </c>
      <c r="E9" s="45">
        <f t="shared" si="2"/>
        <v>961</v>
      </c>
      <c r="F9" s="59">
        <f t="shared" si="3"/>
        <v>0.09233926739</v>
      </c>
      <c r="G9" s="48">
        <v>6092.0</v>
      </c>
      <c r="H9" s="48">
        <v>26743.0</v>
      </c>
      <c r="I9" s="51" t="str">
        <f>HYPERLINK("https://www.rtve.es/noticias/20200402/mapa-del-coronavirus-espana/2004681.shtml","Source")</f>
        <v>Source</v>
      </c>
      <c r="J9" s="66"/>
      <c r="K9" s="62"/>
      <c r="L9" s="38">
        <v>104118.0</v>
      </c>
      <c r="M9" s="64">
        <v>9387.0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30.0" customHeight="1">
      <c r="A10" s="36" t="s">
        <v>26</v>
      </c>
      <c r="B10" s="64">
        <v>85122.0</v>
      </c>
      <c r="C10" s="40">
        <f t="shared" si="1"/>
        <v>6864</v>
      </c>
      <c r="D10" s="38">
        <v>1107.0</v>
      </c>
      <c r="E10" s="45">
        <f t="shared" si="2"/>
        <v>179</v>
      </c>
      <c r="F10" s="41">
        <f t="shared" si="3"/>
        <v>0.01300486361</v>
      </c>
      <c r="G10" s="48">
        <v>2150.0</v>
      </c>
      <c r="H10" s="48">
        <v>26252.0</v>
      </c>
      <c r="I10" s="51" t="str">
        <f>HYPERLINK("https://dts-nachrichtenagentur.de/corona-fallzahlen","Source")</f>
        <v>Source</v>
      </c>
      <c r="J10" s="50"/>
      <c r="K10" s="62"/>
      <c r="L10" s="64">
        <v>78258.0</v>
      </c>
      <c r="M10" s="69">
        <v>928.0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30.0" customHeight="1">
      <c r="A11" s="36" t="s">
        <v>30</v>
      </c>
      <c r="B11" s="38">
        <f>China!A3</f>
        <v>83185</v>
      </c>
      <c r="C11" s="40">
        <f t="shared" si="1"/>
        <v>90</v>
      </c>
      <c r="D11" s="38">
        <f>China!B3</f>
        <v>3318</v>
      </c>
      <c r="E11" s="45">
        <f t="shared" si="2"/>
        <v>6</v>
      </c>
      <c r="F11" s="41">
        <f t="shared" si="3"/>
        <v>0.03988699886</v>
      </c>
      <c r="G11" s="48">
        <f>China!D15</f>
        <v>466</v>
      </c>
      <c r="H11" s="48">
        <f>China!D3</f>
        <v>76412</v>
      </c>
      <c r="I11" s="51" t="str">
        <f>HYPERLINK("https://bnonews.com/index.php/2020/03/tracking-coronavirus-china-data/","Source")</f>
        <v>Source</v>
      </c>
      <c r="J11" s="70"/>
      <c r="K11" s="71" t="s">
        <v>34</v>
      </c>
      <c r="L11" s="38">
        <v>83095.0</v>
      </c>
      <c r="M11" s="38">
        <v>3312.0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30.0" customHeight="1">
      <c r="A12" s="36" t="s">
        <v>36</v>
      </c>
      <c r="B12" s="38">
        <v>59105.0</v>
      </c>
      <c r="C12" s="40">
        <f t="shared" si="1"/>
        <v>2116</v>
      </c>
      <c r="D12" s="38">
        <v>5387.0</v>
      </c>
      <c r="E12" s="45">
        <f t="shared" si="2"/>
        <v>1355</v>
      </c>
      <c r="F12" s="59">
        <f t="shared" si="3"/>
        <v>0.09114288131</v>
      </c>
      <c r="G12" s="48">
        <v>6489.0</v>
      </c>
      <c r="H12" s="48">
        <v>9444.0</v>
      </c>
      <c r="I12" s="51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2" s="28"/>
      <c r="K12" s="71" t="s">
        <v>34</v>
      </c>
      <c r="L12" s="38">
        <v>56989.0</v>
      </c>
      <c r="M12" s="38">
        <v>4032.0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30.0" customHeight="1">
      <c r="A13" s="36" t="s">
        <v>39</v>
      </c>
      <c r="B13" s="38">
        <v>50468.0</v>
      </c>
      <c r="C13" s="40">
        <f t="shared" si="1"/>
        <v>2875</v>
      </c>
      <c r="D13" s="38">
        <v>3160.0</v>
      </c>
      <c r="E13" s="45">
        <f t="shared" si="2"/>
        <v>124</v>
      </c>
      <c r="F13" s="41">
        <f t="shared" si="3"/>
        <v>0.06261393358</v>
      </c>
      <c r="G13" s="48">
        <v>3956.0</v>
      </c>
      <c r="H13" s="48">
        <v>16711.0</v>
      </c>
      <c r="I13" s="51" t="str">
        <f>HYPERLINK("https://mobile.twitter.com/AbasAslani/status/1245648057116450819","Source")</f>
        <v>Source</v>
      </c>
      <c r="J13" s="50"/>
      <c r="K13" s="71" t="s">
        <v>34</v>
      </c>
      <c r="L13" s="38">
        <v>47593.0</v>
      </c>
      <c r="M13" s="38">
        <v>3036.0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30.0" customHeight="1">
      <c r="A14" s="36" t="s">
        <v>42</v>
      </c>
      <c r="B14" s="38">
        <v>33718.0</v>
      </c>
      <c r="C14" s="40">
        <f t="shared" si="1"/>
        <v>4244</v>
      </c>
      <c r="D14" s="38">
        <v>2921.0</v>
      </c>
      <c r="E14" s="45">
        <f t="shared" si="2"/>
        <v>569</v>
      </c>
      <c r="F14" s="59">
        <f t="shared" si="3"/>
        <v>0.08663028649</v>
      </c>
      <c r="G14" s="72">
        <v>20.0</v>
      </c>
      <c r="H14" s="72">
        <v>135.0</v>
      </c>
      <c r="I14" s="51" t="str">
        <f>HYPERLINK("https://twitter.com/DHSCgovuk/status/1245697879311814656","Source")</f>
        <v>Source</v>
      </c>
      <c r="J14" s="50"/>
      <c r="K14" s="62"/>
      <c r="L14" s="38">
        <v>29474.0</v>
      </c>
      <c r="M14" s="38">
        <v>2352.0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30.0" customHeight="1">
      <c r="A15" s="36" t="s">
        <v>45</v>
      </c>
      <c r="B15" s="38">
        <v>18823.0</v>
      </c>
      <c r="C15" s="40">
        <f t="shared" si="1"/>
        <v>1038</v>
      </c>
      <c r="D15" s="69">
        <v>541.0</v>
      </c>
      <c r="E15" s="45">
        <f t="shared" si="2"/>
        <v>53</v>
      </c>
      <c r="F15" s="41">
        <f t="shared" si="3"/>
        <v>0.02874143335</v>
      </c>
      <c r="G15" s="72" t="s">
        <v>22</v>
      </c>
      <c r="H15" s="48">
        <v>4846.0</v>
      </c>
      <c r="I15" s="51" t="str">
        <f>HYPERLINK("https://www.24heures.ch/monde/direct-nouveau-cas-coronavirus-suisse/story/24581768","Source")</f>
        <v>Source</v>
      </c>
      <c r="J15" s="50"/>
      <c r="K15" s="62"/>
      <c r="L15" s="38">
        <v>17785.0</v>
      </c>
      <c r="M15" s="69">
        <v>488.0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27.75" customHeight="1">
      <c r="A16" s="36" t="s">
        <v>47</v>
      </c>
      <c r="B16" s="38">
        <v>18135.0</v>
      </c>
      <c r="C16" s="40">
        <f t="shared" si="1"/>
        <v>2456</v>
      </c>
      <c r="D16" s="69">
        <v>356.0</v>
      </c>
      <c r="E16" s="45">
        <f t="shared" si="2"/>
        <v>79</v>
      </c>
      <c r="F16" s="59">
        <f t="shared" si="3"/>
        <v>0.01963054866</v>
      </c>
      <c r="G16" s="48">
        <v>1101.0</v>
      </c>
      <c r="H16" s="72">
        <v>415.0</v>
      </c>
      <c r="I16" s="51" t="str">
        <f>HYPERLINK("https://covid19.saglik.gov.tr/","Source")</f>
        <v>Source</v>
      </c>
      <c r="J16" s="50"/>
      <c r="K16" s="71" t="s">
        <v>34</v>
      </c>
      <c r="L16" s="38">
        <v>15679.0</v>
      </c>
      <c r="M16" s="69">
        <v>277.0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30.0" customHeight="1">
      <c r="A17" s="36" t="s">
        <v>51</v>
      </c>
      <c r="B17" s="38">
        <v>15348.0</v>
      </c>
      <c r="C17" s="40">
        <f t="shared" si="1"/>
        <v>1384</v>
      </c>
      <c r="D17" s="38">
        <v>1011.0</v>
      </c>
      <c r="E17" s="45">
        <f t="shared" si="2"/>
        <v>183</v>
      </c>
      <c r="F17" s="41">
        <f t="shared" si="3"/>
        <v>0.06587177482</v>
      </c>
      <c r="G17" s="48">
        <v>1144.0</v>
      </c>
      <c r="H17" s="48">
        <v>2495.0</v>
      </c>
      <c r="I17" s="51" t="str">
        <f>HYPERLINK("https://www.info-coronavirus.be/nl/news/1384-nieuwe-besmettingen-met-coronavirus-covid-19/","Source")</f>
        <v>Source</v>
      </c>
      <c r="J17" s="50"/>
      <c r="K17" s="71" t="s">
        <v>34</v>
      </c>
      <c r="L17" s="38">
        <v>13964.0</v>
      </c>
      <c r="M17" s="69">
        <v>828.0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30.0" customHeight="1">
      <c r="A18" s="36" t="s">
        <v>54</v>
      </c>
      <c r="B18" s="38">
        <v>14697.0</v>
      </c>
      <c r="C18" s="40">
        <f t="shared" si="1"/>
        <v>1083</v>
      </c>
      <c r="D18" s="64">
        <v>1339.0</v>
      </c>
      <c r="E18" s="45">
        <f t="shared" si="2"/>
        <v>166</v>
      </c>
      <c r="F18" s="41">
        <f t="shared" si="3"/>
        <v>0.09110702865</v>
      </c>
      <c r="G18" s="48">
        <v>1144.0</v>
      </c>
      <c r="H18" s="72">
        <v>32.0</v>
      </c>
      <c r="I18" s="51" t="str">
        <f>HYPERLINK("https://www.rivm.nl/nieuws/actuele-informatie-over-coronavirus","Source")</f>
        <v>Source</v>
      </c>
      <c r="J18" s="50"/>
      <c r="K18" s="71" t="s">
        <v>34</v>
      </c>
      <c r="L18" s="38">
        <v>13614.0</v>
      </c>
      <c r="M18" s="64">
        <v>1173.0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30.0" customHeight="1">
      <c r="A19" s="36" t="s">
        <v>56</v>
      </c>
      <c r="B19" s="38">
        <f>Canada!A3</f>
        <v>11283</v>
      </c>
      <c r="C19" s="40">
        <f t="shared" si="1"/>
        <v>1552</v>
      </c>
      <c r="D19" s="38">
        <f>Canada!B3</f>
        <v>138</v>
      </c>
      <c r="E19" s="45">
        <f t="shared" si="2"/>
        <v>27</v>
      </c>
      <c r="F19" s="41">
        <f t="shared" si="3"/>
        <v>0.01223078968</v>
      </c>
      <c r="G19" s="48">
        <f>Canada!G20</f>
        <v>84</v>
      </c>
      <c r="H19" s="48">
        <f>Canada!C3</f>
        <v>1764</v>
      </c>
      <c r="I19" s="51" t="str">
        <f>HYPERLINK("https://bnonews.com/index.php/2019/12/tracking-coronavirus-canada-data/","Source")</f>
        <v>Source</v>
      </c>
      <c r="J19" s="50"/>
      <c r="K19" s="62"/>
      <c r="L19" s="38">
        <v>9731.0</v>
      </c>
      <c r="M19" s="69">
        <v>111.0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30.0" customHeight="1">
      <c r="A20" s="36" t="s">
        <v>58</v>
      </c>
      <c r="B20" s="38">
        <v>10967.0</v>
      </c>
      <c r="C20" s="40">
        <f t="shared" si="1"/>
        <v>601</v>
      </c>
      <c r="D20" s="69">
        <v>158.0</v>
      </c>
      <c r="E20" s="45">
        <f t="shared" si="2"/>
        <v>30</v>
      </c>
      <c r="F20" s="59">
        <f t="shared" si="3"/>
        <v>0.01440685693</v>
      </c>
      <c r="G20" s="72">
        <v>227.0</v>
      </c>
      <c r="H20" s="48">
        <v>1749.0</v>
      </c>
      <c r="I20" s="51" t="str">
        <f>HYPERLINK("https://info.gesundheitsministerium.at/","Source")</f>
        <v>Source</v>
      </c>
      <c r="J20" s="28"/>
      <c r="K20" s="71" t="s">
        <v>61</v>
      </c>
      <c r="L20" s="38">
        <v>10366.0</v>
      </c>
      <c r="M20" s="69">
        <v>128.0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30.0" customHeight="1">
      <c r="A21" s="36" t="s">
        <v>62</v>
      </c>
      <c r="B21" s="38">
        <v>9976.0</v>
      </c>
      <c r="C21" s="40">
        <f t="shared" si="1"/>
        <v>89</v>
      </c>
      <c r="D21" s="69">
        <v>169.0</v>
      </c>
      <c r="E21" s="45">
        <f t="shared" si="2"/>
        <v>4</v>
      </c>
      <c r="F21" s="59">
        <f t="shared" si="3"/>
        <v>0.01694065758</v>
      </c>
      <c r="G21" s="72" t="s">
        <v>22</v>
      </c>
      <c r="H21" s="48">
        <v>5828.0</v>
      </c>
      <c r="I21" s="51" t="str">
        <f>HYPERLINK("http://ncov.mohw.go.kr/tcmBoardView.do?brdId=&amp;brdGubun=&amp;dataGubun=&amp;ncvContSeq=353857&amp;contSeq=353857&amp;board_id=&amp;gubun=ALL","Source")</f>
        <v>Source</v>
      </c>
      <c r="J21" s="50"/>
      <c r="K21" s="71" t="s">
        <v>34</v>
      </c>
      <c r="L21" s="38">
        <v>9887.0</v>
      </c>
      <c r="M21" s="69">
        <v>165.0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30.0" customHeight="1">
      <c r="A22" s="36" t="s">
        <v>64</v>
      </c>
      <c r="B22" s="38">
        <v>9034.0</v>
      </c>
      <c r="C22" s="40">
        <f t="shared" si="1"/>
        <v>783</v>
      </c>
      <c r="D22" s="69">
        <v>209.0</v>
      </c>
      <c r="E22" s="45">
        <f t="shared" si="2"/>
        <v>22</v>
      </c>
      <c r="F22" s="59">
        <f t="shared" si="3"/>
        <v>0.023134824</v>
      </c>
      <c r="G22" s="72">
        <v>240.0</v>
      </c>
      <c r="H22" s="72">
        <v>68.0</v>
      </c>
      <c r="I22" s="51" t="str">
        <f>HYPERLINK("https://covid19.min-saude.pt/ponto-de-situacao-atual-em-portugal/","Source")</f>
        <v>Source</v>
      </c>
      <c r="J22" s="50"/>
      <c r="K22" s="71" t="s">
        <v>34</v>
      </c>
      <c r="L22" s="38">
        <v>8251.0</v>
      </c>
      <c r="M22" s="69">
        <v>187.0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30.0" customHeight="1">
      <c r="A23" s="36" t="s">
        <v>66</v>
      </c>
      <c r="B23" s="38">
        <v>8076.0</v>
      </c>
      <c r="C23" s="40">
        <f t="shared" si="1"/>
        <v>1240</v>
      </c>
      <c r="D23" s="69">
        <v>327.0</v>
      </c>
      <c r="E23" s="45">
        <f t="shared" si="2"/>
        <v>86</v>
      </c>
      <c r="F23" s="41">
        <f t="shared" si="3"/>
        <v>0.04049034175</v>
      </c>
      <c r="G23" s="72">
        <v>148.0</v>
      </c>
      <c r="H23" s="72">
        <v>1.0</v>
      </c>
      <c r="I23" s="51" t="str">
        <f>HYPERLINK("https://g1.globo.com/bemestar/coronavirus/noticia/2020/04/02/casos-de-coronavirus-no-brasil-em-2-de-abril.ghtml","Source")</f>
        <v>Source</v>
      </c>
      <c r="J23" s="28"/>
      <c r="K23" s="62"/>
      <c r="L23" s="38">
        <v>6836.0</v>
      </c>
      <c r="M23" s="69">
        <v>241.0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30.0" customHeight="1">
      <c r="A24" s="36" t="s">
        <v>68</v>
      </c>
      <c r="B24" s="38">
        <v>6857.0</v>
      </c>
      <c r="C24" s="40">
        <f t="shared" si="1"/>
        <v>765</v>
      </c>
      <c r="D24" s="69">
        <v>36.0</v>
      </c>
      <c r="E24" s="45">
        <f t="shared" si="2"/>
        <v>10</v>
      </c>
      <c r="F24" s="41">
        <f t="shared" si="3"/>
        <v>0.005250109377</v>
      </c>
      <c r="G24" s="72">
        <v>108.0</v>
      </c>
      <c r="H24" s="72">
        <v>241.0</v>
      </c>
      <c r="I24" s="51" t="str">
        <f>HYPERLINK("https://www.jpost.com/Breaking-News/Another-Israeli-victim-of-coronavirus-No-27-is-a-77-year-old-man-623299","Source")</f>
        <v>Source</v>
      </c>
      <c r="J24" s="28"/>
      <c r="K24" s="71" t="s">
        <v>50</v>
      </c>
      <c r="L24" s="38">
        <v>6092.0</v>
      </c>
      <c r="M24" s="69">
        <v>26.0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30.0" customHeight="1">
      <c r="A25" s="36" t="s">
        <v>70</v>
      </c>
      <c r="B25" s="38">
        <v>5466.0</v>
      </c>
      <c r="C25" s="40">
        <f t="shared" si="1"/>
        <v>519</v>
      </c>
      <c r="D25" s="69">
        <v>282.0</v>
      </c>
      <c r="E25" s="45">
        <f t="shared" si="2"/>
        <v>43</v>
      </c>
      <c r="F25" s="59">
        <f t="shared" si="3"/>
        <v>0.05159165752</v>
      </c>
      <c r="G25" s="72">
        <v>429.0</v>
      </c>
      <c r="H25" s="72" t="s">
        <v>22</v>
      </c>
      <c r="I25" s="51" t="str">
        <f>HYPERLINK("https://experience.arcgis.com/experience/09f821667ce64bf7be6f9f87457ed9aa","Source")</f>
        <v>Source</v>
      </c>
      <c r="J25" s="50"/>
      <c r="K25" s="62"/>
      <c r="L25" s="38">
        <v>4947.0</v>
      </c>
      <c r="M25" s="69">
        <v>239.0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30.0" customHeight="1">
      <c r="A26" s="36" t="s">
        <v>71</v>
      </c>
      <c r="B26" s="38">
        <f>Australia!A3</f>
        <v>5116</v>
      </c>
      <c r="C26" s="40">
        <f t="shared" si="1"/>
        <v>254</v>
      </c>
      <c r="D26" s="38">
        <f>Australia!B3</f>
        <v>24</v>
      </c>
      <c r="E26" s="45">
        <f t="shared" si="2"/>
        <v>4</v>
      </c>
      <c r="F26" s="59">
        <f t="shared" si="3"/>
        <v>0.004691164973</v>
      </c>
      <c r="G26" s="48">
        <f>Australia!G17</f>
        <v>78</v>
      </c>
      <c r="H26" s="48">
        <f>Australia!C3</f>
        <v>520</v>
      </c>
      <c r="I26" s="51" t="str">
        <f>HYPERLINK("https://bnonews.com/index.php/2019/12/tracking-coronavirus-australia-data/","Source")</f>
        <v>Source</v>
      </c>
      <c r="J26" s="28"/>
      <c r="K26" s="62"/>
      <c r="L26" s="38">
        <v>4862.0</v>
      </c>
      <c r="M26" s="69">
        <v>20.0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30.0" customHeight="1">
      <c r="A27" s="36" t="s">
        <v>74</v>
      </c>
      <c r="B27" s="38">
        <v>5147.0</v>
      </c>
      <c r="C27" s="40">
        <f t="shared" si="1"/>
        <v>309</v>
      </c>
      <c r="D27" s="69">
        <v>50.0</v>
      </c>
      <c r="E27" s="45">
        <f t="shared" si="2"/>
        <v>7</v>
      </c>
      <c r="F27" s="41">
        <f t="shared" si="3"/>
        <v>0.009714396736</v>
      </c>
      <c r="G27" s="72">
        <v>96.0</v>
      </c>
      <c r="H27" s="72" t="s">
        <v>22</v>
      </c>
      <c r="I27" s="51" t="str">
        <f>HYPERLINK("https://www.vg.no/spesial/2020/corona/","Source")</f>
        <v>Source</v>
      </c>
      <c r="J27" s="50"/>
      <c r="K27" s="32"/>
      <c r="L27" s="38">
        <v>4838.0</v>
      </c>
      <c r="M27" s="69">
        <v>43.0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30.0" customHeight="1">
      <c r="A28" s="36" t="s">
        <v>75</v>
      </c>
      <c r="B28" s="38">
        <v>3849.0</v>
      </c>
      <c r="C28" s="40">
        <f t="shared" si="1"/>
        <v>402</v>
      </c>
      <c r="D28" s="69">
        <v>98.0</v>
      </c>
      <c r="E28" s="45">
        <f t="shared" si="2"/>
        <v>13</v>
      </c>
      <c r="F28" s="41">
        <f t="shared" si="3"/>
        <v>0.02546115874</v>
      </c>
      <c r="G28" s="72">
        <v>25.0</v>
      </c>
      <c r="H28" s="72" t="s">
        <v>22</v>
      </c>
      <c r="I28" s="51" t="str">
        <f>HYPERLINK("https://www.gov.ie/en/news/7e0924-latest-updates-on-covid-19-coronavirus/","Source")</f>
        <v>Source</v>
      </c>
      <c r="J28" s="91"/>
      <c r="K28" s="68" t="s">
        <v>34</v>
      </c>
      <c r="L28" s="38">
        <v>3447.0</v>
      </c>
      <c r="M28" s="69">
        <v>85.0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30.0" customHeight="1">
      <c r="A29" s="36" t="s">
        <v>77</v>
      </c>
      <c r="B29" s="38">
        <v>3858.0</v>
      </c>
      <c r="C29" s="40">
        <f t="shared" si="1"/>
        <v>269</v>
      </c>
      <c r="D29" s="69">
        <v>44.0</v>
      </c>
      <c r="E29" s="45">
        <f t="shared" si="2"/>
        <v>5</v>
      </c>
      <c r="F29" s="59">
        <f t="shared" si="3"/>
        <v>0.01140487299</v>
      </c>
      <c r="G29" s="72">
        <v>2.0</v>
      </c>
      <c r="H29" s="72">
        <v>67.0</v>
      </c>
      <c r="I29" s="51" t="str">
        <f>HYPERLINK("https://onemocneni-aktualne.mzcr.cz/covid-19","Source")</f>
        <v>Source</v>
      </c>
      <c r="J29" s="50"/>
      <c r="K29" s="68" t="s">
        <v>78</v>
      </c>
      <c r="L29" s="38">
        <v>3589.0</v>
      </c>
      <c r="M29" s="69">
        <v>39.0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30.0" customHeight="1">
      <c r="A30" s="36" t="s">
        <v>79</v>
      </c>
      <c r="B30" s="38">
        <v>3548.0</v>
      </c>
      <c r="C30" s="40">
        <f t="shared" si="1"/>
        <v>771</v>
      </c>
      <c r="D30" s="69">
        <v>30.0</v>
      </c>
      <c r="E30" s="45">
        <f t="shared" si="2"/>
        <v>6</v>
      </c>
      <c r="F30" s="41">
        <f t="shared" si="3"/>
        <v>0.008455467869</v>
      </c>
      <c r="G30" s="72" t="s">
        <v>22</v>
      </c>
      <c r="H30" s="72">
        <v>235.0</v>
      </c>
      <c r="I30" s="51" t="str">
        <f>HYPERLINK("https://www.interfax.ru/russia/702113","Source")</f>
        <v>Source</v>
      </c>
      <c r="J30" s="50"/>
      <c r="K30" s="68" t="s">
        <v>34</v>
      </c>
      <c r="L30" s="38">
        <v>2777.0</v>
      </c>
      <c r="M30" s="69">
        <v>24.0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30.0" customHeight="1">
      <c r="A31" s="36" t="s">
        <v>82</v>
      </c>
      <c r="B31" s="38">
        <v>3404.0</v>
      </c>
      <c r="C31" s="40">
        <f t="shared" si="1"/>
        <v>373</v>
      </c>
      <c r="D31" s="69">
        <v>18.0</v>
      </c>
      <c r="E31" s="45">
        <f t="shared" si="2"/>
        <v>2</v>
      </c>
      <c r="F31" s="59">
        <f t="shared" si="3"/>
        <v>0.005287896592</v>
      </c>
      <c r="G31" s="72">
        <v>142.0</v>
      </c>
      <c r="H31" s="72">
        <v>335.0</v>
      </c>
      <c r="I31" s="51" t="str">
        <f>HYPERLINK("https://www.minsal.cl/nuevo-coronavirus-2019-ncov/casos-confirmados-en-chile-covid-19/","Source")</f>
        <v>Source</v>
      </c>
      <c r="J31" s="50"/>
      <c r="K31" s="68" t="s">
        <v>34</v>
      </c>
      <c r="L31" s="38">
        <v>3031.0</v>
      </c>
      <c r="M31" s="69">
        <v>16.0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30.0" customHeight="1">
      <c r="A32" s="36" t="s">
        <v>84</v>
      </c>
      <c r="B32" s="38">
        <v>3563.0</v>
      </c>
      <c r="C32" s="40">
        <f t="shared" si="1"/>
        <v>471</v>
      </c>
      <c r="D32" s="69">
        <v>123.0</v>
      </c>
      <c r="E32" s="45">
        <f t="shared" si="2"/>
        <v>19</v>
      </c>
      <c r="F32" s="41">
        <f t="shared" si="3"/>
        <v>0.03452147067</v>
      </c>
      <c r="G32" s="72">
        <v>153.0</v>
      </c>
      <c r="H32" s="72">
        <v>3.0</v>
      </c>
      <c r="I32" s="51" t="str">
        <f>HYPERLINK("https://www.sst.dk/da/corona/tal-og-overvaagning","Source")</f>
        <v>Source</v>
      </c>
      <c r="J32" s="50"/>
      <c r="K32" s="32"/>
      <c r="L32" s="38">
        <v>3092.0</v>
      </c>
      <c r="M32" s="69">
        <v>104.0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30.0" customHeight="1">
      <c r="A33" s="36" t="s">
        <v>86</v>
      </c>
      <c r="B33" s="38">
        <v>3163.0</v>
      </c>
      <c r="C33" s="40">
        <f t="shared" si="1"/>
        <v>405</v>
      </c>
      <c r="D33" s="69">
        <v>120.0</v>
      </c>
      <c r="E33" s="45">
        <f t="shared" si="2"/>
        <v>22</v>
      </c>
      <c r="F33" s="41">
        <f t="shared" si="3"/>
        <v>0.03793866582</v>
      </c>
      <c r="G33" s="72">
        <v>122.0</v>
      </c>
      <c r="H33" s="72">
        <v>65.0</v>
      </c>
      <c r="I33" s="51" t="str">
        <f>HYPERLINK("https://twitter.com/Salud_Ec/status/1245746831797223424","Source")</f>
        <v>Source</v>
      </c>
      <c r="J33" s="50"/>
      <c r="K33" s="32"/>
      <c r="L33" s="38">
        <v>2758.0</v>
      </c>
      <c r="M33" s="69">
        <v>98.0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30.0" customHeight="1">
      <c r="A34" s="36" t="s">
        <v>88</v>
      </c>
      <c r="B34" s="38">
        <v>3116.0</v>
      </c>
      <c r="C34" s="40">
        <f t="shared" si="1"/>
        <v>208</v>
      </c>
      <c r="D34" s="69">
        <v>50.0</v>
      </c>
      <c r="E34" s="45">
        <f t="shared" si="2"/>
        <v>5</v>
      </c>
      <c r="F34" s="59">
        <f t="shared" si="3"/>
        <v>0.01604621309</v>
      </c>
      <c r="G34" s="72">
        <v>105.0</v>
      </c>
      <c r="H34" s="72">
        <v>767.0</v>
      </c>
      <c r="I34" s="51" t="str">
        <f>HYPERLINK("https://twitter.com/KKMPutrajaya/status/1245279224367214593","Source")</f>
        <v>Source</v>
      </c>
      <c r="J34" s="50"/>
      <c r="K34" s="68" t="s">
        <v>34</v>
      </c>
      <c r="L34" s="38">
        <v>2908.0</v>
      </c>
      <c r="M34" s="69">
        <v>45.0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27.75" customHeight="1">
      <c r="A35" s="36" t="s">
        <v>92</v>
      </c>
      <c r="B35" s="38">
        <v>2946.0</v>
      </c>
      <c r="C35" s="40">
        <f t="shared" si="1"/>
        <v>392</v>
      </c>
      <c r="D35" s="69">
        <v>57.0</v>
      </c>
      <c r="E35" s="45">
        <f t="shared" si="2"/>
        <v>14</v>
      </c>
      <c r="F35" s="59">
        <f t="shared" si="3"/>
        <v>0.01934826884</v>
      </c>
      <c r="G35" s="72" t="s">
        <v>22</v>
      </c>
      <c r="H35" s="72" t="s">
        <v>22</v>
      </c>
      <c r="I35" s="51" t="str">
        <f>HYPERLINK("https://twitter.com/MZ_GOV_PL/status/1245791725634928640","Source")</f>
        <v>Source</v>
      </c>
      <c r="J35" s="50"/>
      <c r="K35" s="68" t="s">
        <v>50</v>
      </c>
      <c r="L35" s="38">
        <v>2554.0</v>
      </c>
      <c r="M35" s="69">
        <v>43.0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30.0" customHeight="1">
      <c r="A36" s="36" t="s">
        <v>95</v>
      </c>
      <c r="B36" s="38">
        <v>2738.0</v>
      </c>
      <c r="C36" s="40">
        <f t="shared" si="1"/>
        <v>278</v>
      </c>
      <c r="D36" s="69">
        <v>115.0</v>
      </c>
      <c r="E36" s="45">
        <f t="shared" si="2"/>
        <v>23</v>
      </c>
      <c r="F36" s="41">
        <f t="shared" si="3"/>
        <v>0.04200146092</v>
      </c>
      <c r="G36" s="72">
        <v>36.0</v>
      </c>
      <c r="H36" s="72">
        <v>267.0</v>
      </c>
      <c r="I36" s="51" t="str">
        <f>HYPERLINK("http://www.ms.ro/2020/04/02/deces-115/","Source")</f>
        <v>Source</v>
      </c>
      <c r="J36" s="50"/>
      <c r="K36" s="68" t="s">
        <v>97</v>
      </c>
      <c r="L36" s="38">
        <v>2460.0</v>
      </c>
      <c r="M36" s="69">
        <v>92.0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30.0" customHeight="1">
      <c r="A37" s="36" t="s">
        <v>98</v>
      </c>
      <c r="B37" s="38">
        <v>2633.0</v>
      </c>
      <c r="C37" s="40">
        <f t="shared" si="1"/>
        <v>322</v>
      </c>
      <c r="D37" s="69">
        <v>107.0</v>
      </c>
      <c r="E37" s="45">
        <f t="shared" si="2"/>
        <v>11</v>
      </c>
      <c r="F37" s="41">
        <f t="shared" si="3"/>
        <v>0.04063805545</v>
      </c>
      <c r="G37" s="72" t="s">
        <v>22</v>
      </c>
      <c r="H37" s="72">
        <v>51.0</v>
      </c>
      <c r="I37" s="92" t="str">
        <f>HYPERLINK("https://www.doh.gov.ph/2019-nCoV","Source")</f>
        <v>Source</v>
      </c>
      <c r="J37" s="50"/>
      <c r="K37" s="32"/>
      <c r="L37" s="38">
        <v>2311.0</v>
      </c>
      <c r="M37" s="69">
        <v>96.0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30.0" customHeight="1">
      <c r="A38" s="36" t="s">
        <v>102</v>
      </c>
      <c r="B38" s="38">
        <v>2524.0</v>
      </c>
      <c r="C38" s="40">
        <f t="shared" si="1"/>
        <v>29</v>
      </c>
      <c r="D38" s="69">
        <v>71.0</v>
      </c>
      <c r="E38" s="45">
        <f t="shared" si="2"/>
        <v>2</v>
      </c>
      <c r="F38" s="59">
        <f t="shared" si="3"/>
        <v>0.02812995246</v>
      </c>
      <c r="G38" s="72">
        <v>60.0</v>
      </c>
      <c r="H38" s="72">
        <v>472.0</v>
      </c>
      <c r="I38" s="51" t="str">
        <f>HYPERLINK("https://www3.nhk.or.jp/news/html/20200401/k10012361701000.html?utm_int=all_contents_just-in_001","Source")</f>
        <v>Source</v>
      </c>
      <c r="J38" s="93"/>
      <c r="K38" s="32"/>
      <c r="L38" s="38">
        <v>2495.0</v>
      </c>
      <c r="M38" s="69">
        <v>69.0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30.0" customHeight="1">
      <c r="A39" s="36" t="s">
        <v>105</v>
      </c>
      <c r="B39" s="38">
        <v>2511.0</v>
      </c>
      <c r="C39" s="40">
        <f t="shared" si="1"/>
        <v>677</v>
      </c>
      <c r="D39" s="69">
        <v>69.0</v>
      </c>
      <c r="E39" s="45">
        <f t="shared" si="2"/>
        <v>31</v>
      </c>
      <c r="F39" s="59">
        <f t="shared" si="3"/>
        <v>0.027479092</v>
      </c>
      <c r="G39" s="72" t="s">
        <v>22</v>
      </c>
      <c r="H39" s="72">
        <v>188.0</v>
      </c>
      <c r="I39" s="51" t="str">
        <f>HYPERLINK("https://www.indiatoday.in/coronavirus","Source")</f>
        <v>Source</v>
      </c>
      <c r="J39" s="50"/>
      <c r="K39" s="32"/>
      <c r="L39" s="38">
        <v>1834.0</v>
      </c>
      <c r="M39" s="69">
        <v>38.0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30.0" customHeight="1">
      <c r="A40" s="36" t="s">
        <v>108</v>
      </c>
      <c r="B40" s="38">
        <v>2487.0</v>
      </c>
      <c r="C40" s="40">
        <f t="shared" si="1"/>
        <v>168</v>
      </c>
      <c r="D40" s="69">
        <v>30.0</v>
      </c>
      <c r="E40" s="45">
        <f t="shared" si="2"/>
        <v>1</v>
      </c>
      <c r="F40" s="41">
        <f t="shared" si="3"/>
        <v>0.01206272618</v>
      </c>
      <c r="G40" s="72" t="s">
        <v>22</v>
      </c>
      <c r="H40" s="72" t="s">
        <v>22</v>
      </c>
      <c r="I40" s="92" t="str">
        <f>HYPERLINK("https://gouvernement.lu/fr/dossiers.gouv_msan+fr+dossiers+2020+corona-virus.html","Source")</f>
        <v>Source</v>
      </c>
      <c r="J40" s="50"/>
      <c r="K40" s="68" t="s">
        <v>34</v>
      </c>
      <c r="L40" s="38">
        <v>2319.0</v>
      </c>
      <c r="M40" s="69">
        <v>29.0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30.0" customHeight="1">
      <c r="A41" s="36" t="s">
        <v>111</v>
      </c>
      <c r="B41" s="38">
        <v>2419.0</v>
      </c>
      <c r="C41" s="40">
        <f t="shared" si="1"/>
        <v>301</v>
      </c>
      <c r="D41" s="69">
        <v>34.0</v>
      </c>
      <c r="E41" s="45">
        <f t="shared" si="2"/>
        <v>6</v>
      </c>
      <c r="F41" s="41">
        <f t="shared" si="3"/>
        <v>0.01405539479</v>
      </c>
      <c r="G41" s="72">
        <v>11.0</v>
      </c>
      <c r="H41" s="72">
        <v>107.0</v>
      </c>
      <c r="I41" s="51" t="str">
        <f>HYPERLINK("https://www.dawn.com/live-blog/","Source")</f>
        <v>Source</v>
      </c>
      <c r="J41" s="50"/>
      <c r="K41" s="68" t="s">
        <v>114</v>
      </c>
      <c r="L41" s="38">
        <v>2118.0</v>
      </c>
      <c r="M41" s="69">
        <v>28.0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30.0" customHeight="1">
      <c r="A42" s="36" t="s">
        <v>116</v>
      </c>
      <c r="B42" s="38">
        <v>1885.0</v>
      </c>
      <c r="C42" s="40">
        <f t="shared" si="1"/>
        <v>165</v>
      </c>
      <c r="D42" s="69">
        <v>21.0</v>
      </c>
      <c r="E42" s="45">
        <f t="shared" si="2"/>
        <v>5</v>
      </c>
      <c r="F42" s="41">
        <f t="shared" si="3"/>
        <v>0.01114058355</v>
      </c>
      <c r="G42" s="72" t="s">
        <v>22</v>
      </c>
      <c r="H42" s="72">
        <v>328.0</v>
      </c>
      <c r="I42" s="51" t="str">
        <f>HYPERLINK("https://twitter.com/SaudiMOH/status/1245696309111250946","Source")</f>
        <v>Source</v>
      </c>
      <c r="J42" s="50"/>
      <c r="K42" s="68" t="s">
        <v>34</v>
      </c>
      <c r="L42" s="38">
        <v>1720.0</v>
      </c>
      <c r="M42" s="69">
        <v>16.0</v>
      </c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30.0" customHeight="1">
      <c r="A43" s="36" t="s">
        <v>119</v>
      </c>
      <c r="B43" s="38">
        <v>1875.0</v>
      </c>
      <c r="C43" s="40">
        <f t="shared" si="1"/>
        <v>104</v>
      </c>
      <c r="D43" s="69">
        <v>15.0</v>
      </c>
      <c r="E43" s="45">
        <f t="shared" si="2"/>
        <v>3</v>
      </c>
      <c r="F43" s="59">
        <f t="shared" si="3"/>
        <v>0.008</v>
      </c>
      <c r="G43" s="72">
        <v>12.0</v>
      </c>
      <c r="H43" s="72">
        <v>342.0</v>
      </c>
      <c r="I43" s="51" t="str">
        <f>HYPERLINK("https://twitter.com/TostevinM/status/1245587434944876545","Source")</f>
        <v>Source</v>
      </c>
      <c r="J43" s="28"/>
      <c r="K43" s="68" t="s">
        <v>34</v>
      </c>
      <c r="L43" s="38">
        <v>1771.0</v>
      </c>
      <c r="M43" s="69">
        <v>12.0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30.0" customHeight="1">
      <c r="A44" s="36" t="s">
        <v>121</v>
      </c>
      <c r="B44" s="38">
        <v>1790.0</v>
      </c>
      <c r="C44" s="40">
        <f t="shared" si="1"/>
        <v>113</v>
      </c>
      <c r="D44" s="69">
        <v>170.0</v>
      </c>
      <c r="E44" s="45">
        <f t="shared" si="2"/>
        <v>13</v>
      </c>
      <c r="F44" s="59">
        <f t="shared" si="3"/>
        <v>0.09497206704</v>
      </c>
      <c r="G44" s="72" t="s">
        <v>22</v>
      </c>
      <c r="H44" s="72">
        <v>103.0</v>
      </c>
      <c r="I44" s="51" t="str">
        <f>HYPERLINK("https://infeksiemerging.kemkes.go.id/","Source")</f>
        <v>Source</v>
      </c>
      <c r="J44" s="50"/>
      <c r="K44" s="68" t="s">
        <v>34</v>
      </c>
      <c r="L44" s="38">
        <v>1677.0</v>
      </c>
      <c r="M44" s="69">
        <v>157.0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30.0" customHeight="1">
      <c r="A45" s="36" t="s">
        <v>124</v>
      </c>
      <c r="B45" s="38">
        <v>1518.0</v>
      </c>
      <c r="C45" s="40">
        <f t="shared" si="1"/>
        <v>72</v>
      </c>
      <c r="D45" s="69">
        <v>19.0</v>
      </c>
      <c r="E45" s="45">
        <f t="shared" si="2"/>
        <v>2</v>
      </c>
      <c r="F45" s="41">
        <f t="shared" si="3"/>
        <v>0.01251646904</v>
      </c>
      <c r="G45" s="72">
        <v>65.0</v>
      </c>
      <c r="H45" s="72">
        <v>10.0</v>
      </c>
      <c r="I45" s="51" t="str">
        <f>HYPERLINK("https://thl.fi/fi/web/infektiotaudit-ja-rokotukset/ajankohtaista/ajankohtaista-koronaviruksesta-covid-19/tilannekatsaus-koronaviruksesta","Source")</f>
        <v>Source</v>
      </c>
      <c r="J45" s="50"/>
      <c r="K45" s="32"/>
      <c r="L45" s="38">
        <v>1446.0</v>
      </c>
      <c r="M45" s="69">
        <v>17.0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30.0" customHeight="1">
      <c r="A46" s="36" t="s">
        <v>126</v>
      </c>
      <c r="B46" s="38">
        <v>1474.0</v>
      </c>
      <c r="C46" s="40">
        <f t="shared" si="1"/>
        <v>59</v>
      </c>
      <c r="D46" s="69">
        <v>53.0</v>
      </c>
      <c r="E46" s="45">
        <f t="shared" si="2"/>
        <v>3</v>
      </c>
      <c r="F46" s="59">
        <f t="shared" si="3"/>
        <v>0.03595658073</v>
      </c>
      <c r="G46" s="72">
        <v>85.0</v>
      </c>
      <c r="H46" s="72">
        <v>52.0</v>
      </c>
      <c r="I46" s="51" t="str">
        <f>HYPERLINK("https://www.moh.gov.gr/articles/ministry/grafeio-typoy/press-releases/7006-enhmerwsh-diapisteymenwn-syntaktwn-ygeias-apo-ton-yfypoyrgo-politikhs-prostasias-kai-diaxeirishs-krisewn-niko-xardalia-kai-ton-ekproswpo-toy-ypoyrgeioy-ygeias-gia-to-neo-koronoio-k"&amp;"athhghth-swthrh-tsiodra-2-4-2020","Source")</f>
        <v>Source</v>
      </c>
      <c r="J46" s="50"/>
      <c r="K46" s="68" t="s">
        <v>34</v>
      </c>
      <c r="L46" s="38">
        <v>1415.0</v>
      </c>
      <c r="M46" s="69">
        <v>50.0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27.75" customHeight="1">
      <c r="A47" s="36" t="s">
        <v>130</v>
      </c>
      <c r="B47" s="38">
        <v>1462.0</v>
      </c>
      <c r="C47" s="40">
        <f t="shared" si="1"/>
        <v>82</v>
      </c>
      <c r="D47" s="69">
        <v>5.0</v>
      </c>
      <c r="E47" s="45">
        <f t="shared" si="2"/>
        <v>0</v>
      </c>
      <c r="F47" s="59">
        <f t="shared" si="3"/>
        <v>0.00341997264</v>
      </c>
      <c r="G47" s="72">
        <v>4.0</v>
      </c>
      <c r="H47" s="72">
        <v>31.0</v>
      </c>
      <c r="I47" s="51" t="str">
        <f>HYPERLINK("https://www.health24.com/Medical/Infectious-diseases/Coronavirus/coronavirus-in-sa-all-the-confirmed-cases-20200312","Source")</f>
        <v>Source</v>
      </c>
      <c r="J47" s="50"/>
      <c r="K47" s="32"/>
      <c r="L47" s="38">
        <v>1380.0</v>
      </c>
      <c r="M47" s="69">
        <v>5.0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30.0" customHeight="1">
      <c r="A48" s="36" t="s">
        <v>133</v>
      </c>
      <c r="B48" s="38">
        <v>1414.0</v>
      </c>
      <c r="C48" s="40">
        <f t="shared" si="1"/>
        <v>91</v>
      </c>
      <c r="D48" s="69">
        <v>55.0</v>
      </c>
      <c r="E48" s="45">
        <f t="shared" si="2"/>
        <v>8</v>
      </c>
      <c r="F48" s="59">
        <f t="shared" si="3"/>
        <v>0.03889674682</v>
      </c>
      <c r="G48" s="72">
        <v>56.0</v>
      </c>
      <c r="H48" s="72">
        <v>447.0</v>
      </c>
      <c r="I48" s="92" t="str">
        <f>HYPERLINK("https://covid19.minsa.gob.pe/sala_situacional.asp","Source")</f>
        <v>Source</v>
      </c>
      <c r="J48" s="50"/>
      <c r="K48" s="32"/>
      <c r="L48" s="38">
        <v>1323.0</v>
      </c>
      <c r="M48" s="69">
        <v>47.0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30.0" customHeight="1">
      <c r="A49" s="36" t="s">
        <v>136</v>
      </c>
      <c r="B49" s="38">
        <v>1378.0</v>
      </c>
      <c r="C49" s="40">
        <f t="shared" si="1"/>
        <v>163</v>
      </c>
      <c r="D49" s="69">
        <v>37.0</v>
      </c>
      <c r="E49" s="45">
        <f t="shared" si="2"/>
        <v>8</v>
      </c>
      <c r="F49" s="41">
        <f t="shared" si="3"/>
        <v>0.02685050798</v>
      </c>
      <c r="G49" s="72">
        <v>17.0</v>
      </c>
      <c r="H49" s="72">
        <v>35.0</v>
      </c>
      <c r="I49" s="92" t="str">
        <f>HYPERLINK("https://twitter.com/HLGatell/status/1245519305707597824","Source")</f>
        <v>Source</v>
      </c>
      <c r="J49" s="50"/>
      <c r="K49" s="68" t="s">
        <v>34</v>
      </c>
      <c r="L49" s="38">
        <v>1215.0</v>
      </c>
      <c r="M49" s="69">
        <v>29.0</v>
      </c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30.0" customHeight="1">
      <c r="A50" s="36" t="s">
        <v>138</v>
      </c>
      <c r="B50" s="38">
        <v>1380.0</v>
      </c>
      <c r="C50" s="40">
        <f t="shared" si="1"/>
        <v>96</v>
      </c>
      <c r="D50" s="69">
        <v>60.0</v>
      </c>
      <c r="E50" s="45">
        <f t="shared" si="2"/>
        <v>3</v>
      </c>
      <c r="F50" s="59">
        <f t="shared" si="3"/>
        <v>0.04347826087</v>
      </c>
      <c r="G50" s="72" t="s">
        <v>22</v>
      </c>
      <c r="H50" s="72">
        <v>16.0</v>
      </c>
      <c r="I50" s="51" t="str">
        <f>HYPERLINK("https://www.msp.gob.do/web/?p=6883","Source")</f>
        <v>Source</v>
      </c>
      <c r="J50" s="95"/>
      <c r="K50" s="32"/>
      <c r="L50" s="38">
        <v>1284.0</v>
      </c>
      <c r="M50" s="69">
        <v>57.0</v>
      </c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30.0" customHeight="1">
      <c r="A51" s="36" t="s">
        <v>143</v>
      </c>
      <c r="B51" s="38">
        <v>1319.0</v>
      </c>
      <c r="C51" s="40">
        <f t="shared" si="1"/>
        <v>99</v>
      </c>
      <c r="D51" s="69">
        <v>2.0</v>
      </c>
      <c r="E51" s="45">
        <f t="shared" si="2"/>
        <v>0</v>
      </c>
      <c r="F51" s="41">
        <f t="shared" si="3"/>
        <v>0.001516300227</v>
      </c>
      <c r="G51" s="72">
        <v>11.0</v>
      </c>
      <c r="H51" s="72">
        <v>284.0</v>
      </c>
      <c r="I51" s="51" t="str">
        <f>HYPERLINK("https://www.covid.is/tolulegar-upplysingar","Source")</f>
        <v>Source</v>
      </c>
      <c r="J51" s="96"/>
      <c r="K51" s="32"/>
      <c r="L51" s="38">
        <v>1220.0</v>
      </c>
      <c r="M51" s="69">
        <v>2.0</v>
      </c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27.75" customHeight="1">
      <c r="A52" s="36" t="s">
        <v>147</v>
      </c>
      <c r="B52" s="38">
        <v>1475.0</v>
      </c>
      <c r="C52" s="40">
        <f t="shared" si="1"/>
        <v>158</v>
      </c>
      <c r="D52" s="69">
        <v>37.0</v>
      </c>
      <c r="E52" s="45">
        <f t="shared" si="2"/>
        <v>5</v>
      </c>
      <c r="F52" s="59">
        <f t="shared" si="3"/>
        <v>0.02508474576</v>
      </c>
      <c r="G52" s="72" t="s">
        <v>22</v>
      </c>
      <c r="H52" s="72">
        <v>10.0</v>
      </c>
      <c r="I52" s="92" t="str">
        <f>HYPERLINK("https://geosocial.maps.arcgis.com/apps/opsdashboard/index.html#/2c6e932c690d467b85375af52b614472","Source")</f>
        <v>Source</v>
      </c>
      <c r="J52" s="50"/>
      <c r="K52" s="32"/>
      <c r="L52" s="38">
        <v>1317.0</v>
      </c>
      <c r="M52" s="69">
        <v>32.0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27.75" customHeight="1">
      <c r="A53" s="36" t="s">
        <v>150</v>
      </c>
      <c r="B53" s="38">
        <v>1265.0</v>
      </c>
      <c r="C53" s="40">
        <f t="shared" si="1"/>
        <v>132</v>
      </c>
      <c r="D53" s="69">
        <v>37.0</v>
      </c>
      <c r="E53" s="45">
        <f t="shared" si="2"/>
        <v>6</v>
      </c>
      <c r="F53" s="41">
        <f t="shared" si="3"/>
        <v>0.02924901186</v>
      </c>
      <c r="G53" s="72" t="s">
        <v>22</v>
      </c>
      <c r="H53" s="72">
        <v>63.0</v>
      </c>
      <c r="I53" s="92" t="str">
        <f>HYPERLINK("https://www.argentina.gob.ar/sites/default/files/30-03-20-reporte-vespertino-covid-19.pdf","Source")</f>
        <v>Source</v>
      </c>
      <c r="J53" s="50"/>
      <c r="K53" s="32"/>
      <c r="L53" s="38">
        <v>1133.0</v>
      </c>
      <c r="M53" s="69">
        <v>31.0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27.75" customHeight="1">
      <c r="A54" s="36" t="s">
        <v>153</v>
      </c>
      <c r="B54" s="38">
        <v>1171.0</v>
      </c>
      <c r="C54" s="40">
        <f t="shared" si="1"/>
        <v>111</v>
      </c>
      <c r="D54" s="69">
        <v>31.0</v>
      </c>
      <c r="E54" s="45">
        <f t="shared" si="2"/>
        <v>3</v>
      </c>
      <c r="F54" s="41">
        <f t="shared" si="3"/>
        <v>0.02647309991</v>
      </c>
      <c r="G54" s="72">
        <v>49.0</v>
      </c>
      <c r="H54" s="72" t="s">
        <v>22</v>
      </c>
      <c r="I54" s="51" t="str">
        <f>HYPERLINK("https://covid19.rs/homepage-english/","Source")</f>
        <v>Source</v>
      </c>
      <c r="J54" s="50"/>
      <c r="K54" s="32"/>
      <c r="L54" s="38">
        <v>1060.0</v>
      </c>
      <c r="M54" s="69">
        <v>28.0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27.75" customHeight="1">
      <c r="A55" s="36" t="s">
        <v>156</v>
      </c>
      <c r="B55" s="38">
        <v>1161.0</v>
      </c>
      <c r="C55" s="40">
        <f t="shared" si="1"/>
        <v>96</v>
      </c>
      <c r="D55" s="69">
        <v>19.0</v>
      </c>
      <c r="E55" s="45">
        <f t="shared" si="2"/>
        <v>2</v>
      </c>
      <c r="F55" s="41">
        <f t="shared" si="3"/>
        <v>0.01636520241</v>
      </c>
      <c r="G55" s="72" t="s">
        <v>22</v>
      </c>
      <c r="H55" s="72">
        <v>55.0</v>
      </c>
      <c r="I55" s="92" t="str">
        <f>HYPERLINK("https://coronaviruscolombia.gov.co/Covid19/index.html","Source")</f>
        <v>Source</v>
      </c>
      <c r="J55" s="50"/>
      <c r="K55" s="32"/>
      <c r="L55" s="38">
        <v>1065.0</v>
      </c>
      <c r="M55" s="69">
        <v>17.0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30.0" customHeight="1">
      <c r="A56" s="36" t="s">
        <v>158</v>
      </c>
      <c r="B56" s="38">
        <v>1049.0</v>
      </c>
      <c r="C56" s="40">
        <f t="shared" si="1"/>
        <v>49</v>
      </c>
      <c r="D56" s="69">
        <v>4.0</v>
      </c>
      <c r="E56" s="45">
        <f t="shared" si="2"/>
        <v>0</v>
      </c>
      <c r="F56" s="41">
        <f t="shared" si="3"/>
        <v>0.003813155386</v>
      </c>
      <c r="G56" s="72">
        <v>23.0</v>
      </c>
      <c r="H56" s="72">
        <v>266.0</v>
      </c>
      <c r="I56" s="51" t="str">
        <f>HYPERLINK("https://www.moh.gov.sg/news-highlights/details/21-more-cases-discharged-49-new-cases-of-covid-19-infection-confirmed","Source")</f>
        <v>Source</v>
      </c>
      <c r="J56" s="50"/>
      <c r="K56" s="32"/>
      <c r="L56" s="38">
        <v>1000.0</v>
      </c>
      <c r="M56" s="69">
        <v>4.0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30.0" customHeight="1">
      <c r="A57" s="36" t="s">
        <v>160</v>
      </c>
      <c r="B57" s="38">
        <v>1024.0</v>
      </c>
      <c r="C57" s="40">
        <f t="shared" si="1"/>
        <v>210</v>
      </c>
      <c r="D57" s="69">
        <v>8.0</v>
      </c>
      <c r="E57" s="45">
        <f t="shared" si="2"/>
        <v>0</v>
      </c>
      <c r="F57" s="59">
        <f t="shared" si="3"/>
        <v>0.0078125</v>
      </c>
      <c r="G57" s="72">
        <v>0.0</v>
      </c>
      <c r="H57" s="72">
        <v>96.0</v>
      </c>
      <c r="I57" s="51" t="str">
        <f>HYPERLINK("https://twitter.com/DHA_Dubai/status/1245786991322693638","Source")</f>
        <v>Source</v>
      </c>
      <c r="J57" s="50"/>
      <c r="K57" s="32"/>
      <c r="L57" s="69">
        <v>814.0</v>
      </c>
      <c r="M57" s="69">
        <v>8.0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30.0" customHeight="1">
      <c r="A58" s="36" t="s">
        <v>162</v>
      </c>
      <c r="B58" s="38">
        <v>1011.0</v>
      </c>
      <c r="C58" s="40">
        <f t="shared" si="1"/>
        <v>48</v>
      </c>
      <c r="D58" s="69">
        <v>7.0</v>
      </c>
      <c r="E58" s="45">
        <f t="shared" si="2"/>
        <v>1</v>
      </c>
      <c r="F58" s="41">
        <f t="shared" si="3"/>
        <v>0.006923837784</v>
      </c>
      <c r="G58" s="72">
        <v>35.0</v>
      </c>
      <c r="H58" s="72">
        <v>88.0</v>
      </c>
      <c r="I58" s="51" t="str">
        <f>HYPERLINK("https://www.koronavirus.hr/najnovije/ukupno-dosad-1011-osoba-zarazenih-koronavirusom/35","Source")</f>
        <v>Source</v>
      </c>
      <c r="J58" s="91"/>
      <c r="K58" s="32"/>
      <c r="L58" s="69">
        <v>963.0</v>
      </c>
      <c r="M58" s="69">
        <v>6.0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30.0" customHeight="1">
      <c r="A59" s="36" t="s">
        <v>164</v>
      </c>
      <c r="B59" s="69">
        <v>986.0</v>
      </c>
      <c r="C59" s="40">
        <f t="shared" si="1"/>
        <v>139</v>
      </c>
      <c r="D59" s="69">
        <v>83.0</v>
      </c>
      <c r="E59" s="45">
        <f t="shared" si="2"/>
        <v>25</v>
      </c>
      <c r="F59" s="41">
        <f t="shared" si="3"/>
        <v>0.08417849899</v>
      </c>
      <c r="G59" s="72" t="s">
        <v>22</v>
      </c>
      <c r="H59" s="72">
        <v>61.0</v>
      </c>
      <c r="I59" s="51" t="str">
        <f>HYPERLINK("http://www.aps.dz/sante-science-technologie/103660-coronavirus-986-cas-confirmes-83-deces-enregistres-en-algerie","Source")</f>
        <v>Source</v>
      </c>
      <c r="J59" s="50"/>
      <c r="K59" s="32"/>
      <c r="L59" s="69">
        <v>847.0</v>
      </c>
      <c r="M59" s="69">
        <v>58.0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30.0" customHeight="1">
      <c r="A60" s="36" t="s">
        <v>166</v>
      </c>
      <c r="B60" s="69">
        <v>949.0</v>
      </c>
      <c r="C60" s="40">
        <f t="shared" si="1"/>
        <v>114</v>
      </c>
      <c r="D60" s="69">
        <v>3.0</v>
      </c>
      <c r="E60" s="45">
        <f t="shared" si="2"/>
        <v>1</v>
      </c>
      <c r="F60" s="41">
        <f t="shared" si="3"/>
        <v>0.003161222339</v>
      </c>
      <c r="G60" s="72" t="s">
        <v>22</v>
      </c>
      <c r="H60" s="72">
        <v>62.0</v>
      </c>
      <c r="I60" s="51" t="str">
        <f>HYPERLINK("https://twitter.com/MOPHQatar/status/1245781121138393088","Source")</f>
        <v>Source</v>
      </c>
      <c r="J60" s="50"/>
      <c r="K60" s="32"/>
      <c r="L60" s="69">
        <v>835.0</v>
      </c>
      <c r="M60" s="69">
        <v>2.0</v>
      </c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27.75" customHeight="1">
      <c r="A61" s="36" t="s">
        <v>168</v>
      </c>
      <c r="B61" s="69">
        <v>897.0</v>
      </c>
      <c r="C61" s="40">
        <f t="shared" si="1"/>
        <v>56</v>
      </c>
      <c r="D61" s="69">
        <v>16.0</v>
      </c>
      <c r="E61" s="45">
        <f t="shared" si="2"/>
        <v>1</v>
      </c>
      <c r="F61" s="59">
        <f t="shared" si="3"/>
        <v>0.01783723523</v>
      </c>
      <c r="G61" s="72">
        <v>29.0</v>
      </c>
      <c r="H61" s="72">
        <v>6.0</v>
      </c>
      <c r="I61" s="51" t="str">
        <f>HYPERLINK("https://www.gov.si/en/topics/coronavirus-disease-covid-19/","Source")</f>
        <v>Source</v>
      </c>
      <c r="J61" s="50"/>
      <c r="K61" s="32"/>
      <c r="L61" s="69">
        <v>841.0</v>
      </c>
      <c r="M61" s="69">
        <v>15.0</v>
      </c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30.0" customHeight="1">
      <c r="A62" s="36" t="s">
        <v>169</v>
      </c>
      <c r="B62" s="69">
        <v>897.0</v>
      </c>
      <c r="C62" s="40">
        <f t="shared" si="1"/>
        <v>103</v>
      </c>
      <c r="D62" s="69">
        <v>22.0</v>
      </c>
      <c r="E62" s="45">
        <f t="shared" si="2"/>
        <v>2</v>
      </c>
      <c r="F62" s="59">
        <f t="shared" si="3"/>
        <v>0.02452619844</v>
      </c>
      <c r="G62" s="72">
        <v>1.0</v>
      </c>
      <c r="H62" s="72">
        <v>19.0</v>
      </c>
      <c r="I62" s="51" t="str">
        <f>HYPERLINK("https://t.me/s/COVID19_Ukraine","Source")</f>
        <v>Source</v>
      </c>
      <c r="J62" s="50"/>
      <c r="K62" s="68" t="s">
        <v>170</v>
      </c>
      <c r="L62" s="69">
        <v>794.0</v>
      </c>
      <c r="M62" s="69">
        <v>20.0</v>
      </c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30.0" customHeight="1">
      <c r="A63" s="36" t="s">
        <v>171</v>
      </c>
      <c r="B63" s="69">
        <v>865.0</v>
      </c>
      <c r="C63" s="40">
        <f t="shared" si="1"/>
        <v>86</v>
      </c>
      <c r="D63" s="69">
        <v>58.0</v>
      </c>
      <c r="E63" s="45">
        <f t="shared" si="2"/>
        <v>6</v>
      </c>
      <c r="F63" s="59">
        <f t="shared" si="3"/>
        <v>0.06705202312</v>
      </c>
      <c r="G63" s="72" t="s">
        <v>22</v>
      </c>
      <c r="H63" s="72">
        <v>201.0</v>
      </c>
      <c r="I63" s="92" t="str">
        <f>HYPERLINK("https://www.facebook.com/EgyMohpSpokes/videos/262203641617255/?__xts__%5B0%5D=68.ARBWTSzCzn1Al84JTaiXnFQ7fua2962Q6d46hiOJq8_TBONlat4AwHmHaNsFSgQ-IyqH4vcvmQxYSr2ePqxlXXn8pgqKhZ3JXWr2l5tzhdjFIAGJmDLuDv3-W3yiNpO8CFVZ7UuAX8-VEHC-WJBu9l_04g4vIW-D4SMivAMycscYl3"&amp;"8atG4Koc4yKdz16xKMuutxQeBqv-4oPPk9we12M4drIYGjw0px_VPbWdCjhO47AFDgXsuH4MrmWUl-NUTVQDkdAszbFFQ1pl1OEI_Ph0DpkiBFzpnNOnsGOFHfLRfypfM9oKGPArEM7E75gEM4aEt-Z7e_54YJgClR0z7yPRXBVy6RdNNCMWXBAw&amp;__tn__=-R","Source")</f>
        <v>Source</v>
      </c>
      <c r="J63" s="50"/>
      <c r="K63" s="68" t="s">
        <v>34</v>
      </c>
      <c r="L63" s="69">
        <v>779.0</v>
      </c>
      <c r="M63" s="69">
        <v>52.0</v>
      </c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30.0" customHeight="1">
      <c r="A64" s="36" t="s">
        <v>174</v>
      </c>
      <c r="B64" s="69">
        <v>858.0</v>
      </c>
      <c r="C64" s="40">
        <f t="shared" si="1"/>
        <v>79</v>
      </c>
      <c r="D64" s="69">
        <v>11.0</v>
      </c>
      <c r="E64" s="45">
        <f t="shared" si="2"/>
        <v>6</v>
      </c>
      <c r="F64" s="41">
        <f t="shared" si="3"/>
        <v>0.01282051282</v>
      </c>
      <c r="G64" s="72">
        <v>16.0</v>
      </c>
      <c r="H64" s="72">
        <v>33.0</v>
      </c>
      <c r="I64" s="92" t="str">
        <f>HYPERLINK("https://www.terviseamet.ee/et/uuskoroonaviirus","Source")</f>
        <v>Source</v>
      </c>
      <c r="J64" s="50"/>
      <c r="K64" s="68" t="s">
        <v>34</v>
      </c>
      <c r="L64" s="69">
        <v>779.0</v>
      </c>
      <c r="M64" s="69">
        <v>5.0</v>
      </c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30.0" customHeight="1">
      <c r="A65" s="36" t="s">
        <v>175</v>
      </c>
      <c r="B65" s="69">
        <v>803.0</v>
      </c>
      <c r="C65" s="40">
        <f t="shared" si="1"/>
        <v>37</v>
      </c>
      <c r="D65" s="69">
        <v>4.0</v>
      </c>
      <c r="E65" s="45">
        <f t="shared" si="2"/>
        <v>0</v>
      </c>
      <c r="F65" s="59">
        <f t="shared" si="3"/>
        <v>0.00498132005</v>
      </c>
      <c r="G65" s="72" t="s">
        <v>22</v>
      </c>
      <c r="H65" s="72">
        <v>154.0</v>
      </c>
      <c r="I65" s="92" t="str">
        <f>HYPERLINK("https://chp-dashboard.geodata.gov.hk/covid-19/en.html","Source")</f>
        <v>Source</v>
      </c>
      <c r="J65" s="50"/>
      <c r="K65" s="68" t="s">
        <v>34</v>
      </c>
      <c r="L65" s="69">
        <v>766.0</v>
      </c>
      <c r="M65" s="69">
        <v>4.0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30.0" customHeight="1">
      <c r="A66" s="36" t="s">
        <v>176</v>
      </c>
      <c r="B66" s="69">
        <v>797.0</v>
      </c>
      <c r="C66" s="40">
        <f t="shared" si="1"/>
        <v>0</v>
      </c>
      <c r="D66" s="69">
        <v>1.0</v>
      </c>
      <c r="E66" s="45">
        <f t="shared" si="2"/>
        <v>0</v>
      </c>
      <c r="F66" s="41">
        <f t="shared" si="3"/>
        <v>0.001254705144</v>
      </c>
      <c r="G66" s="72">
        <v>2.0</v>
      </c>
      <c r="H66" s="72">
        <v>74.0</v>
      </c>
      <c r="I66" s="51" t="str">
        <f>HYPERLINK("https://www.health.govt.nz/news-media/media-releases/61-new-cases-covid-19","Source")</f>
        <v>Source</v>
      </c>
      <c r="J66" s="28"/>
      <c r="K66" s="32"/>
      <c r="L66" s="69">
        <v>797.0</v>
      </c>
      <c r="M66" s="69">
        <v>1.0</v>
      </c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30.0" customHeight="1">
      <c r="A67" s="36" t="s">
        <v>178</v>
      </c>
      <c r="B67" s="69">
        <v>772.0</v>
      </c>
      <c r="C67" s="40">
        <f t="shared" si="1"/>
        <v>44</v>
      </c>
      <c r="D67" s="69">
        <v>54.0</v>
      </c>
      <c r="E67" s="45">
        <f t="shared" si="2"/>
        <v>2</v>
      </c>
      <c r="F67" s="59">
        <f t="shared" si="3"/>
        <v>0.06994818653</v>
      </c>
      <c r="G67" s="72" t="s">
        <v>22</v>
      </c>
      <c r="H67" s="72">
        <v>202.0</v>
      </c>
      <c r="I67" s="51" t="str">
        <f>HYPERLINK("https://www.facebook.com/MOH.GOV.IQ/photos/a.860171854037214/2844509845603395/?type=3&amp;__xts__%5B0%5D=68.ARB1PX_po3PFC2UYglgBMH4S7MKOwM4HDwSiujSKmH6Bl70W8lKEm4GZH9BYdO1paAp4qMwgaPAfCms6uMtAOgp_eE6sn-7372VpAuxZz7SsICPIuph4rB7RdK0VbHzXjkxJe6uKua9UhSNon2ikcln"&amp;"xrVMrTF-Q60AsujZWZuHTe_Uv6AAsIlorG0VidsBipZqEDDCwTFqkpHYLxUf1iFGbdD-LdLEhfOvc2vyfDUlqH21LTzs2iS2ZZmE5sEtvnKkV1NeV5tSQ0yoUCY4CpReREBozYBk0hPNi4zSSM0KcRtqsQr80kD42fkArfWpsEtWolQx0TnIN8Ean3F8pQbNFVA&amp;__tn__=-R","Source")</f>
        <v>Source</v>
      </c>
      <c r="J67" s="50"/>
      <c r="K67" s="68" t="s">
        <v>34</v>
      </c>
      <c r="L67" s="69">
        <v>728.0</v>
      </c>
      <c r="M67" s="69">
        <v>52.0</v>
      </c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30.0" customHeight="1">
      <c r="A68" s="36" t="s">
        <v>191</v>
      </c>
      <c r="B68" s="69">
        <v>712.0</v>
      </c>
      <c r="C68" s="40">
        <f t="shared" si="1"/>
        <v>0</v>
      </c>
      <c r="D68" s="69">
        <v>11.0</v>
      </c>
      <c r="E68" s="45">
        <f t="shared" si="2"/>
        <v>0</v>
      </c>
      <c r="F68" s="59">
        <f t="shared" si="3"/>
        <v>0.0154494382</v>
      </c>
      <c r="G68" s="72">
        <v>10.0</v>
      </c>
      <c r="H68" s="72">
        <v>619.0</v>
      </c>
      <c r="I68" s="51" t="str">
        <f>HYPERLINK("https://www3.nhk.or.jp/news/html/20200401/k10012361701000.html?utm_int=word_contents_list-items_032&amp;word_result=%E6%96%B0%E5%9E%8B%E3%82%B3%E3%83%AD%E3%83%8A%E3%82%A6%E3%82%A4%E3%83%AB%E3%82%B9","Source")</f>
        <v>Source</v>
      </c>
      <c r="J68" s="28"/>
      <c r="K68" s="32"/>
      <c r="L68" s="69">
        <v>712.0</v>
      </c>
      <c r="M68" s="69">
        <v>11.0</v>
      </c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30.0" customHeight="1">
      <c r="A69" s="36" t="s">
        <v>193</v>
      </c>
      <c r="B69" s="69">
        <v>708.0</v>
      </c>
      <c r="C69" s="40">
        <f t="shared" si="1"/>
        <v>54</v>
      </c>
      <c r="D69" s="69">
        <v>44.0</v>
      </c>
      <c r="E69" s="45">
        <f t="shared" si="2"/>
        <v>5</v>
      </c>
      <c r="F69" s="59">
        <f t="shared" si="3"/>
        <v>0.06214689266</v>
      </c>
      <c r="G69" s="72" t="s">
        <v>22</v>
      </c>
      <c r="H69" s="72">
        <v>31.0</v>
      </c>
      <c r="I69" s="51" t="str">
        <f>HYPERLINK("http://www.covidmaroc.ma/Pages/AccueilAR.aspx","Source")</f>
        <v>Source</v>
      </c>
      <c r="J69" s="50"/>
      <c r="K69" s="68" t="s">
        <v>195</v>
      </c>
      <c r="L69" s="69">
        <v>654.0</v>
      </c>
      <c r="M69" s="69">
        <v>39.0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30.0" customHeight="1">
      <c r="A70" s="36" t="s">
        <v>197</v>
      </c>
      <c r="B70" s="69">
        <v>663.0</v>
      </c>
      <c r="C70" s="40">
        <f t="shared" si="1"/>
        <v>92</v>
      </c>
      <c r="D70" s="69">
        <v>7.0</v>
      </c>
      <c r="E70" s="45">
        <f t="shared" si="2"/>
        <v>3</v>
      </c>
      <c r="F70" s="59">
        <f t="shared" si="3"/>
        <v>0.01055806938</v>
      </c>
      <c r="G70" s="72">
        <v>0.0</v>
      </c>
      <c r="H70" s="72">
        <v>33.0</v>
      </c>
      <c r="I70" s="51" t="str">
        <f>HYPERLINK("https://www.panarmenian.net/eng/news/279806/","Source")</f>
        <v>Source</v>
      </c>
      <c r="J70" s="50"/>
      <c r="K70" s="32"/>
      <c r="L70" s="69">
        <v>571.0</v>
      </c>
      <c r="M70" s="69">
        <v>4.0</v>
      </c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30.0" customHeight="1">
      <c r="A71" s="36" t="s">
        <v>206</v>
      </c>
      <c r="B71" s="69">
        <v>649.0</v>
      </c>
      <c r="C71" s="40">
        <f t="shared" si="1"/>
        <v>68</v>
      </c>
      <c r="D71" s="69">
        <v>8.0</v>
      </c>
      <c r="E71" s="45">
        <f t="shared" si="2"/>
        <v>0</v>
      </c>
      <c r="F71" s="41">
        <f t="shared" si="3"/>
        <v>0.01232665639</v>
      </c>
      <c r="G71" s="72" t="s">
        <v>22</v>
      </c>
      <c r="H71" s="72">
        <v>7.0</v>
      </c>
      <c r="I71" s="51" t="str">
        <f>HYPERLINK("http://sam.lrv.lt/koronavirusas","Source")</f>
        <v>Source</v>
      </c>
      <c r="J71" s="91"/>
      <c r="K71" s="32"/>
      <c r="L71" s="69">
        <v>581.0</v>
      </c>
      <c r="M71" s="69">
        <v>8.0</v>
      </c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30.0" customHeight="1">
      <c r="A72" s="36" t="s">
        <v>210</v>
      </c>
      <c r="B72" s="69">
        <v>635.0</v>
      </c>
      <c r="C72" s="40">
        <f t="shared" si="1"/>
        <v>66</v>
      </c>
      <c r="D72" s="69">
        <v>4.0</v>
      </c>
      <c r="E72" s="45">
        <f t="shared" si="2"/>
        <v>0</v>
      </c>
      <c r="F72" s="41">
        <f t="shared" si="3"/>
        <v>0.006299212598</v>
      </c>
      <c r="G72" s="72">
        <v>3.0</v>
      </c>
      <c r="H72" s="72">
        <v>341.0</v>
      </c>
      <c r="I72" s="51" t="str">
        <f>HYPERLINK("https://www.moh.gov.bh/COVID19","Source")</f>
        <v>Source</v>
      </c>
      <c r="J72" s="91"/>
      <c r="K72" s="32"/>
      <c r="L72" s="69">
        <v>569.0</v>
      </c>
      <c r="M72" s="69">
        <v>4.0</v>
      </c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30.0" customHeight="1">
      <c r="A73" s="36" t="s">
        <v>212</v>
      </c>
      <c r="B73" s="69">
        <v>585.0</v>
      </c>
      <c r="C73" s="40">
        <f t="shared" si="1"/>
        <v>60</v>
      </c>
      <c r="D73" s="69">
        <v>21.0</v>
      </c>
      <c r="E73" s="45">
        <f t="shared" si="2"/>
        <v>1</v>
      </c>
      <c r="F73" s="41">
        <f t="shared" si="3"/>
        <v>0.0358974359</v>
      </c>
      <c r="G73" s="72">
        <v>23.0</v>
      </c>
      <c r="H73" s="72">
        <v>42.0</v>
      </c>
      <c r="I73" s="51" t="str">
        <f>HYPERLINK("https://koronavirus.gov.hu/cikkek/jelenleg-17-fo-van-lelegeztetogepen","Source")</f>
        <v>Source</v>
      </c>
      <c r="J73" s="50"/>
      <c r="K73" s="68" t="s">
        <v>34</v>
      </c>
      <c r="L73" s="69">
        <v>525.0</v>
      </c>
      <c r="M73" s="69">
        <v>20.0</v>
      </c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27.75" customHeight="1">
      <c r="A74" s="36" t="s">
        <v>214</v>
      </c>
      <c r="B74" s="69">
        <v>518.0</v>
      </c>
      <c r="C74" s="40">
        <f t="shared" si="1"/>
        <v>59</v>
      </c>
      <c r="D74" s="69">
        <v>15.0</v>
      </c>
      <c r="E74" s="45">
        <f t="shared" si="2"/>
        <v>2</v>
      </c>
      <c r="F74" s="41">
        <f t="shared" si="3"/>
        <v>0.02895752896</v>
      </c>
      <c r="G74" s="72" t="s">
        <v>22</v>
      </c>
      <c r="H74" s="72">
        <v>20.0</v>
      </c>
      <c r="I74" s="51" t="str">
        <f>HYPERLINK("https://www.klix.ba/vijesti/bih/novi-slucaj-koronavirusa-u-bih-zarazena-direktorica-ginexa-iz-gorazda/200319193","Source")</f>
        <v>Source</v>
      </c>
      <c r="J74" s="50"/>
      <c r="K74" s="32"/>
      <c r="L74" s="69">
        <v>459.0</v>
      </c>
      <c r="M74" s="69">
        <v>13.0</v>
      </c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27.75" customHeight="1">
      <c r="A75" s="36" t="s">
        <v>217</v>
      </c>
      <c r="B75" s="69">
        <v>505.0</v>
      </c>
      <c r="C75" s="40">
        <f t="shared" si="1"/>
        <v>82</v>
      </c>
      <c r="D75" s="69">
        <v>6.0</v>
      </c>
      <c r="E75" s="45">
        <f t="shared" si="2"/>
        <v>1</v>
      </c>
      <c r="F75" s="59">
        <f t="shared" si="3"/>
        <v>0.01188118812</v>
      </c>
      <c r="G75" s="72" t="s">
        <v>22</v>
      </c>
      <c r="H75" s="72">
        <v>25.0</v>
      </c>
      <c r="I75" s="51" t="str">
        <f>HYPERLINK("https://gismoldova.maps.arcgis.com/apps/opsdashboard/index.html#/d274da857ed345efa66e1fbc959b021b","Source")</f>
        <v>Source</v>
      </c>
      <c r="J75" s="50"/>
      <c r="K75" s="32"/>
      <c r="L75" s="69">
        <v>423.0</v>
      </c>
      <c r="M75" s="69">
        <v>5.0</v>
      </c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30.0" customHeight="1">
      <c r="A76" s="36" t="s">
        <v>219</v>
      </c>
      <c r="B76" s="69">
        <v>494.0</v>
      </c>
      <c r="C76" s="40">
        <f t="shared" si="1"/>
        <v>15</v>
      </c>
      <c r="D76" s="69">
        <v>16.0</v>
      </c>
      <c r="E76" s="45">
        <f t="shared" si="2"/>
        <v>4</v>
      </c>
      <c r="F76" s="59">
        <f t="shared" si="3"/>
        <v>0.03238866397</v>
      </c>
      <c r="G76" s="72">
        <v>2.0</v>
      </c>
      <c r="H76" s="72">
        <v>35.0</v>
      </c>
      <c r="I76" s="51" t="str">
        <f>HYPERLINK("https://maps.moph.gov.lb/portal/apps/opsdashboard/index.html?fbclid=IwAR16xBrtR1w9HaYhO1_aHHOR2zyN1W5p_vezLF_lV3jTqgjphMy95ttgEHw#/d19be998323548278e088076d46d24f8","Source")</f>
        <v>Source</v>
      </c>
      <c r="J76" s="50"/>
      <c r="K76" s="32"/>
      <c r="L76" s="69">
        <v>479.0</v>
      </c>
      <c r="M76" s="69">
        <v>12.0</v>
      </c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30.0" customHeight="1">
      <c r="A77" s="36" t="s">
        <v>222</v>
      </c>
      <c r="B77" s="69">
        <v>458.0</v>
      </c>
      <c r="C77" s="40">
        <f t="shared" si="1"/>
        <v>12</v>
      </c>
      <c r="D77" s="69">
        <v>0.0</v>
      </c>
      <c r="E77" s="45">
        <f t="shared" si="2"/>
        <v>0</v>
      </c>
      <c r="F77" s="41">
        <f t="shared" si="3"/>
        <v>0</v>
      </c>
      <c r="G77" s="72">
        <v>3.0</v>
      </c>
      <c r="H77" s="72" t="s">
        <v>22</v>
      </c>
      <c r="I77" s="51" t="str">
        <f>HYPERLINK("https://spkc.gov.lv/lv/aktualitates/get/nid/757","Source")</f>
        <v>Source</v>
      </c>
      <c r="J77" s="50"/>
      <c r="K77" s="32"/>
      <c r="L77" s="69">
        <v>446.0</v>
      </c>
      <c r="M77" s="69">
        <v>0.0</v>
      </c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30.0" customHeight="1">
      <c r="A78" s="36" t="s">
        <v>224</v>
      </c>
      <c r="B78" s="69">
        <v>457.0</v>
      </c>
      <c r="C78" s="40">
        <f t="shared" si="1"/>
        <v>45</v>
      </c>
      <c r="D78" s="69">
        <v>10.0</v>
      </c>
      <c r="E78" s="45">
        <f t="shared" si="2"/>
        <v>1</v>
      </c>
      <c r="F78" s="41">
        <f t="shared" si="3"/>
        <v>0.02188183807</v>
      </c>
      <c r="G78" s="72">
        <v>13.0</v>
      </c>
      <c r="H78" s="72">
        <v>25.0</v>
      </c>
      <c r="I78" s="51" t="str">
        <f>HYPERLINK("http://www.mh.government.bg/bg/novini/aktualno/457-sa-potvrdenite-sluchai-na-covid-19-u-nas/","Source")</f>
        <v>Source</v>
      </c>
      <c r="J78" s="28"/>
      <c r="K78" s="32"/>
      <c r="L78" s="69">
        <v>412.0</v>
      </c>
      <c r="M78" s="69">
        <v>9.0</v>
      </c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30.0" customHeight="1">
      <c r="A79" s="36" t="s">
        <v>225</v>
      </c>
      <c r="B79" s="69">
        <v>455.0</v>
      </c>
      <c r="C79" s="40">
        <f t="shared" si="1"/>
        <v>32</v>
      </c>
      <c r="D79" s="69">
        <v>12.0</v>
      </c>
      <c r="E79" s="45">
        <f t="shared" si="2"/>
        <v>0</v>
      </c>
      <c r="F79" s="41">
        <f t="shared" si="3"/>
        <v>0.02637362637</v>
      </c>
      <c r="G79" s="72" t="s">
        <v>22</v>
      </c>
      <c r="H79" s="72">
        <v>5.0</v>
      </c>
      <c r="I79" s="51" t="str">
        <f>HYPERLINK("https://www.facebook.com/santetunisie.rns.tn/photos/a.724855064220267/2993297594042658/?type=3&amp;__xts__%5B0%5D=68.ARA6X00PFekef1RX1ehsf2K8Ccfh5rd5MAb_fGIbXxrJ7Gt-C8vTKi_svQRJn9BjN0RwOdRx59Ph1oREnhjOhneSKpG3YeRi3G6xbG3FOjLW5NihqNgmTj0Ka68WNR7r9jUoXI3GnZLgdB"&amp;"k8lisFw3Wr5FawF_EkWEjE67WpcKBitrZpkMy07t3ZF2IXlO-Rx34H5SEPEshkTkurneldp4ZwR276u-qDTv0WqtEa0gtBR62lAvrh7KdU_5F60zwwtJB6nl8aqOldVjd3_pzJcR7uyEjmx8IGrx7Y7IzVuILURaST07rF9T0OyAM2huTS-Lvino-Gdd9jaaK8UpbuCVctDQ&amp;__tn__=-R","Source")</f>
        <v>Source</v>
      </c>
      <c r="J79" s="50"/>
      <c r="K79" s="32"/>
      <c r="L79" s="69">
        <v>423.0</v>
      </c>
      <c r="M79" s="69">
        <v>12.0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30.0" customHeight="1">
      <c r="A80" s="36" t="s">
        <v>226</v>
      </c>
      <c r="B80" s="69">
        <v>428.0</v>
      </c>
      <c r="C80" s="40">
        <f t="shared" si="1"/>
        <v>38</v>
      </c>
      <c r="D80" s="69">
        <v>15.0</v>
      </c>
      <c r="E80" s="45">
        <f t="shared" si="2"/>
        <v>1</v>
      </c>
      <c r="F80" s="41">
        <f t="shared" si="3"/>
        <v>0.03504672897</v>
      </c>
      <c r="G80" s="72" t="s">
        <v>22</v>
      </c>
      <c r="H80" s="72">
        <v>14.0</v>
      </c>
      <c r="I80" s="51" t="str">
        <f>HYPERLINK("https://www.govern.ad/coronavirus","Source")</f>
        <v>Source</v>
      </c>
      <c r="J80" s="50"/>
      <c r="K80" s="32"/>
      <c r="L80" s="69">
        <v>390.0</v>
      </c>
      <c r="M80" s="69">
        <v>14.0</v>
      </c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30.0" customHeight="1">
      <c r="A81" s="36" t="s">
        <v>227</v>
      </c>
      <c r="B81" s="69">
        <v>426.0</v>
      </c>
      <c r="C81" s="40">
        <f t="shared" si="1"/>
        <v>26</v>
      </c>
      <c r="D81" s="69">
        <v>0.0</v>
      </c>
      <c r="E81" s="45">
        <f t="shared" si="2"/>
        <v>0</v>
      </c>
      <c r="F81" s="41">
        <f t="shared" si="3"/>
        <v>0</v>
      </c>
      <c r="G81" s="72" t="s">
        <v>22</v>
      </c>
      <c r="H81" s="72">
        <v>3.0</v>
      </c>
      <c r="I81" s="51" t="str">
        <f>HYPERLINK("https://ezdravie.nczisk.sk/sk?category=COVID","Source")</f>
        <v>Source</v>
      </c>
      <c r="J81" s="50"/>
      <c r="K81" s="32"/>
      <c r="L81" s="69">
        <v>400.0</v>
      </c>
      <c r="M81" s="69">
        <v>0.0</v>
      </c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30.0" customHeight="1">
      <c r="A82" s="36" t="s">
        <v>228</v>
      </c>
      <c r="B82" s="69">
        <v>423.0</v>
      </c>
      <c r="C82" s="40">
        <f t="shared" si="1"/>
        <v>37</v>
      </c>
      <c r="D82" s="69">
        <v>3.0</v>
      </c>
      <c r="E82" s="45">
        <f t="shared" si="2"/>
        <v>0</v>
      </c>
      <c r="F82" s="59">
        <f t="shared" si="3"/>
        <v>0.007092198582</v>
      </c>
      <c r="G82" s="72" t="s">
        <v>22</v>
      </c>
      <c r="H82" s="72">
        <v>26.0</v>
      </c>
      <c r="I82" s="51" t="str">
        <f>HYPERLINK("https://www.facebook.com/MinzdravRK/posts/1447179215459936?__xts__%5B0%5D=68.ARB8d_0bbrecZD2N5-AYEd_uUKxs6BJb8hQ7nTiW2HLtbGm9d-GJfIs-lIEfldpxDXNoyiHNJwfCzhwqEHefWWv4896gGIt5aDEFbl_0O6Tx5zXD71fha8Iobk2lWoUsO61xL-BUyQGO2UUT3OVz0vacrnT1RnzhdJRKc2KgN6NnAM-sR1"&amp;"Y7DYTmhlvREPYcIsdn0QXfCFbIsT1glTKIjVBe2cRSWrZJG1r9Zscu8J6UObPyuPQjYVqDu6KrmeCgOrX7MBpO13r2jebPglgvr10N2l2pT-iPu8nl8K-A7PuLDoVTWQ6rkekCnja9eejaCXP9AE0LKpp6WnVH8UUK94n6oA&amp;__tn__=-R","Source")</f>
        <v>Source</v>
      </c>
      <c r="J82" s="50"/>
      <c r="K82" s="68" t="s">
        <v>34</v>
      </c>
      <c r="L82" s="69">
        <v>386.0</v>
      </c>
      <c r="M82" s="69">
        <v>3.0</v>
      </c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30.0" customHeight="1">
      <c r="A83" s="36" t="s">
        <v>198</v>
      </c>
      <c r="B83" s="69">
        <v>396.0</v>
      </c>
      <c r="C83" s="40">
        <f t="shared" si="1"/>
        <v>21</v>
      </c>
      <c r="D83" s="69">
        <v>2.0</v>
      </c>
      <c r="E83" s="45">
        <f t="shared" si="2"/>
        <v>0</v>
      </c>
      <c r="F83" s="41">
        <f t="shared" si="3"/>
        <v>0.005050505051</v>
      </c>
      <c r="G83" s="72" t="s">
        <v>22</v>
      </c>
      <c r="H83" s="72">
        <v>2.0</v>
      </c>
      <c r="I83" s="51" t="str">
        <f>HYPERLINK("https://twitter.com/msaludcr/status/1243254303609020417","Source")</f>
        <v>Source</v>
      </c>
      <c r="J83" s="50"/>
      <c r="K83" s="32"/>
      <c r="L83" s="69">
        <v>375.0</v>
      </c>
      <c r="M83" s="69">
        <v>2.0</v>
      </c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30.0" customHeight="1">
      <c r="A84" s="36" t="s">
        <v>229</v>
      </c>
      <c r="B84" s="69">
        <v>384.0</v>
      </c>
      <c r="C84" s="40">
        <f t="shared" si="1"/>
        <v>30</v>
      </c>
      <c r="D84" s="69">
        <v>11.0</v>
      </c>
      <c r="E84" s="45">
        <f t="shared" si="2"/>
        <v>2</v>
      </c>
      <c r="F84" s="59">
        <f t="shared" si="3"/>
        <v>0.02864583333</v>
      </c>
      <c r="G84" s="72">
        <v>0.0</v>
      </c>
      <c r="H84" s="72">
        <v>17.0</v>
      </c>
      <c r="I84" s="51" t="str">
        <f>HYPERLINK("https://twitter.com/ZdravstvoMK/status/1245375895008837632","Source")</f>
        <v>Source</v>
      </c>
      <c r="J84" s="50"/>
      <c r="K84" s="68" t="s">
        <v>34</v>
      </c>
      <c r="L84" s="69">
        <v>354.0</v>
      </c>
      <c r="M84" s="69">
        <v>9.0</v>
      </c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30.0" customHeight="1">
      <c r="A85" s="36" t="s">
        <v>199</v>
      </c>
      <c r="B85" s="69">
        <v>369.0</v>
      </c>
      <c r="C85" s="40">
        <f t="shared" si="1"/>
        <v>19</v>
      </c>
      <c r="D85" s="69">
        <v>4.0</v>
      </c>
      <c r="E85" s="45">
        <f t="shared" si="2"/>
        <v>2</v>
      </c>
      <c r="F85" s="59">
        <f t="shared" si="3"/>
        <v>0.0108401084</v>
      </c>
      <c r="G85" s="72">
        <v>15.0</v>
      </c>
      <c r="H85" s="72">
        <v>68.0</v>
      </c>
      <c r="I85" s="51" t="str">
        <f>HYPERLINK("https://twitter.com/MSPUruguay/status/1245876269046214656","Source")</f>
        <v>Source</v>
      </c>
      <c r="J85" s="50"/>
      <c r="K85" s="68" t="s">
        <v>34</v>
      </c>
      <c r="L85" s="69">
        <v>350.0</v>
      </c>
      <c r="M85" s="69">
        <v>2.0</v>
      </c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30.0" customHeight="1">
      <c r="A86" s="36" t="s">
        <v>230</v>
      </c>
      <c r="B86" s="69">
        <v>339.0</v>
      </c>
      <c r="C86" s="40">
        <f t="shared" si="1"/>
        <v>10</v>
      </c>
      <c r="D86" s="69">
        <v>5.0</v>
      </c>
      <c r="E86" s="45">
        <f t="shared" si="2"/>
        <v>0</v>
      </c>
      <c r="F86" s="59">
        <f t="shared" si="3"/>
        <v>0.01474926254</v>
      </c>
      <c r="G86" s="72">
        <v>0.0</v>
      </c>
      <c r="H86" s="72">
        <v>50.0</v>
      </c>
      <c r="I86" s="51" t="str">
        <f>HYPERLINK("https://www.cdc.gov.tw/Bulletin/Detail/9W8_5ECrX29pzKnmfYEtOw?typeid=9","Source")</f>
        <v>Source</v>
      </c>
      <c r="J86" s="50"/>
      <c r="K86" s="68" t="s">
        <v>34</v>
      </c>
      <c r="L86" s="69">
        <v>329.0</v>
      </c>
      <c r="M86" s="69">
        <v>5.0</v>
      </c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30.0" customHeight="1">
      <c r="A87" s="36" t="s">
        <v>231</v>
      </c>
      <c r="B87" s="69">
        <v>356.0</v>
      </c>
      <c r="C87" s="40">
        <f t="shared" si="1"/>
        <v>36</v>
      </c>
      <c r="D87" s="69">
        <v>10.0</v>
      </c>
      <c r="E87" s="45">
        <f t="shared" si="2"/>
        <v>1</v>
      </c>
      <c r="F87" s="59">
        <f t="shared" si="3"/>
        <v>0.02808988764</v>
      </c>
      <c r="G87" s="72">
        <v>6.0</v>
      </c>
      <c r="H87" s="72">
        <v>1.0</v>
      </c>
      <c r="I87" s="51" t="str">
        <f>HYPERLINK("http://www.cna.org.cy/WebNews.aspx?a=9263ef41242e4e548e81bcc61b9938d9","Source")</f>
        <v>Source</v>
      </c>
      <c r="J87" s="50"/>
      <c r="K87" s="32"/>
      <c r="L87" s="69">
        <v>320.0</v>
      </c>
      <c r="M87" s="69">
        <v>9.0</v>
      </c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30.0" customHeight="1">
      <c r="A88" s="36" t="s">
        <v>232</v>
      </c>
      <c r="B88" s="69">
        <v>342.0</v>
      </c>
      <c r="C88" s="40">
        <f t="shared" si="1"/>
        <v>25</v>
      </c>
      <c r="D88" s="69">
        <v>0.0</v>
      </c>
      <c r="E88" s="45">
        <f t="shared" si="2"/>
        <v>0</v>
      </c>
      <c r="F88" s="41">
        <f t="shared" si="3"/>
        <v>0</v>
      </c>
      <c r="G88" s="72">
        <v>15.0</v>
      </c>
      <c r="H88" s="72">
        <v>81.0</v>
      </c>
      <c r="I88" s="51" t="str">
        <f>HYPERLINK("https://twitter.com/KUWAIT_MOH/status/1245639108359118848","Source")</f>
        <v>Source</v>
      </c>
      <c r="J88" s="50"/>
      <c r="K88" s="32"/>
      <c r="L88" s="69">
        <v>317.0</v>
      </c>
      <c r="M88" s="69">
        <v>0.0</v>
      </c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30.0" customHeight="1">
      <c r="A89" s="36" t="s">
        <v>233</v>
      </c>
      <c r="B89" s="69">
        <v>304.0</v>
      </c>
      <c r="C89" s="40">
        <f t="shared" si="1"/>
        <v>87</v>
      </c>
      <c r="D89" s="69">
        <v>4.0</v>
      </c>
      <c r="E89" s="45">
        <f t="shared" si="2"/>
        <v>2</v>
      </c>
      <c r="F89" s="41">
        <f t="shared" si="3"/>
        <v>0.01315789474</v>
      </c>
      <c r="G89" s="72" t="s">
        <v>22</v>
      </c>
      <c r="H89" s="72">
        <v>58.0</v>
      </c>
      <c r="I89" s="51" t="str">
        <f>HYPERLINK("https://people.onliner.by/2020/04/01/koronavirus-59","Source")</f>
        <v>Source</v>
      </c>
      <c r="J89" s="50"/>
      <c r="K89" s="32"/>
      <c r="L89" s="69">
        <v>217.0</v>
      </c>
      <c r="M89" s="69">
        <v>2.0</v>
      </c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30.0" customHeight="1">
      <c r="A90" s="36" t="s">
        <v>234</v>
      </c>
      <c r="B90" s="69">
        <v>299.0</v>
      </c>
      <c r="C90" s="40">
        <f t="shared" si="1"/>
        <v>21</v>
      </c>
      <c r="D90" s="69">
        <v>5.0</v>
      </c>
      <c r="E90" s="45">
        <f t="shared" si="2"/>
        <v>0</v>
      </c>
      <c r="F90" s="59">
        <f t="shared" si="3"/>
        <v>0.01672240803</v>
      </c>
      <c r="G90" s="72" t="s">
        <v>22</v>
      </c>
      <c r="H90" s="72">
        <v>45.0</v>
      </c>
      <c r="I90" s="51" t="str">
        <f>HYPERLINK("https://corona.moh.gov.jo/ar","Source")</f>
        <v>Source</v>
      </c>
      <c r="J90" s="50"/>
      <c r="K90" s="68" t="s">
        <v>34</v>
      </c>
      <c r="L90" s="69">
        <v>278.0</v>
      </c>
      <c r="M90" s="69">
        <v>5.0</v>
      </c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30.0" customHeight="1">
      <c r="A91" s="36" t="s">
        <v>235</v>
      </c>
      <c r="B91" s="69">
        <v>400.0</v>
      </c>
      <c r="C91" s="40">
        <f t="shared" si="1"/>
        <v>41</v>
      </c>
      <c r="D91" s="69">
        <v>5.0</v>
      </c>
      <c r="E91" s="45">
        <f t="shared" si="2"/>
        <v>0</v>
      </c>
      <c r="F91" s="41">
        <f t="shared" si="3"/>
        <v>0.0125</v>
      </c>
      <c r="G91" s="72">
        <v>23.0</v>
      </c>
      <c r="H91" s="72">
        <v>26.0</v>
      </c>
      <c r="I91" s="51" t="str">
        <f>HYPERLINK("https://news.az/articles/society/147095","Source")</f>
        <v>Source</v>
      </c>
      <c r="J91" s="91"/>
      <c r="K91" s="32"/>
      <c r="L91" s="69">
        <v>359.0</v>
      </c>
      <c r="M91" s="69">
        <v>5.0</v>
      </c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27.75" customHeight="1">
      <c r="A92" s="36" t="s">
        <v>236</v>
      </c>
      <c r="B92" s="69">
        <v>288.0</v>
      </c>
      <c r="C92" s="40">
        <f t="shared" si="1"/>
        <v>6</v>
      </c>
      <c r="D92" s="69">
        <v>16.0</v>
      </c>
      <c r="E92" s="45">
        <f t="shared" si="2"/>
        <v>2</v>
      </c>
      <c r="F92" s="41">
        <f t="shared" si="3"/>
        <v>0.05555555556</v>
      </c>
      <c r="G92" s="72" t="s">
        <v>22</v>
      </c>
      <c r="H92" s="72">
        <v>46.0</v>
      </c>
      <c r="I92" s="51" t="str">
        <f>HYPERLINK("https://lefaso.net/spip.php?article95911","Source")</f>
        <v>Source</v>
      </c>
      <c r="J92" s="50"/>
      <c r="K92" s="32"/>
      <c r="L92" s="69">
        <v>282.0</v>
      </c>
      <c r="M92" s="69">
        <v>14.0</v>
      </c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30.0" customHeight="1">
      <c r="A93" s="36" t="s">
        <v>237</v>
      </c>
      <c r="B93" s="69">
        <v>277.0</v>
      </c>
      <c r="C93" s="40">
        <f t="shared" si="1"/>
        <v>18</v>
      </c>
      <c r="D93" s="69">
        <v>16.0</v>
      </c>
      <c r="E93" s="45">
        <f t="shared" si="2"/>
        <v>1</v>
      </c>
      <c r="F93" s="41">
        <f t="shared" si="3"/>
        <v>0.05776173285</v>
      </c>
      <c r="G93" s="72">
        <v>8.0</v>
      </c>
      <c r="H93" s="72">
        <v>76.0</v>
      </c>
      <c r="I93" s="51" t="str">
        <f>HYPERLINK("https://shendetesia.gov.al/covid-19-ministria-e-shendetesise-18-raste-te-reja-shkon-ne-277-numri-i-te-prekurve/","Source")</f>
        <v>Source</v>
      </c>
      <c r="J93" s="50"/>
      <c r="K93" s="68"/>
      <c r="L93" s="69">
        <v>259.0</v>
      </c>
      <c r="M93" s="69">
        <v>15.0</v>
      </c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30.0" customHeight="1">
      <c r="A94" s="36" t="s">
        <v>238</v>
      </c>
      <c r="B94" s="69">
        <v>245.0</v>
      </c>
      <c r="C94" s="40">
        <f t="shared" si="1"/>
        <v>9</v>
      </c>
      <c r="D94" s="69">
        <v>30.0</v>
      </c>
      <c r="E94" s="45">
        <f t="shared" si="2"/>
        <v>2</v>
      </c>
      <c r="F94" s="59">
        <f t="shared" si="3"/>
        <v>0.1224489796</v>
      </c>
      <c r="G94" s="72">
        <v>16.0</v>
      </c>
      <c r="H94" s="72">
        <v>21.0</v>
      </c>
      <c r="I94" s="51" t="str">
        <f>HYPERLINK("http://www.iss.sm/on-line/home/articolo49014210.html","Source")</f>
        <v>Source</v>
      </c>
      <c r="J94" s="96"/>
      <c r="K94" s="32"/>
      <c r="L94" s="69">
        <v>236.0</v>
      </c>
      <c r="M94" s="69">
        <v>28.0</v>
      </c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30.0" customHeight="1">
      <c r="A95" s="36" t="s">
        <v>239</v>
      </c>
      <c r="B95" s="69">
        <v>273.0</v>
      </c>
      <c r="C95" s="40">
        <f t="shared" si="1"/>
        <v>34</v>
      </c>
      <c r="D95" s="69">
        <v>7.0</v>
      </c>
      <c r="E95" s="45">
        <f t="shared" si="2"/>
        <v>2</v>
      </c>
      <c r="F95" s="59">
        <f t="shared" si="3"/>
        <v>0.02564102564</v>
      </c>
      <c r="G95" s="72" t="s">
        <v>22</v>
      </c>
      <c r="H95" s="72">
        <v>10.0</v>
      </c>
      <c r="I95" s="51" t="str">
        <f>HYPERLINK("https://uneplive.maps.arcgis.com/apps/opsdashboard/index.html#/4c8ca6b1d9bc44d6bde5e2fd54afc180","Source")</f>
        <v>Source</v>
      </c>
      <c r="J95" s="50"/>
      <c r="K95" s="32"/>
      <c r="L95" s="69">
        <v>239.0</v>
      </c>
      <c r="M95" s="69">
        <v>5.0</v>
      </c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27.75" customHeight="1">
      <c r="A96" s="36" t="s">
        <v>240</v>
      </c>
      <c r="B96" s="69">
        <v>306.0</v>
      </c>
      <c r="C96" s="40">
        <f t="shared" si="1"/>
        <v>73</v>
      </c>
      <c r="D96" s="69">
        <v>6.0</v>
      </c>
      <c r="E96" s="45">
        <f t="shared" si="2"/>
        <v>0</v>
      </c>
      <c r="F96" s="41">
        <f t="shared" si="3"/>
        <v>0.01960784314</v>
      </c>
      <c r="G96" s="72" t="s">
        <v>22</v>
      </c>
      <c r="H96" s="72">
        <v>5.0</v>
      </c>
      <c r="I96" s="51" t="str">
        <f>HYPERLINK("https://twitter.com/DrManaouda/status/1245235669296918528","Source")</f>
        <v>Source</v>
      </c>
      <c r="J96" s="50"/>
      <c r="K96" s="32"/>
      <c r="L96" s="69">
        <v>233.0</v>
      </c>
      <c r="M96" s="69">
        <v>6.0</v>
      </c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30.0" customHeight="1">
      <c r="A97" s="36" t="s">
        <v>241</v>
      </c>
      <c r="B97" s="69">
        <v>231.0</v>
      </c>
      <c r="C97" s="40">
        <f t="shared" si="1"/>
        <v>21</v>
      </c>
      <c r="D97" s="69">
        <v>1.0</v>
      </c>
      <c r="E97" s="45">
        <f t="shared" si="2"/>
        <v>0</v>
      </c>
      <c r="F97" s="41">
        <f t="shared" si="3"/>
        <v>0.004329004329</v>
      </c>
      <c r="G97" s="72">
        <v>0.0</v>
      </c>
      <c r="H97" s="72">
        <v>57.0</v>
      </c>
      <c r="I97" s="51" t="str">
        <f>HYPERLINK("https://twitter.com/OmaniMOH/status/1245245360613855232","Source")</f>
        <v>Source</v>
      </c>
      <c r="J97" s="91"/>
      <c r="K97" s="32"/>
      <c r="L97" s="69">
        <v>210.0</v>
      </c>
      <c r="M97" s="69">
        <v>1.0</v>
      </c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30.0" customHeight="1">
      <c r="A98" s="36" t="s">
        <v>242</v>
      </c>
      <c r="B98" s="69">
        <v>233.0</v>
      </c>
      <c r="C98" s="40">
        <f t="shared" si="1"/>
        <v>11</v>
      </c>
      <c r="D98" s="69">
        <v>0.0</v>
      </c>
      <c r="E98" s="45">
        <f t="shared" si="2"/>
        <v>0</v>
      </c>
      <c r="F98" s="59">
        <f t="shared" si="3"/>
        <v>0</v>
      </c>
      <c r="G98" s="72" t="s">
        <v>22</v>
      </c>
      <c r="H98" s="72">
        <v>63.0</v>
      </c>
      <c r="I98" s="51" t="str">
        <f>HYPERLINK("https://twitter.com/VNGovtPortal/status/1245885212581457922","Source")</f>
        <v>Source</v>
      </c>
      <c r="J98" s="50"/>
      <c r="K98" s="32"/>
      <c r="L98" s="69">
        <v>222.0</v>
      </c>
      <c r="M98" s="69">
        <v>0.0</v>
      </c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27.75" customHeight="1">
      <c r="A99" s="36" t="s">
        <v>202</v>
      </c>
      <c r="B99" s="69">
        <v>222.0</v>
      </c>
      <c r="C99" s="40">
        <f t="shared" si="1"/>
        <v>50</v>
      </c>
      <c r="D99" s="69">
        <v>14.0</v>
      </c>
      <c r="E99" s="45">
        <f t="shared" si="2"/>
        <v>4</v>
      </c>
      <c r="F99" s="59">
        <f t="shared" si="3"/>
        <v>0.06306306306</v>
      </c>
      <c r="G99" s="72" t="s">
        <v>22</v>
      </c>
      <c r="H99" s="72">
        <v>3.0</v>
      </c>
      <c r="I99" s="51" t="str">
        <f>HYPERLINK("https://covid19honduras.org/","Source")</f>
        <v>Source</v>
      </c>
      <c r="J99" s="50"/>
      <c r="K99" s="32"/>
      <c r="L99" s="69">
        <v>172.0</v>
      </c>
      <c r="M99" s="69">
        <v>10.0</v>
      </c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27.75" customHeight="1">
      <c r="A100" s="36" t="s">
        <v>203</v>
      </c>
      <c r="B100" s="69">
        <v>233.0</v>
      </c>
      <c r="C100" s="40">
        <f t="shared" si="1"/>
        <v>21</v>
      </c>
      <c r="D100" s="69">
        <v>6.0</v>
      </c>
      <c r="E100" s="45">
        <f t="shared" si="2"/>
        <v>0</v>
      </c>
      <c r="F100" s="41">
        <f t="shared" si="3"/>
        <v>0.02575107296</v>
      </c>
      <c r="G100" s="72">
        <v>8.0</v>
      </c>
      <c r="H100" s="72">
        <v>13.0</v>
      </c>
      <c r="I100" s="51" t="str">
        <f>HYPERLINK("https://twitter.com/MINSAPCuba/status/1245727988504821761","Source")</f>
        <v>Source</v>
      </c>
      <c r="J100" s="50"/>
      <c r="K100" s="32"/>
      <c r="L100" s="69">
        <v>212.0</v>
      </c>
      <c r="M100" s="69">
        <v>6.0</v>
      </c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30.0" customHeight="1">
      <c r="A101" s="36" t="s">
        <v>243</v>
      </c>
      <c r="B101" s="69">
        <v>205.0</v>
      </c>
      <c r="C101" s="40">
        <f t="shared" si="1"/>
        <v>24</v>
      </c>
      <c r="D101" s="69">
        <v>2.0</v>
      </c>
      <c r="E101" s="45">
        <f t="shared" si="2"/>
        <v>0</v>
      </c>
      <c r="F101" s="41">
        <f t="shared" si="3"/>
        <v>0.009756097561</v>
      </c>
      <c r="G101" s="72">
        <v>5.0</v>
      </c>
      <c r="H101" s="72">
        <v>8.0</v>
      </c>
      <c r="I101" s="51" t="str">
        <f>HYPERLINK("https://akipress.com/news:638580:Total_number_of_COVID-19_cases_in_Uzbekistan_rises_to_173/?place=main2","Source")</f>
        <v>Source</v>
      </c>
      <c r="J101" s="50"/>
      <c r="K101" s="68" t="s">
        <v>50</v>
      </c>
      <c r="L101" s="69">
        <v>181.0</v>
      </c>
      <c r="M101" s="69">
        <v>2.0</v>
      </c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30.0" customHeight="1">
      <c r="A102" s="36" t="s">
        <v>244</v>
      </c>
      <c r="B102" s="69">
        <v>204.0</v>
      </c>
      <c r="C102" s="40">
        <f t="shared" si="1"/>
        <v>9</v>
      </c>
      <c r="D102" s="69">
        <v>5.0</v>
      </c>
      <c r="E102" s="45">
        <f t="shared" si="2"/>
        <v>0</v>
      </c>
      <c r="F102" s="59">
        <f t="shared" si="3"/>
        <v>0.02450980392</v>
      </c>
      <c r="G102" s="72">
        <v>2.0</v>
      </c>
      <c r="H102" s="72">
        <v>3.0</v>
      </c>
      <c r="I102" s="51" t="str">
        <f>HYPERLINK("https://www.ghanahealthservice.org/covid19/","Source")</f>
        <v>Source</v>
      </c>
      <c r="J102" s="50"/>
      <c r="K102" s="32"/>
      <c r="L102" s="69">
        <v>195.0</v>
      </c>
      <c r="M102" s="69">
        <v>5.0</v>
      </c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27.75" customHeight="1">
      <c r="A103" s="36" t="s">
        <v>245</v>
      </c>
      <c r="B103" s="69">
        <v>195.0</v>
      </c>
      <c r="C103" s="40">
        <f t="shared" si="1"/>
        <v>7</v>
      </c>
      <c r="D103" s="69">
        <v>0.0</v>
      </c>
      <c r="E103" s="45">
        <f t="shared" si="2"/>
        <v>0</v>
      </c>
      <c r="F103" s="41">
        <f t="shared" si="3"/>
        <v>0</v>
      </c>
      <c r="G103" s="72">
        <v>2.0</v>
      </c>
      <c r="H103" s="72">
        <v>2.0</v>
      </c>
      <c r="I103" s="51" t="str">
        <f>HYPERLINK("https://timesofmalta.com/articles/view/watch-briefing-on-latest-coronavirus-developments.782768","Source")</f>
        <v>Source</v>
      </c>
      <c r="J103" s="50"/>
      <c r="K103" s="68" t="s">
        <v>34</v>
      </c>
      <c r="L103" s="69">
        <v>188.0</v>
      </c>
      <c r="M103" s="69">
        <v>0.0</v>
      </c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30.0" customHeight="1">
      <c r="A104" s="36" t="s">
        <v>246</v>
      </c>
      <c r="B104" s="69">
        <v>195.0</v>
      </c>
      <c r="C104" s="40">
        <f t="shared" si="1"/>
        <v>5</v>
      </c>
      <c r="D104" s="69">
        <v>1.0</v>
      </c>
      <c r="E104" s="45">
        <f t="shared" si="2"/>
        <v>0</v>
      </c>
      <c r="F104" s="41">
        <f t="shared" si="3"/>
        <v>0.005128205128</v>
      </c>
      <c r="G104" s="72" t="s">
        <v>22</v>
      </c>
      <c r="H104" s="72">
        <v>50.0</v>
      </c>
      <c r="I104" s="51" t="str">
        <f>HYPERLINK("https://twitter.com/MinisteredelaS1/status/1245658469438349312","Source")</f>
        <v>Source</v>
      </c>
      <c r="J104" s="95"/>
      <c r="K104" s="32"/>
      <c r="L104" s="69">
        <v>190.0</v>
      </c>
      <c r="M104" s="69">
        <v>1.0</v>
      </c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27.75" customHeight="1">
      <c r="A105" s="36" t="s">
        <v>247</v>
      </c>
      <c r="B105" s="69">
        <v>190.0</v>
      </c>
      <c r="C105" s="40">
        <f t="shared" si="1"/>
        <v>11</v>
      </c>
      <c r="D105" s="69">
        <v>1.0</v>
      </c>
      <c r="E105" s="45">
        <f t="shared" si="2"/>
        <v>0</v>
      </c>
      <c r="F105" s="41">
        <f t="shared" si="3"/>
        <v>0.005263157895</v>
      </c>
      <c r="G105" s="72" t="s">
        <v>22</v>
      </c>
      <c r="H105" s="72">
        <v>9.0</v>
      </c>
      <c r="I105" s="51" t="str">
        <f>HYPERLINK("http://french.china.org.cn/foreign/txt/2020-04/02/content_75888542.htm","Source")</f>
        <v>Source</v>
      </c>
      <c r="J105" s="50"/>
      <c r="K105" s="32"/>
      <c r="L105" s="69">
        <v>179.0</v>
      </c>
      <c r="M105" s="69">
        <v>1.0</v>
      </c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30.0" customHeight="1">
      <c r="A106" s="36" t="s">
        <v>248</v>
      </c>
      <c r="B106" s="69">
        <v>184.0</v>
      </c>
      <c r="C106" s="40">
        <f t="shared" si="1"/>
        <v>10</v>
      </c>
      <c r="D106" s="69">
        <v>2.0</v>
      </c>
      <c r="E106" s="45">
        <f t="shared" si="2"/>
        <v>0</v>
      </c>
      <c r="F106" s="59">
        <f t="shared" si="3"/>
        <v>0.01086956522</v>
      </c>
      <c r="G106" s="72" t="s">
        <v>22</v>
      </c>
      <c r="H106" s="72">
        <v>20.0</v>
      </c>
      <c r="I106" s="51" t="str">
        <f>HYPERLINK("https://twitter.com/NCDCgov/status/1245312493599297536","Source")</f>
        <v>Source</v>
      </c>
      <c r="J106" s="50"/>
      <c r="K106" s="32"/>
      <c r="L106" s="69">
        <v>174.0</v>
      </c>
      <c r="M106" s="69">
        <v>2.0</v>
      </c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30.0" customHeight="1">
      <c r="A107" s="36" t="s">
        <v>249</v>
      </c>
      <c r="B107" s="69">
        <v>169.0</v>
      </c>
      <c r="C107" s="40">
        <f t="shared" si="1"/>
        <v>8</v>
      </c>
      <c r="D107" s="69">
        <v>7.0</v>
      </c>
      <c r="E107" s="45">
        <f t="shared" si="2"/>
        <v>1</v>
      </c>
      <c r="F107" s="59">
        <f t="shared" si="3"/>
        <v>0.04142011834</v>
      </c>
      <c r="G107" s="72" t="s">
        <v>22</v>
      </c>
      <c r="H107" s="72" t="s">
        <v>22</v>
      </c>
      <c r="I107" s="51" t="str">
        <f>HYPERLINK("https://www.lemauricien.com/covid19/","Source")</f>
        <v>Source</v>
      </c>
      <c r="J107" s="28"/>
      <c r="K107" s="32"/>
      <c r="L107" s="69">
        <v>161.0</v>
      </c>
      <c r="M107" s="69">
        <v>6.0</v>
      </c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30.0" customHeight="1">
      <c r="A108" s="36" t="s">
        <v>250</v>
      </c>
      <c r="B108" s="69">
        <v>160.0</v>
      </c>
      <c r="C108" s="40">
        <f t="shared" si="1"/>
        <v>5</v>
      </c>
      <c r="D108" s="69">
        <v>1.0</v>
      </c>
      <c r="E108" s="45">
        <f t="shared" si="2"/>
        <v>0</v>
      </c>
      <c r="F108" s="59">
        <f t="shared" si="3"/>
        <v>0.00625</v>
      </c>
      <c r="G108" s="72">
        <v>0.0</v>
      </c>
      <c r="H108" s="72">
        <v>18.0</v>
      </c>
      <c r="I108" s="51" t="str">
        <f>HYPERLINK("https://www.facebook.com/mohps/posts/2722023954590132?__xts__%5B0%5D=68.ARCI-XuXb4nfqD0oHgLfJGhk1YaGhRUv5TX9wMTvQR9LcmH2cDF_4MRSb9ouMnQE1DgTRUp2inQWgDDE0CWNc0ESKrjDgC2QjmqMJ-DWEBYD_vPzVFA4AKJlF6WV5o-8D5tFpp6-3x5WQlW8oRaMidIyETHaSM_EJxw0awZYqB3bmBS118OVKli"&amp;"EqmvKr7PMAqWAqMin6lx5cBFGfuE3lzezuPtkrtFFf5lOpW-v1dtIy26kzizNt0j-2hElMgHHI0f2ChK5-tCQmU75v4fMRjDDxRQXdOQIOgO3Drl7NYrA_YXTXplEsi2D7mHKK53URqwpG5J0-YraUx5AwbuNWQ&amp;__tn__=-R","Source")</f>
        <v>Source</v>
      </c>
      <c r="J108" s="50"/>
      <c r="K108" s="68" t="s">
        <v>34</v>
      </c>
      <c r="L108" s="69">
        <v>155.0</v>
      </c>
      <c r="M108" s="69">
        <v>1.0</v>
      </c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30.0" customHeight="1">
      <c r="A109" s="36" t="s">
        <v>251</v>
      </c>
      <c r="B109" s="69">
        <v>151.0</v>
      </c>
      <c r="C109" s="40">
        <f t="shared" si="1"/>
        <v>5</v>
      </c>
      <c r="D109" s="69">
        <v>4.0</v>
      </c>
      <c r="E109" s="45">
        <f t="shared" si="2"/>
        <v>1</v>
      </c>
      <c r="F109" s="59">
        <f t="shared" si="3"/>
        <v>0.02649006623</v>
      </c>
      <c r="G109" s="72" t="s">
        <v>22</v>
      </c>
      <c r="H109" s="72">
        <v>21.0</v>
      </c>
      <c r="I109" s="51" t="str">
        <f>HYPERLINK("http://www.colombopage.com/archive_20A/Apr02_1585846188CH.php","Source")</f>
        <v>Source</v>
      </c>
      <c r="J109" s="50"/>
      <c r="K109" s="32"/>
      <c r="L109" s="69">
        <v>146.0</v>
      </c>
      <c r="M109" s="69">
        <v>3.0</v>
      </c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30.0" customHeight="1">
      <c r="A110" s="36" t="s">
        <v>252</v>
      </c>
      <c r="B110" s="69">
        <v>146.0</v>
      </c>
      <c r="C110" s="40">
        <f t="shared" si="1"/>
        <v>2</v>
      </c>
      <c r="D110" s="69">
        <v>5.0</v>
      </c>
      <c r="E110" s="45">
        <f t="shared" si="2"/>
        <v>2</v>
      </c>
      <c r="F110" s="41">
        <f t="shared" si="3"/>
        <v>0.03424657534</v>
      </c>
      <c r="G110" s="72">
        <v>5.0</v>
      </c>
      <c r="H110" s="72">
        <v>43.0</v>
      </c>
      <c r="I110" s="51" t="str">
        <f>HYPERLINK("http://vicepresidencia.gob.ve/venezuela-registra-146-casos-positivos-por-covid-19/","Source")</f>
        <v>Source</v>
      </c>
      <c r="J110" s="50"/>
      <c r="K110" s="68" t="s">
        <v>34</v>
      </c>
      <c r="L110" s="69">
        <v>144.0</v>
      </c>
      <c r="M110" s="69">
        <v>3.0</v>
      </c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30.0" customHeight="1">
      <c r="A111" s="36" t="s">
        <v>253</v>
      </c>
      <c r="B111" s="69">
        <v>140.0</v>
      </c>
      <c r="C111" s="40">
        <f t="shared" si="1"/>
        <v>17</v>
      </c>
      <c r="D111" s="69">
        <v>2.0</v>
      </c>
      <c r="E111" s="45">
        <f t="shared" si="2"/>
        <v>0</v>
      </c>
      <c r="F111" s="59">
        <f t="shared" si="3"/>
        <v>0.01428571429</v>
      </c>
      <c r="G111" s="72" t="s">
        <v>22</v>
      </c>
      <c r="H111" s="72" t="s">
        <v>22</v>
      </c>
      <c r="I111" s="51" t="str">
        <f>HYPERLINK("https://www.ijzcg.me/me/02-april-azurirani-podaci-covid-19","Source")</f>
        <v>Source</v>
      </c>
      <c r="J111" s="50"/>
      <c r="K111" s="68" t="s">
        <v>34</v>
      </c>
      <c r="L111" s="69">
        <v>123.0</v>
      </c>
      <c r="M111" s="69">
        <v>2.0</v>
      </c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30.0" customHeight="1">
      <c r="A112" s="36" t="s">
        <v>254</v>
      </c>
      <c r="B112" s="69">
        <v>133.0</v>
      </c>
      <c r="C112" s="40">
        <f t="shared" si="1"/>
        <v>2</v>
      </c>
      <c r="D112" s="69">
        <v>2.0</v>
      </c>
      <c r="E112" s="45">
        <f t="shared" si="2"/>
        <v>1</v>
      </c>
      <c r="F112" s="59">
        <f t="shared" si="3"/>
        <v>0.01503759398</v>
      </c>
      <c r="G112" s="72" t="s">
        <v>22</v>
      </c>
      <c r="H112" s="72">
        <v>52.0</v>
      </c>
      <c r="I112" s="51" t="str">
        <f>HYPERLINK("https://www.healthinfo.gov.bn/covid19/#/home","Source")</f>
        <v>Source</v>
      </c>
      <c r="J112" s="50"/>
      <c r="K112" s="68" t="s">
        <v>34</v>
      </c>
      <c r="L112" s="69">
        <v>131.0</v>
      </c>
      <c r="M112" s="69">
        <v>1.0</v>
      </c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30.0" customHeight="1">
      <c r="A113" s="36" t="s">
        <v>204</v>
      </c>
      <c r="B113" s="69">
        <v>132.0</v>
      </c>
      <c r="C113" s="40">
        <f t="shared" si="1"/>
        <v>15</v>
      </c>
      <c r="D113" s="69">
        <v>9.0</v>
      </c>
      <c r="E113" s="45">
        <f t="shared" si="2"/>
        <v>2</v>
      </c>
      <c r="F113" s="59">
        <f t="shared" si="3"/>
        <v>0.06818181818</v>
      </c>
      <c r="G113" s="72" t="s">
        <v>22</v>
      </c>
      <c r="H113" s="72">
        <v>1.0</v>
      </c>
      <c r="I113" s="51" t="str">
        <f>HYPERLINK("https://twitter.com/MinSaludBolivia/status/1245156471387688960","Source")</f>
        <v>Source</v>
      </c>
      <c r="J113" s="50"/>
      <c r="K113" s="68" t="s">
        <v>34</v>
      </c>
      <c r="L113" s="69">
        <v>117.0</v>
      </c>
      <c r="M113" s="69">
        <v>7.0</v>
      </c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30.0" customHeight="1">
      <c r="A114" s="36" t="s">
        <v>48</v>
      </c>
      <c r="B114" s="69">
        <v>130.0</v>
      </c>
      <c r="C114" s="40">
        <f t="shared" si="1"/>
        <v>13</v>
      </c>
      <c r="D114" s="69">
        <v>0.0</v>
      </c>
      <c r="E114" s="45">
        <f t="shared" si="2"/>
        <v>0</v>
      </c>
      <c r="F114" s="41">
        <f t="shared" si="3"/>
        <v>0</v>
      </c>
      <c r="G114" s="72">
        <v>1.0</v>
      </c>
      <c r="H114" s="72">
        <v>26.0</v>
      </c>
      <c r="I114" s="51" t="str">
        <f>HYPERLINK("https://stopcov.ge/en","Source")</f>
        <v>Source</v>
      </c>
      <c r="J114" s="50"/>
      <c r="K114" s="68" t="s">
        <v>34</v>
      </c>
      <c r="L114" s="69">
        <v>117.0</v>
      </c>
      <c r="M114" s="69">
        <v>0.0</v>
      </c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30.0" customHeight="1">
      <c r="A115" s="36" t="s">
        <v>255</v>
      </c>
      <c r="B115" s="69">
        <v>126.0</v>
      </c>
      <c r="C115" s="40">
        <f t="shared" si="1"/>
        <v>1</v>
      </c>
      <c r="D115" s="69">
        <v>1.0</v>
      </c>
      <c r="E115" s="45">
        <f t="shared" si="2"/>
        <v>0</v>
      </c>
      <c r="F115" s="59">
        <f t="shared" si="3"/>
        <v>0.007936507937</v>
      </c>
      <c r="G115" s="72" t="s">
        <v>22</v>
      </c>
      <c r="H115" s="72">
        <v>10.0</v>
      </c>
      <c r="I115" s="51" t="str">
        <f>HYPERLINK("https://kosova.health/en/","Source")</f>
        <v>Source</v>
      </c>
      <c r="J115" s="50"/>
      <c r="K115" s="32"/>
      <c r="L115" s="69">
        <v>125.0</v>
      </c>
      <c r="M115" s="69">
        <v>1.0</v>
      </c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30.0" customHeight="1">
      <c r="A116" s="36" t="s">
        <v>256</v>
      </c>
      <c r="B116" s="69">
        <v>116.0</v>
      </c>
      <c r="C116" s="40">
        <f t="shared" si="1"/>
        <v>5</v>
      </c>
      <c r="D116" s="69">
        <v>0.0</v>
      </c>
      <c r="E116" s="45">
        <f t="shared" si="2"/>
        <v>0</v>
      </c>
      <c r="F116" s="41">
        <f t="shared" si="3"/>
        <v>0</v>
      </c>
      <c r="G116" s="72" t="s">
        <v>22</v>
      </c>
      <c r="H116" s="72">
        <v>5.0</v>
      </c>
      <c r="I116" s="51" t="str">
        <f>HYPERLINK("https://akipress.com/news:638574:4_new_coronavirus_cases_confirmed_in_Kyrgyzstan_on_April_1,_111_in_total/","Source")</f>
        <v>Source</v>
      </c>
      <c r="J116" s="50"/>
      <c r="K116" s="32"/>
      <c r="L116" s="69">
        <v>111.0</v>
      </c>
      <c r="M116" s="69">
        <v>0.0</v>
      </c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30.0" customHeight="1">
      <c r="A117" s="36" t="s">
        <v>257</v>
      </c>
      <c r="B117" s="69">
        <v>110.0</v>
      </c>
      <c r="C117" s="40">
        <f t="shared" si="1"/>
        <v>29</v>
      </c>
      <c r="D117" s="69">
        <v>3.0</v>
      </c>
      <c r="E117" s="45">
        <f t="shared" si="2"/>
        <v>2</v>
      </c>
      <c r="F117" s="41">
        <f t="shared" si="3"/>
        <v>0.02727272727</v>
      </c>
      <c r="G117" s="72">
        <v>0.0</v>
      </c>
      <c r="H117" s="72">
        <v>4.0</v>
      </c>
      <c r="I117" s="51" t="str">
        <f>HYPERLINK("https://www.nation.co.ke/","Source")</f>
        <v>Source</v>
      </c>
      <c r="J117" s="50"/>
      <c r="K117" s="32"/>
      <c r="L117" s="69">
        <v>81.0</v>
      </c>
      <c r="M117" s="69">
        <v>1.0</v>
      </c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30.0" customHeight="1">
      <c r="A118" s="36" t="s">
        <v>258</v>
      </c>
      <c r="B118" s="69">
        <v>110.0</v>
      </c>
      <c r="C118" s="40">
        <f t="shared" si="1"/>
        <v>1</v>
      </c>
      <c r="D118" s="69">
        <v>0.0</v>
      </c>
      <c r="E118" s="45">
        <f t="shared" si="2"/>
        <v>0</v>
      </c>
      <c r="F118" s="59">
        <f t="shared" si="3"/>
        <v>0</v>
      </c>
      <c r="G118" s="72" t="s">
        <v>22</v>
      </c>
      <c r="H118" s="72">
        <v>34.0</v>
      </c>
      <c r="I118" s="51" t="str">
        <f>HYPERLINK("http://en.freshnewsasia.com/index.php/en/localnews/17641-2020-04-02-03-11-43.html","Source")</f>
        <v>Source</v>
      </c>
      <c r="J118" s="50"/>
      <c r="K118" s="32"/>
      <c r="L118" s="69">
        <v>109.0</v>
      </c>
      <c r="M118" s="69">
        <v>0.0</v>
      </c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30.0" customHeight="1">
      <c r="A119" s="36" t="s">
        <v>259</v>
      </c>
      <c r="B119" s="69">
        <v>109.0</v>
      </c>
      <c r="C119" s="40">
        <f t="shared" si="1"/>
        <v>0</v>
      </c>
      <c r="D119" s="69">
        <v>8.0</v>
      </c>
      <c r="E119" s="45">
        <f t="shared" si="2"/>
        <v>0</v>
      </c>
      <c r="F119" s="59">
        <f t="shared" si="3"/>
        <v>0.07339449541</v>
      </c>
      <c r="G119" s="72" t="s">
        <v>22</v>
      </c>
      <c r="H119" s="72">
        <v>3.0</v>
      </c>
      <c r="I119" s="51" t="str">
        <f>HYPERLINK("https://pbs.twimg.com/media/EUgyzjeWAAA36dw.jpg","Source")</f>
        <v>Source</v>
      </c>
      <c r="J119" s="50"/>
      <c r="K119" s="32"/>
      <c r="L119" s="69">
        <v>109.0</v>
      </c>
      <c r="M119" s="69">
        <v>8.0</v>
      </c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30.0" customHeight="1">
      <c r="A120" s="36" t="s">
        <v>260</v>
      </c>
      <c r="B120" s="69">
        <v>97.0</v>
      </c>
      <c r="C120" s="40">
        <f t="shared" si="1"/>
        <v>6</v>
      </c>
      <c r="D120" s="69">
        <v>1.0</v>
      </c>
      <c r="E120" s="45">
        <f t="shared" si="2"/>
        <v>0</v>
      </c>
      <c r="F120" s="59">
        <f t="shared" si="3"/>
        <v>0.01030927835</v>
      </c>
      <c r="G120" s="72">
        <v>0.0</v>
      </c>
      <c r="H120" s="72" t="s">
        <v>22</v>
      </c>
      <c r="I120" s="51" t="str">
        <f>HYPERLINK("https://www.gov.gg/covid19testresults","Source")</f>
        <v>Source</v>
      </c>
      <c r="J120" s="50"/>
      <c r="K120" s="32"/>
      <c r="L120" s="69">
        <v>91.0</v>
      </c>
      <c r="M120" s="69">
        <v>1.0</v>
      </c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30.0" customHeight="1">
      <c r="A121" s="36" t="s">
        <v>261</v>
      </c>
      <c r="B121" s="69">
        <v>96.0</v>
      </c>
      <c r="C121" s="40">
        <f t="shared" si="1"/>
        <v>15</v>
      </c>
      <c r="D121" s="69">
        <v>2.0</v>
      </c>
      <c r="E121" s="45">
        <f t="shared" si="2"/>
        <v>0</v>
      </c>
      <c r="F121" s="59">
        <f t="shared" si="3"/>
        <v>0.02083333333</v>
      </c>
      <c r="G121" s="72" t="s">
        <v>22</v>
      </c>
      <c r="H121" s="72" t="s">
        <v>22</v>
      </c>
      <c r="I121" s="51" t="str">
        <f>HYPERLINK("https://www.gov.je/Health/Coronavirus/Pages/CoronavirusCases.aspx","Source")</f>
        <v>Source</v>
      </c>
      <c r="J121" s="28"/>
      <c r="K121" s="32"/>
      <c r="L121" s="69">
        <v>81.0</v>
      </c>
      <c r="M121" s="69">
        <v>2.0</v>
      </c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30.0" customHeight="1">
      <c r="A122" s="36" t="s">
        <v>262</v>
      </c>
      <c r="B122" s="69">
        <v>95.0</v>
      </c>
      <c r="C122" s="40">
        <f t="shared" si="1"/>
        <v>27</v>
      </c>
      <c r="D122" s="69">
        <v>1.0</v>
      </c>
      <c r="E122" s="45">
        <f t="shared" si="2"/>
        <v>0</v>
      </c>
      <c r="F122" s="59">
        <f t="shared" si="3"/>
        <v>0.01052631579</v>
      </c>
      <c r="G122" s="72" t="s">
        <v>22</v>
      </c>
      <c r="H122" s="72" t="s">
        <v>22</v>
      </c>
      <c r="I122" s="51" t="str">
        <f>HYPERLINK("https://covid19.gov.im/general-information/latest-updates/","Source")</f>
        <v>Source</v>
      </c>
      <c r="J122" s="50"/>
      <c r="K122" s="68" t="s">
        <v>34</v>
      </c>
      <c r="L122" s="69">
        <v>68.0</v>
      </c>
      <c r="M122" s="69">
        <v>1.0</v>
      </c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27.75" customHeight="1">
      <c r="A123" s="36" t="s">
        <v>263</v>
      </c>
      <c r="B123" s="69">
        <v>88.0</v>
      </c>
      <c r="C123" s="40">
        <f t="shared" si="1"/>
        <v>7</v>
      </c>
      <c r="D123" s="69">
        <v>0.0</v>
      </c>
      <c r="E123" s="45">
        <f t="shared" si="2"/>
        <v>0</v>
      </c>
      <c r="F123" s="41">
        <f t="shared" si="3"/>
        <v>0</v>
      </c>
      <c r="G123" s="72" t="s">
        <v>22</v>
      </c>
      <c r="H123" s="72">
        <v>46.0</v>
      </c>
      <c r="I123" s="51" t="str">
        <f>HYPERLINK("https://www.gibraltar.gov.gi/covid19","Source")</f>
        <v>Source</v>
      </c>
      <c r="J123" s="28"/>
      <c r="K123" s="32"/>
      <c r="L123" s="69">
        <v>81.0</v>
      </c>
      <c r="M123" s="69">
        <v>0.0</v>
      </c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30.0" customHeight="1">
      <c r="A124" s="36" t="s">
        <v>264</v>
      </c>
      <c r="B124" s="69">
        <v>87.0</v>
      </c>
      <c r="C124" s="40">
        <f t="shared" si="1"/>
        <v>0</v>
      </c>
      <c r="D124" s="69">
        <v>5.0</v>
      </c>
      <c r="E124" s="45">
        <f t="shared" si="2"/>
        <v>0</v>
      </c>
      <c r="F124" s="41">
        <f t="shared" si="3"/>
        <v>0.05747126437</v>
      </c>
      <c r="G124" s="72">
        <v>2.0</v>
      </c>
      <c r="H124" s="72">
        <v>1.0</v>
      </c>
      <c r="I124" s="51" t="str">
        <f>HYPERLINK("https://twitter.com/MOH_TT/status/1245369982483038210","Source")</f>
        <v>Source</v>
      </c>
      <c r="J124" s="50"/>
      <c r="K124" s="32"/>
      <c r="L124" s="69">
        <v>87.0</v>
      </c>
      <c r="M124" s="69">
        <v>5.0</v>
      </c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30.0" customHeight="1">
      <c r="A125" s="36" t="s">
        <v>265</v>
      </c>
      <c r="B125" s="69">
        <v>84.0</v>
      </c>
      <c r="C125" s="40">
        <f t="shared" si="1"/>
        <v>2</v>
      </c>
      <c r="D125" s="69">
        <v>0.0</v>
      </c>
      <c r="E125" s="45">
        <f t="shared" si="2"/>
        <v>0</v>
      </c>
      <c r="F125" s="41">
        <f t="shared" si="3"/>
        <v>0</v>
      </c>
      <c r="G125" s="72">
        <v>0.0</v>
      </c>
      <c r="H125" s="72">
        <v>0.0</v>
      </c>
      <c r="I125" s="51" t="str">
        <f>HYPERLINK("https://twitter.com/RwandaHealth/status/1245406564846108672","Source")</f>
        <v>Source</v>
      </c>
      <c r="J125" s="50"/>
      <c r="K125" s="32"/>
      <c r="L125" s="69">
        <v>82.0</v>
      </c>
      <c r="M125" s="69">
        <v>0.0</v>
      </c>
      <c r="N125" s="29"/>
      <c r="O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30.0" customHeight="1">
      <c r="A126" s="36" t="s">
        <v>266</v>
      </c>
      <c r="B126" s="69">
        <v>74.0</v>
      </c>
      <c r="C126" s="40">
        <f t="shared" si="1"/>
        <v>54</v>
      </c>
      <c r="D126" s="69">
        <v>5.0</v>
      </c>
      <c r="E126" s="45">
        <f t="shared" si="2"/>
        <v>2</v>
      </c>
      <c r="F126" s="59">
        <f t="shared" si="3"/>
        <v>0.06756756757</v>
      </c>
      <c r="G126" s="72" t="s">
        <v>22</v>
      </c>
      <c r="H126" s="72" t="s">
        <v>22</v>
      </c>
      <c r="I126" s="51" t="str">
        <f>HYPERLINK("http://french.china.org.cn/foreign/txt/2020-04/02/content_75888433.htm","Source")</f>
        <v>Source</v>
      </c>
      <c r="J126" s="28"/>
      <c r="K126" s="32"/>
      <c r="L126" s="69">
        <v>20.0</v>
      </c>
      <c r="M126" s="69">
        <v>3.0</v>
      </c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27.75" customHeight="1">
      <c r="A127" s="36" t="s">
        <v>267</v>
      </c>
      <c r="B127" s="69">
        <v>70.0</v>
      </c>
      <c r="C127" s="40">
        <f t="shared" si="1"/>
        <v>0</v>
      </c>
      <c r="D127" s="69">
        <v>2.0</v>
      </c>
      <c r="E127" s="45">
        <f t="shared" si="2"/>
        <v>0</v>
      </c>
      <c r="F127" s="59">
        <f t="shared" si="3"/>
        <v>0.02857142857</v>
      </c>
      <c r="G127" s="72" t="s">
        <v>22</v>
      </c>
      <c r="H127" s="72">
        <v>3.0</v>
      </c>
      <c r="I127" s="51" t="str">
        <f>HYPERLINK("https://in-cyprus.philenews.com/2nd-covid-19-death-reported-in-turkish-held-north/","Source")</f>
        <v>Source</v>
      </c>
      <c r="J127" s="28"/>
      <c r="K127" s="32"/>
      <c r="L127" s="69">
        <v>70.0</v>
      </c>
      <c r="M127" s="69">
        <v>2.0</v>
      </c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27.75" customHeight="1">
      <c r="A128" s="36" t="s">
        <v>205</v>
      </c>
      <c r="B128" s="69">
        <v>92.0</v>
      </c>
      <c r="C128" s="40">
        <f t="shared" si="1"/>
        <v>15</v>
      </c>
      <c r="D128" s="69">
        <v>3.0</v>
      </c>
      <c r="E128" s="45">
        <f t="shared" si="2"/>
        <v>0</v>
      </c>
      <c r="F128" s="41">
        <f t="shared" si="3"/>
        <v>0.03260869565</v>
      </c>
      <c r="G128" s="72" t="s">
        <v>22</v>
      </c>
      <c r="H128" s="72">
        <v>3.0</v>
      </c>
      <c r="I128" s="51" t="str">
        <f>HYPERLINK("https://twitter.com/MazzoleniJulio/status/1245163731698495490","Source")</f>
        <v>Source</v>
      </c>
      <c r="J128" s="28"/>
      <c r="K128" s="32"/>
      <c r="L128" s="69">
        <v>77.0</v>
      </c>
      <c r="M128" s="69">
        <v>3.0</v>
      </c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27.75" customHeight="1">
      <c r="A129" s="36" t="s">
        <v>268</v>
      </c>
      <c r="B129" s="69">
        <v>68.0</v>
      </c>
      <c r="C129" s="40">
        <f t="shared" si="1"/>
        <v>0</v>
      </c>
      <c r="D129" s="69">
        <v>0.0</v>
      </c>
      <c r="E129" s="45">
        <f t="shared" si="2"/>
        <v>0</v>
      </c>
      <c r="F129" s="41">
        <f t="shared" si="3"/>
        <v>0</v>
      </c>
      <c r="G129" s="72" t="s">
        <v>22</v>
      </c>
      <c r="H129" s="72" t="s">
        <v>22</v>
      </c>
      <c r="I129" s="51" t="str">
        <f>HYPERLINK("https://www.regierung.li/media/attachments/160-coronavirus-68-personen-positiv.pdf?t=637213478796485400","Source")</f>
        <v>Source</v>
      </c>
      <c r="J129" s="28"/>
      <c r="K129" s="32"/>
      <c r="L129" s="69">
        <v>68.0</v>
      </c>
      <c r="M129" s="69">
        <v>0.0</v>
      </c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30.0" customHeight="1">
      <c r="A130" s="36" t="s">
        <v>269</v>
      </c>
      <c r="B130" s="69">
        <v>60.0</v>
      </c>
      <c r="C130" s="40">
        <f t="shared" si="1"/>
        <v>5</v>
      </c>
      <c r="D130" s="69">
        <v>0.0</v>
      </c>
      <c r="E130" s="45">
        <f t="shared" si="2"/>
        <v>0</v>
      </c>
      <c r="F130" s="41">
        <f t="shared" si="3"/>
        <v>0</v>
      </c>
      <c r="G130" s="72" t="s">
        <v>22</v>
      </c>
      <c r="H130" s="72">
        <v>1.0</v>
      </c>
      <c r="I130" s="51" t="str">
        <f>HYPERLINK("https://www.arubacovid19.org/","Source")</f>
        <v>Source</v>
      </c>
      <c r="J130" s="28"/>
      <c r="K130" s="32"/>
      <c r="L130" s="69">
        <v>55.0</v>
      </c>
      <c r="M130" s="69">
        <v>0.0</v>
      </c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27.75" customHeight="1">
      <c r="A131" s="36" t="s">
        <v>270</v>
      </c>
      <c r="B131" s="69">
        <v>54.0</v>
      </c>
      <c r="C131" s="40">
        <f t="shared" si="1"/>
        <v>0</v>
      </c>
      <c r="D131" s="69">
        <v>6.0</v>
      </c>
      <c r="E131" s="45">
        <f t="shared" si="2"/>
        <v>0</v>
      </c>
      <c r="F131" s="59">
        <f t="shared" si="3"/>
        <v>0.1111111111</v>
      </c>
      <c r="G131" s="72" t="s">
        <v>22</v>
      </c>
      <c r="H131" s="72">
        <v>11.0</v>
      </c>
      <c r="I131" s="51" t="str">
        <f>HYPERLINK("https://www.thedailystar.net/coronavirus-update-in-bangladesh-1-more-dies-3-new-cases-confirmed-1888420","Source")</f>
        <v>Source</v>
      </c>
      <c r="J131" s="28"/>
      <c r="K131" s="32"/>
      <c r="L131" s="69">
        <v>54.0</v>
      </c>
      <c r="M131" s="69">
        <v>6.0</v>
      </c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30.0" customHeight="1">
      <c r="A132" s="36" t="s">
        <v>271</v>
      </c>
      <c r="B132" s="69">
        <v>52.0</v>
      </c>
      <c r="C132" s="40">
        <f t="shared" si="1"/>
        <v>0</v>
      </c>
      <c r="D132" s="69">
        <v>1.0</v>
      </c>
      <c r="E132" s="45">
        <f t="shared" si="2"/>
        <v>0</v>
      </c>
      <c r="F132" s="41">
        <f t="shared" si="3"/>
        <v>0.01923076923</v>
      </c>
      <c r="G132" s="72">
        <v>2.0</v>
      </c>
      <c r="H132" s="72">
        <v>2.0</v>
      </c>
      <c r="I132" s="51" t="str">
        <f>HYPERLINK("https://en.gouv.mc/Policy-Practice/Coronavirus-Covid-2019/Actualites/CORONAVIRUS-trois-nouveaux-cas-positifs-reveles-a-Monaco3","Source")</f>
        <v>Source</v>
      </c>
      <c r="J132" s="28"/>
      <c r="K132" s="32"/>
      <c r="L132" s="69">
        <v>52.0</v>
      </c>
      <c r="M132" s="69">
        <v>1.0</v>
      </c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30.0" customHeight="1">
      <c r="A133" s="36" t="s">
        <v>272</v>
      </c>
      <c r="B133" s="69">
        <v>50.0</v>
      </c>
      <c r="C133" s="40">
        <f t="shared" si="1"/>
        <v>0</v>
      </c>
      <c r="D133" s="69">
        <v>0.0</v>
      </c>
      <c r="E133" s="45">
        <f t="shared" si="2"/>
        <v>0</v>
      </c>
      <c r="F133" s="59">
        <f t="shared" si="3"/>
        <v>0</v>
      </c>
      <c r="G133" s="72">
        <v>1.0</v>
      </c>
      <c r="H133" s="72">
        <v>0.0</v>
      </c>
      <c r="I133" s="51" t="str">
        <f>HYPERLINK("https://www.madagascar-tribune.com/Le-bilan-commence-a-s-alourdir-avec-une-cinquantaine-de-cas-confirmes-hier.html","Source")</f>
        <v>Source</v>
      </c>
      <c r="J133" s="28"/>
      <c r="K133" s="32"/>
      <c r="L133" s="69">
        <v>50.0</v>
      </c>
      <c r="M133" s="69">
        <v>0.0</v>
      </c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27.75" customHeight="1">
      <c r="A134" s="36" t="s">
        <v>207</v>
      </c>
      <c r="B134" s="69">
        <v>47.0</v>
      </c>
      <c r="C134" s="40">
        <f t="shared" si="1"/>
        <v>8</v>
      </c>
      <c r="D134" s="69">
        <v>1.0</v>
      </c>
      <c r="E134" s="45">
        <f t="shared" si="2"/>
        <v>0</v>
      </c>
      <c r="F134" s="41">
        <f t="shared" si="3"/>
        <v>0.02127659574</v>
      </c>
      <c r="G134" s="72" t="s">
        <v>22</v>
      </c>
      <c r="H134" s="72">
        <v>12.0</v>
      </c>
      <c r="I134" s="51" t="str">
        <f>HYPERLINK("https://www.mspas.gob.gt/index.php/noticias/coronavirus-2019-ncov","Source")</f>
        <v>Source</v>
      </c>
      <c r="J134" s="28"/>
      <c r="K134" s="32"/>
      <c r="L134" s="69">
        <v>39.0</v>
      </c>
      <c r="M134" s="69">
        <v>1.0</v>
      </c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30.0" customHeight="1">
      <c r="A135" s="36" t="s">
        <v>273</v>
      </c>
      <c r="B135" s="69">
        <v>44.0</v>
      </c>
      <c r="C135" s="40">
        <f t="shared" si="1"/>
        <v>0</v>
      </c>
      <c r="D135" s="69">
        <v>0.0</v>
      </c>
      <c r="E135" s="45">
        <f t="shared" si="2"/>
        <v>0</v>
      </c>
      <c r="F135" s="41">
        <f t="shared" si="3"/>
        <v>0</v>
      </c>
      <c r="G135" s="72" t="s">
        <v>22</v>
      </c>
      <c r="H135" s="72" t="s">
        <v>22</v>
      </c>
      <c r="I135" s="51" t="str">
        <f>HYPERLINK("https://covid19.gou.go.ug/","Source")</f>
        <v>Source</v>
      </c>
      <c r="J135" s="50"/>
      <c r="K135" s="32"/>
      <c r="L135" s="69">
        <v>44.0</v>
      </c>
      <c r="M135" s="69">
        <v>0.0</v>
      </c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30.0" customHeight="1">
      <c r="A136" s="36" t="s">
        <v>274</v>
      </c>
      <c r="B136" s="69">
        <v>44.0</v>
      </c>
      <c r="C136" s="40">
        <f t="shared" si="1"/>
        <v>6</v>
      </c>
      <c r="D136" s="69">
        <v>2.0</v>
      </c>
      <c r="E136" s="45">
        <f t="shared" si="2"/>
        <v>1</v>
      </c>
      <c r="F136" s="59">
        <f t="shared" si="3"/>
        <v>0.04545454545</v>
      </c>
      <c r="G136" s="72" t="s">
        <v>22</v>
      </c>
      <c r="H136" s="72">
        <v>2.0</v>
      </c>
      <c r="I136" s="51" t="str">
        <f>HYPERLINK("https://twitter.com/themohwgovjm/status/1245532203456630784","Source")</f>
        <v>Source</v>
      </c>
      <c r="J136" s="50"/>
      <c r="K136" s="32"/>
      <c r="L136" s="69">
        <v>38.0</v>
      </c>
      <c r="M136" s="69">
        <v>1.0</v>
      </c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30.0" customHeight="1">
      <c r="A137" s="36" t="s">
        <v>275</v>
      </c>
      <c r="B137" s="69">
        <v>41.0</v>
      </c>
      <c r="C137" s="40">
        <f t="shared" si="1"/>
        <v>0</v>
      </c>
      <c r="D137" s="69">
        <v>0.0</v>
      </c>
      <c r="E137" s="45">
        <f t="shared" si="2"/>
        <v>0</v>
      </c>
      <c r="F137" s="59">
        <f t="shared" si="3"/>
        <v>0</v>
      </c>
      <c r="G137" s="72" t="s">
        <v>22</v>
      </c>
      <c r="H137" s="72">
        <v>10.0</v>
      </c>
      <c r="I137" s="51" t="str">
        <f>HYPERLINK("https://www.ssm.gov.mo/docs/17774/17774_fadeeb5386fc4a4c805c00129fb23bf3_000.pdf","Source")</f>
        <v>Source</v>
      </c>
      <c r="J137" s="28"/>
      <c r="K137" s="32"/>
      <c r="L137" s="69">
        <v>41.0</v>
      </c>
      <c r="M137" s="69">
        <v>0.0</v>
      </c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27.75" customHeight="1">
      <c r="A138" s="36" t="s">
        <v>276</v>
      </c>
      <c r="B138" s="69">
        <v>39.0</v>
      </c>
      <c r="C138" s="40">
        <f t="shared" si="1"/>
        <v>3</v>
      </c>
      <c r="D138" s="69">
        <v>2.0</v>
      </c>
      <c r="E138" s="45">
        <f t="shared" si="2"/>
        <v>0</v>
      </c>
      <c r="F138" s="59">
        <f t="shared" si="3"/>
        <v>0.05128205128</v>
      </c>
      <c r="G138" s="72" t="s">
        <v>22</v>
      </c>
      <c r="H138" s="72">
        <v>17.0</v>
      </c>
      <c r="I138" s="51" t="str">
        <f>HYPERLINK("https://covid19.gouv.tg/","Source")</f>
        <v>Source</v>
      </c>
      <c r="J138" s="50"/>
      <c r="K138" s="32"/>
      <c r="L138" s="69">
        <v>36.0</v>
      </c>
      <c r="M138" s="69">
        <v>2.0</v>
      </c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30.0" customHeight="1">
      <c r="A139" s="36" t="s">
        <v>277</v>
      </c>
      <c r="B139" s="69">
        <v>37.0</v>
      </c>
      <c r="C139" s="40">
        <f t="shared" si="1"/>
        <v>0</v>
      </c>
      <c r="D139" s="69">
        <v>0.0</v>
      </c>
      <c r="E139" s="45">
        <f t="shared" si="2"/>
        <v>0</v>
      </c>
      <c r="F139" s="41">
        <f t="shared" si="3"/>
        <v>0</v>
      </c>
      <c r="G139" s="72" t="s">
        <v>22</v>
      </c>
      <c r="H139" s="72" t="s">
        <v>22</v>
      </c>
      <c r="I139" s="51" t="str">
        <f>HYPERLINK("https://www.presidence.pf/coronavirus-situation-pour-la-polynesie-francaise-a-16h-6-2/","Source")</f>
        <v>Source</v>
      </c>
      <c r="J139" s="28"/>
      <c r="K139" s="32"/>
      <c r="L139" s="69">
        <v>37.0</v>
      </c>
      <c r="M139" s="69">
        <v>0.0</v>
      </c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30.0" customHeight="1">
      <c r="A140" s="36" t="s">
        <v>278</v>
      </c>
      <c r="B140" s="69">
        <v>36.0</v>
      </c>
      <c r="C140" s="40">
        <f t="shared" si="1"/>
        <v>0</v>
      </c>
      <c r="D140" s="69">
        <v>0.0</v>
      </c>
      <c r="E140" s="45">
        <f t="shared" si="2"/>
        <v>0</v>
      </c>
      <c r="F140" s="41">
        <f t="shared" si="3"/>
        <v>0</v>
      </c>
      <c r="G140" s="72" t="s">
        <v>22</v>
      </c>
      <c r="H140" s="72">
        <v>0.0</v>
      </c>
      <c r="I140" s="51" t="str">
        <f>HYPERLINK("https://www.facebook.com/EdgarChagwaLungu/posts/2970117273044478?__tn__=-R","Source")</f>
        <v>Source</v>
      </c>
      <c r="J140" s="28"/>
      <c r="K140" s="32"/>
      <c r="L140" s="69">
        <v>36.0</v>
      </c>
      <c r="M140" s="69">
        <v>0.0</v>
      </c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30.0" customHeight="1">
      <c r="A141" s="36" t="s">
        <v>279</v>
      </c>
      <c r="B141" s="69">
        <v>34.0</v>
      </c>
      <c r="C141" s="40">
        <f t="shared" si="1"/>
        <v>0</v>
      </c>
      <c r="D141" s="69">
        <v>0.0</v>
      </c>
      <c r="E141" s="45">
        <f t="shared" si="2"/>
        <v>0</v>
      </c>
      <c r="F141" s="41">
        <f t="shared" si="3"/>
        <v>0</v>
      </c>
      <c r="G141" s="72">
        <v>2.0</v>
      </c>
      <c r="H141" s="72">
        <v>0.0</v>
      </c>
      <c r="I141" s="51" t="str">
        <f>HYPERLINK("http://www.loopnewsbarbados.com/content/covid-19-34-cases-confirmed-island-march-302020","Source")</f>
        <v>Source</v>
      </c>
      <c r="J141" s="28"/>
      <c r="K141" s="32"/>
      <c r="L141" s="69">
        <v>34.0</v>
      </c>
      <c r="M141" s="69">
        <v>0.0</v>
      </c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30.0" customHeight="1">
      <c r="A142" s="36" t="s">
        <v>208</v>
      </c>
      <c r="B142" s="69">
        <v>32.0</v>
      </c>
      <c r="C142" s="40">
        <f t="shared" si="1"/>
        <v>0</v>
      </c>
      <c r="D142" s="69">
        <v>1.0</v>
      </c>
      <c r="E142" s="45">
        <f t="shared" si="2"/>
        <v>0</v>
      </c>
      <c r="F142" s="41">
        <f t="shared" si="3"/>
        <v>0.03125</v>
      </c>
      <c r="G142" s="72">
        <v>5.0</v>
      </c>
      <c r="H142" s="72" t="s">
        <v>22</v>
      </c>
      <c r="I142" s="51" t="str">
        <f>HYPERLINK("https://www.elsalvador.com/eldiariodehoy/coronavirus-primera-muerte-hospital-saldana-el-salvador/701682/2020/","Source")</f>
        <v>Source</v>
      </c>
      <c r="J142" s="28"/>
      <c r="K142" s="32"/>
      <c r="L142" s="69">
        <v>32.0</v>
      </c>
      <c r="M142" s="69">
        <v>1.0</v>
      </c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30.0" customHeight="1">
      <c r="A143" s="36" t="s">
        <v>280</v>
      </c>
      <c r="B143" s="69">
        <v>32.0</v>
      </c>
      <c r="C143" s="40">
        <f t="shared" si="1"/>
        <v>0</v>
      </c>
      <c r="D143" s="69">
        <v>0.0</v>
      </c>
      <c r="E143" s="45">
        <f t="shared" si="2"/>
        <v>0</v>
      </c>
      <c r="F143" s="41">
        <f t="shared" si="3"/>
        <v>0</v>
      </c>
      <c r="G143" s="72" t="s">
        <v>22</v>
      </c>
      <c r="H143" s="72">
        <v>10.0</v>
      </c>
      <c r="I143" s="51" t="str">
        <f>HYPERLINK("https://www.gov.bm/articles/covid-19-update-premier-david-burt-26-march-2020","Source")</f>
        <v>Source</v>
      </c>
      <c r="J143" s="28"/>
      <c r="K143" s="32"/>
      <c r="L143" s="69">
        <v>32.0</v>
      </c>
      <c r="M143" s="69">
        <v>0.0</v>
      </c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30.0" customHeight="1">
      <c r="A144" s="36" t="s">
        <v>281</v>
      </c>
      <c r="B144" s="69">
        <v>31.0</v>
      </c>
      <c r="C144" s="40">
        <f t="shared" si="1"/>
        <v>0</v>
      </c>
      <c r="D144" s="69">
        <v>3.0</v>
      </c>
      <c r="E144" s="45">
        <f t="shared" si="2"/>
        <v>0</v>
      </c>
      <c r="F144" s="59">
        <f t="shared" si="3"/>
        <v>0.09677419355</v>
      </c>
      <c r="G144" s="72" t="s">
        <v>22</v>
      </c>
      <c r="H144" s="72">
        <v>0.0</v>
      </c>
      <c r="I144" s="51" t="str">
        <f>HYPERLINK("https://www.maliweb.net/sante/covid-19-31-cas-confirmes-03-morts-au-mali-2865604.html","Source")</f>
        <v>Source</v>
      </c>
      <c r="J144" s="28"/>
      <c r="K144" s="32"/>
      <c r="L144" s="69">
        <v>31.0</v>
      </c>
      <c r="M144" s="69">
        <v>3.0</v>
      </c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30.0" customHeight="1">
      <c r="A145" s="36" t="s">
        <v>282</v>
      </c>
      <c r="B145" s="69">
        <v>31.0</v>
      </c>
      <c r="C145" s="40">
        <f t="shared" si="1"/>
        <v>0</v>
      </c>
      <c r="D145" s="69">
        <v>0.0</v>
      </c>
      <c r="E145" s="45">
        <f t="shared" si="2"/>
        <v>0</v>
      </c>
      <c r="F145" s="59">
        <f t="shared" si="3"/>
        <v>0</v>
      </c>
      <c r="G145" s="72">
        <v>0.0</v>
      </c>
      <c r="H145" s="72">
        <v>0.0</v>
      </c>
      <c r="I145" s="51" t="str">
        <f>HYPERLINK("https://www.facebook.com/minister.sante.dj/posts/2974967512542163?__xts__[0]=68.ARAR9Jx6BLHVAY4SwANIKhcxYa6rxZ29ouXwjIEIAo6ESNxuewXViNG4wkmR4ESAu8iYnQu732ukwv_bwbq-VK4ztsgGZNaGkzaPiU-Q4B9ubRBKrSm4grybnaXaigYXzW01dUs--e1Mby390_BMxibFPs0skJ0fd5BqcN2uyCqb6Ta"&amp;"T_yZ4lXTfJF3g58UZO4uN3JbDJxIXBw4j1E_Cn9AzRKKx6An557NgmvbnOaZi__afDSXLbo1vFvU1nSEUKEow7XbarOkfka_kw1aLBkgSvjx9fj8E_GTF_IL0sNwoN9fTzZ9dq_RpSsqQmkZEqqK9xoSJhZikdm6-bO7WDgJYMyyjkgr0lmb5iJn1LzG1M4AGHQ-EsgDRSjJnIHE5egQfgIiYGsq626Vmq5GlZHuZ3Rr0jXiYAVsuOkqpfZnCQH"&amp;"AjHwWNKsKjIe7ORuFeyV7ZZxZunF2dDJRQiPg4iUt0M_CBlwL-d5oVea0kYc997Izfw9cEefL9oA&amp;__tn__=-R","Source")</f>
        <v>Source</v>
      </c>
      <c r="J145" s="28"/>
      <c r="K145" s="32"/>
      <c r="L145" s="69">
        <v>31.0</v>
      </c>
      <c r="M145" s="69">
        <v>0.0</v>
      </c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30.0" customHeight="1">
      <c r="A146" s="36" t="s">
        <v>283</v>
      </c>
      <c r="B146" s="69">
        <v>31.0</v>
      </c>
      <c r="C146" s="40">
        <f t="shared" si="1"/>
        <v>1</v>
      </c>
      <c r="D146" s="69">
        <v>1.0</v>
      </c>
      <c r="E146" s="45">
        <f t="shared" si="2"/>
        <v>0</v>
      </c>
      <c r="F146" s="41">
        <f t="shared" si="3"/>
        <v>0.03225806452</v>
      </c>
      <c r="G146" s="72" t="s">
        <v>22</v>
      </c>
      <c r="H146" s="72">
        <v>1.0</v>
      </c>
      <c r="I146" s="51" t="str">
        <f>HYPERLINK("https://www.facebook.com/Sanitaire.net/photos/a.203541090096324/884651525318607/?type=3&amp;__xts__%5B0%5D=68.ARD7DJrkaKly6BWdoY7dD-4fWQI0fKFVgUsEDUb6NhDJTVL0AryqB4G4wruQh89kR-da4S-Mqxt90n8K7-kMtkm5e8JABd4ApJRWRXpg4-3EbmCdDBHUGGT4DR1skSePevVd36INm91-eaDZZhwpz"&amp;"jibALvkCyK6Q-6Zl9ubJ24zOIiwPOYHGgyw1PlcNpFgznbCioxUuVajCDfg7rhe0uit2QTBEvDtROqvvUEykYKGZhGBZZ69zypMLXdmrKrRsmQ4pk4U7RsZMqpZ_v75PZt03i782tRGNy_S5FznAR88yo1hpa7nA5W7yEHXJUUFenfG3IHfffRKI0YXMIMWYyc&amp;__tn__=-R","Source")</f>
        <v>Source</v>
      </c>
      <c r="J146" s="28"/>
      <c r="K146" s="32"/>
      <c r="L146" s="69">
        <v>30.0</v>
      </c>
      <c r="M146" s="69">
        <v>1.0</v>
      </c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30.0" customHeight="1">
      <c r="A147" s="36" t="s">
        <v>284</v>
      </c>
      <c r="B147" s="69">
        <v>26.0</v>
      </c>
      <c r="C147" s="40">
        <f t="shared" si="1"/>
        <v>0</v>
      </c>
      <c r="D147" s="69">
        <v>0.0</v>
      </c>
      <c r="E147" s="45">
        <f t="shared" si="2"/>
        <v>0</v>
      </c>
      <c r="F147" s="59">
        <f t="shared" si="3"/>
        <v>0</v>
      </c>
      <c r="G147" s="72">
        <v>2.0</v>
      </c>
      <c r="H147" s="72">
        <v>2.0</v>
      </c>
      <c r="I147" s="51" t="str">
        <f>HYPERLINK("https://twitter.com/lia_tadesse/status/1245035159071723523","Source")</f>
        <v>Source</v>
      </c>
      <c r="J147" s="28"/>
      <c r="K147" s="32"/>
      <c r="L147" s="69">
        <v>26.0</v>
      </c>
      <c r="M147" s="69">
        <v>0.0</v>
      </c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30.0" customHeight="1">
      <c r="A148" s="36" t="s">
        <v>285</v>
      </c>
      <c r="B148" s="69">
        <v>22.0</v>
      </c>
      <c r="C148" s="40">
        <f t="shared" si="1"/>
        <v>8</v>
      </c>
      <c r="D148" s="69">
        <v>1.0</v>
      </c>
      <c r="E148" s="45">
        <f t="shared" si="2"/>
        <v>0</v>
      </c>
      <c r="F148" s="41">
        <f t="shared" si="3"/>
        <v>0.04545454545</v>
      </c>
      <c r="G148" s="72" t="s">
        <v>22</v>
      </c>
      <c r="H148" s="72" t="s">
        <v>22</v>
      </c>
      <c r="I148" s="51" t="str">
        <f>HYPERLINK("http://www.gov.ky/portal/page/portal/cighome/pressroom/archive/March%202020/31-march-covid-update","Source")</f>
        <v>Source</v>
      </c>
      <c r="J148" s="28"/>
      <c r="K148" s="32"/>
      <c r="L148" s="69">
        <v>14.0</v>
      </c>
      <c r="M148" s="69">
        <v>1.0</v>
      </c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30.0" customHeight="1">
      <c r="A149" s="36" t="s">
        <v>286</v>
      </c>
      <c r="B149" s="69">
        <v>21.0</v>
      </c>
      <c r="C149" s="40">
        <f t="shared" si="1"/>
        <v>0</v>
      </c>
      <c r="D149" s="69">
        <v>1.0</v>
      </c>
      <c r="E149" s="45">
        <f t="shared" si="2"/>
        <v>0</v>
      </c>
      <c r="F149" s="59">
        <f t="shared" si="3"/>
        <v>0.04761904762</v>
      </c>
      <c r="G149" s="72">
        <v>0.0</v>
      </c>
      <c r="H149" s="72">
        <v>1.0</v>
      </c>
      <c r="I149" s="51" t="str">
        <f>HYPERLINK("https://opm.gov.bs/press-conference-remarks-update-on-covid-19-1-april/","Source")</f>
        <v>Source</v>
      </c>
      <c r="J149" s="28"/>
      <c r="K149" s="32"/>
      <c r="L149" s="69">
        <v>21.0</v>
      </c>
      <c r="M149" s="69">
        <v>1.0</v>
      </c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30.0" customHeight="1">
      <c r="A150" s="36" t="s">
        <v>287</v>
      </c>
      <c r="B150" s="69">
        <v>19.0</v>
      </c>
      <c r="C150" s="40">
        <f t="shared" si="1"/>
        <v>0</v>
      </c>
      <c r="D150" s="69">
        <v>0.0</v>
      </c>
      <c r="E150" s="45">
        <f t="shared" si="2"/>
        <v>0</v>
      </c>
      <c r="F150" s="59">
        <f t="shared" si="3"/>
        <v>0</v>
      </c>
      <c r="G150" s="72" t="s">
        <v>22</v>
      </c>
      <c r="H150" s="72" t="s">
        <v>22</v>
      </c>
      <c r="I150" s="51" t="str">
        <f>HYPERLINK("https://pbs.twimg.com/media/EURl4NAWAAMe0Cd?format=jpg&amp;name=4096x4096","Source")</f>
        <v>Source</v>
      </c>
      <c r="J150" s="28"/>
      <c r="K150" s="32"/>
      <c r="L150" s="69">
        <v>19.0</v>
      </c>
      <c r="M150" s="69">
        <v>0.0</v>
      </c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30.0" customHeight="1">
      <c r="A151" s="36" t="s">
        <v>288</v>
      </c>
      <c r="B151" s="69">
        <v>19.0</v>
      </c>
      <c r="C151" s="40">
        <f t="shared" si="1"/>
        <v>7</v>
      </c>
      <c r="D151" s="69">
        <v>4.0</v>
      </c>
      <c r="E151" s="45">
        <f t="shared" si="2"/>
        <v>2</v>
      </c>
      <c r="F151" s="59">
        <f t="shared" si="3"/>
        <v>0.2105263158</v>
      </c>
      <c r="G151" s="72">
        <v>0.0</v>
      </c>
      <c r="H151" s="72" t="s">
        <v>22</v>
      </c>
      <c r="I151" s="51" t="str">
        <f>HYPERLINK("https://dpi.gov.gy/covid19/","Source")</f>
        <v>Source</v>
      </c>
      <c r="J151" s="28"/>
      <c r="K151" s="32"/>
      <c r="L151" s="69">
        <v>12.0</v>
      </c>
      <c r="M151" s="69">
        <v>2.0</v>
      </c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30.0" customHeight="1">
      <c r="A152" s="36" t="s">
        <v>289</v>
      </c>
      <c r="B152" s="69">
        <v>19.0</v>
      </c>
      <c r="C152" s="40">
        <f t="shared" si="1"/>
        <v>0</v>
      </c>
      <c r="D152" s="69">
        <v>1.0</v>
      </c>
      <c r="E152" s="45">
        <f t="shared" si="2"/>
        <v>0</v>
      </c>
      <c r="F152" s="59">
        <f t="shared" si="3"/>
        <v>0.05263157895</v>
      </c>
      <c r="G152" s="72" t="s">
        <v>22</v>
      </c>
      <c r="H152" s="72">
        <v>1.0</v>
      </c>
      <c r="I152" s="51" t="str">
        <f>HYPERLINK("https://www.thecitizen.co.tz/news/Tanzania-records-first-Covid-19-death/1840340-5509582-e6v2lk/index.html","Source")</f>
        <v>Source</v>
      </c>
      <c r="J152" s="28"/>
      <c r="K152" s="32"/>
      <c r="L152" s="69">
        <v>19.0</v>
      </c>
      <c r="M152" s="69">
        <v>1.0</v>
      </c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27.75" customHeight="1">
      <c r="A153" s="36" t="s">
        <v>290</v>
      </c>
      <c r="B153" s="69">
        <v>19.0</v>
      </c>
      <c r="C153" s="40">
        <f t="shared" si="1"/>
        <v>0</v>
      </c>
      <c r="D153" s="69">
        <v>0.0</v>
      </c>
      <c r="E153" s="45">
        <f t="shared" si="2"/>
        <v>0</v>
      </c>
      <c r="F153" s="59">
        <f t="shared" si="3"/>
        <v>0</v>
      </c>
      <c r="G153" s="72" t="s">
        <v>22</v>
      </c>
      <c r="H153" s="72">
        <v>13.0</v>
      </c>
      <c r="I153" s="51" t="str">
        <f>HYPERLINK("https://covid19.health.gov.mv/en/","Source")</f>
        <v>Source</v>
      </c>
      <c r="J153" s="28"/>
      <c r="K153" s="32"/>
      <c r="L153" s="69">
        <v>19.0</v>
      </c>
      <c r="M153" s="69">
        <v>0.0</v>
      </c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30.0" customHeight="1">
      <c r="A154" s="36" t="s">
        <v>291</v>
      </c>
      <c r="B154" s="69">
        <v>18.0</v>
      </c>
      <c r="C154" s="40">
        <f t="shared" si="1"/>
        <v>0</v>
      </c>
      <c r="D154" s="69">
        <v>1.0</v>
      </c>
      <c r="E154" s="45">
        <f t="shared" si="2"/>
        <v>0</v>
      </c>
      <c r="F154" s="59">
        <f t="shared" si="3"/>
        <v>0.05555555556</v>
      </c>
      <c r="G154" s="72" t="s">
        <v>22</v>
      </c>
      <c r="H154" s="72" t="s">
        <v>22</v>
      </c>
      <c r="I154" s="51" t="str">
        <f>HYPERLINK("https://www.gabonreview.com/coronavirus-deja-18-personnes-infectees-au-gabon/","Source")</f>
        <v>Source</v>
      </c>
      <c r="J154" s="28"/>
      <c r="K154" s="32"/>
      <c r="L154" s="69">
        <v>18.0</v>
      </c>
      <c r="M154" s="69">
        <v>1.0</v>
      </c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30.0" customHeight="1">
      <c r="A155" s="36" t="s">
        <v>292</v>
      </c>
      <c r="B155" s="69">
        <v>16.0</v>
      </c>
      <c r="C155" s="40">
        <f t="shared" si="1"/>
        <v>6</v>
      </c>
      <c r="D155" s="69">
        <v>2.0</v>
      </c>
      <c r="E155" s="45">
        <f t="shared" si="2"/>
        <v>0</v>
      </c>
      <c r="F155" s="41">
        <f t="shared" si="3"/>
        <v>0.125</v>
      </c>
      <c r="G155" s="72">
        <v>0.0</v>
      </c>
      <c r="H155" s="72">
        <v>0.0</v>
      </c>
      <c r="I155" s="51" t="str">
        <f>HYPERLINK("https://sana.sy/?p=1131507","Source")</f>
        <v>Source</v>
      </c>
      <c r="J155" s="50"/>
      <c r="K155" s="32"/>
      <c r="L155" s="69">
        <v>10.0</v>
      </c>
      <c r="M155" s="69">
        <v>2.0</v>
      </c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30.0" customHeight="1">
      <c r="A156" s="36" t="s">
        <v>293</v>
      </c>
      <c r="B156" s="69">
        <v>16.0</v>
      </c>
      <c r="C156" s="40">
        <f t="shared" si="1"/>
        <v>0</v>
      </c>
      <c r="D156" s="69">
        <v>1.0</v>
      </c>
      <c r="E156" s="45">
        <f t="shared" si="2"/>
        <v>0</v>
      </c>
      <c r="F156" s="41">
        <f t="shared" si="3"/>
        <v>0.0625</v>
      </c>
      <c r="G156" s="72" t="s">
        <v>22</v>
      </c>
      <c r="H156" s="72">
        <v>0.0</v>
      </c>
      <c r="I156" s="51" t="str">
        <f>HYPERLINK("https://www.facebook.com/SXMGOV/videos/1164346547233270/?__tn__=kC-R&amp;eid=ARBEhFrQsT7cn9NoHbmQmi3YbLxCjPSPQ1TQpS1SDlfD7HTHchWqDaStuxD96CxkOK7CXr1pDbYI7Nzp&amp;hc_ref=ARTVb6AFW7gMZKo2HBC2-Unl_DOACnZWF2kQRLNpP3Q-y36CBKQCKaxphtsLEzS08PU&amp;fref=nf&amp;__xts__[0]=68.ARDN"&amp;"NQICovBCGYyxSt7ZOlVoSfv6xSsPbkKzgIyeIHq62tgrd7UCpZZFI4nJAxH5hQil1je2OyMayB8N_GCVAdlq6PfRfD7B1T_HXD1vOoc3CDwdgydgek_Fl3tyk-zSOkd3OiH78NAOCy34MQmr0F2ZY5Jntt7QbV_vK0cDo8CisazLEruMVt4UYHRapulF9TpfaWh2VMJFGWvGz_AyMIuuD7nBO70B0sIbLKxqC5UrYbpwfwGcA8X2AY3XDWeHdGe"&amp;"rJdoifwkpZkX9G8BtANaTtsAjwtOqulzBHYBog0Mt1yO2BeYKHh39Dr3Ah2Zm_zObi7J-SuqD5ZA9cxEX1kX9Qg","Source")</f>
        <v>Source</v>
      </c>
      <c r="J156" s="28"/>
      <c r="K156" s="32"/>
      <c r="L156" s="69">
        <v>16.0</v>
      </c>
      <c r="M156" s="69">
        <v>1.0</v>
      </c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30.0" customHeight="1">
      <c r="A157" s="36" t="s">
        <v>294</v>
      </c>
      <c r="B157" s="69">
        <v>16.0</v>
      </c>
      <c r="C157" s="40">
        <f t="shared" si="1"/>
        <v>0</v>
      </c>
      <c r="D157" s="69">
        <v>0.0</v>
      </c>
      <c r="E157" s="45">
        <f t="shared" si="2"/>
        <v>0</v>
      </c>
      <c r="F157" s="41">
        <f t="shared" si="3"/>
        <v>0</v>
      </c>
      <c r="G157" s="72" t="s">
        <v>22</v>
      </c>
      <c r="H157" s="72" t="s">
        <v>22</v>
      </c>
      <c r="I157" s="51" t="str">
        <f>HYPERLINK("https://twitter.com/MsppOfficiel/status/1245195710238281733","Source")</f>
        <v>Source</v>
      </c>
      <c r="J157" s="28"/>
      <c r="K157" s="32"/>
      <c r="L157" s="69">
        <v>16.0</v>
      </c>
      <c r="M157" s="69">
        <v>0.0</v>
      </c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30.0" customHeight="1">
      <c r="A158" s="36" t="s">
        <v>295</v>
      </c>
      <c r="B158" s="69">
        <v>16.0</v>
      </c>
      <c r="C158" s="40">
        <f t="shared" si="1"/>
        <v>0</v>
      </c>
      <c r="D158" s="69">
        <v>0.0</v>
      </c>
      <c r="E158" s="45">
        <f t="shared" si="2"/>
        <v>0</v>
      </c>
      <c r="F158" s="59">
        <f t="shared" si="3"/>
        <v>0</v>
      </c>
      <c r="G158" s="72" t="s">
        <v>22</v>
      </c>
      <c r="H158" s="72">
        <v>1.0</v>
      </c>
      <c r="I158" s="51" t="str">
        <f>HYPERLINK("https://gouv.nc/coronavirus","Source")</f>
        <v>Source</v>
      </c>
      <c r="J158" s="28"/>
      <c r="K158" s="32"/>
      <c r="L158" s="69">
        <v>16.0</v>
      </c>
      <c r="M158" s="69">
        <v>0.0</v>
      </c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30.0" customHeight="1">
      <c r="A159" s="36" t="s">
        <v>296</v>
      </c>
      <c r="B159" s="69">
        <v>15.0</v>
      </c>
      <c r="C159" s="40">
        <f t="shared" si="1"/>
        <v>0</v>
      </c>
      <c r="D159" s="69">
        <v>1.0</v>
      </c>
      <c r="E159" s="45">
        <f t="shared" si="2"/>
        <v>0</v>
      </c>
      <c r="F159" s="41">
        <f t="shared" si="3"/>
        <v>0.06666666667</v>
      </c>
      <c r="G159" s="72" t="s">
        <v>22</v>
      </c>
      <c r="H159" s="72">
        <v>0.0</v>
      </c>
      <c r="I159" s="51" t="str">
        <f>HYPERLINK("https://www.facebook.com/MinistryOfHealthAndSportsMyanmar/posts/3291164387579510?__xts__[0]=68.ARCt1CU8jFONyMNPg3j2afllf-DA4em5YSpw6RVTh-2NgdKgp_Upk6VY9bosyf16ZThxEJ_0utYfohtAkY2o96Q6Jjky4mmqCiTW0Xr6Pdxe1TLsSp8FGcPgUDpgYALvKIA9IDkIPYdPwkzoj75UXo8vRAKXyPh3"&amp;"RwlQb5PjLyGORn1y84TZb4jZX3HeZkkx7zc6-eNuQqyAZkYy0ZnQyvksjguIz5S9doi274PuOOcKpzegABuN7k3Q20LAOBcyOYz6x4dwos1ux3yPMALl8ye3A_0mN6DDosMwih3Pj2VM5GAFMywfAHMA-9t1lwkKeQQHfPlodolwx29stZ4hTsNFDA&amp;__tn__=-R","Source")</f>
        <v>Source</v>
      </c>
      <c r="J159" s="28"/>
      <c r="K159" s="32"/>
      <c r="L159" s="69">
        <v>15.0</v>
      </c>
      <c r="M159" s="69">
        <v>1.0</v>
      </c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30.0" customHeight="1">
      <c r="A160" s="36" t="s">
        <v>297</v>
      </c>
      <c r="B160" s="69">
        <v>15.0</v>
      </c>
      <c r="C160" s="40">
        <f t="shared" si="1"/>
        <v>0</v>
      </c>
      <c r="D160" s="69">
        <v>0.0</v>
      </c>
      <c r="E160" s="45">
        <f t="shared" si="2"/>
        <v>0</v>
      </c>
      <c r="F160" s="41">
        <f t="shared" si="3"/>
        <v>0</v>
      </c>
      <c r="G160" s="72" t="s">
        <v>22</v>
      </c>
      <c r="H160" s="72">
        <v>0.0</v>
      </c>
      <c r="I160" s="51" t="str">
        <f>HYPERLINK("https://www.africanews.com/2020/03/26/eritrea-s-coronavirus-rules-chinese-italians-iranians-to-be-quarantined/","Source")</f>
        <v>Source</v>
      </c>
      <c r="J160" s="28"/>
      <c r="K160" s="32"/>
      <c r="L160" s="69">
        <v>15.0</v>
      </c>
      <c r="M160" s="69">
        <v>0.0</v>
      </c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30.0" customHeight="1">
      <c r="A161" s="36" t="s">
        <v>298</v>
      </c>
      <c r="B161" s="69">
        <v>15.0</v>
      </c>
      <c r="C161" s="40">
        <f t="shared" si="1"/>
        <v>0</v>
      </c>
      <c r="D161" s="69">
        <v>0.0</v>
      </c>
      <c r="E161" s="45">
        <f t="shared" si="2"/>
        <v>0</v>
      </c>
      <c r="F161" s="41">
        <f t="shared" si="3"/>
        <v>0</v>
      </c>
      <c r="G161" s="72" t="s">
        <v>22</v>
      </c>
      <c r="H161" s="72" t="s">
        <v>22</v>
      </c>
      <c r="I161" s="51" t="str">
        <f>HYPERLINK("https://www.guineaecuatorialpress.com/noticia.php?id=15207","Source")</f>
        <v>Source</v>
      </c>
      <c r="J161" s="28"/>
      <c r="K161" s="32"/>
      <c r="L161" s="69">
        <v>15.0</v>
      </c>
      <c r="M161" s="69">
        <v>0.0</v>
      </c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30.0" customHeight="1">
      <c r="A162" s="36" t="s">
        <v>299</v>
      </c>
      <c r="B162" s="69">
        <v>14.0</v>
      </c>
      <c r="C162" s="40">
        <f t="shared" si="1"/>
        <v>0</v>
      </c>
      <c r="D162" s="69">
        <v>0.0</v>
      </c>
      <c r="E162" s="45">
        <f t="shared" si="2"/>
        <v>0</v>
      </c>
      <c r="F162" s="41">
        <f t="shared" si="3"/>
        <v>0</v>
      </c>
      <c r="G162" s="72" t="s">
        <v>22</v>
      </c>
      <c r="H162" s="72">
        <v>2.0</v>
      </c>
      <c r="I162" s="51" t="str">
        <f>HYPERLINK("https://montsame.mn/en/read/220720","Source")</f>
        <v>Source</v>
      </c>
      <c r="J162" s="28"/>
      <c r="K162" s="32"/>
      <c r="L162" s="69">
        <v>14.0</v>
      </c>
      <c r="M162" s="69">
        <v>0.0</v>
      </c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30.0" customHeight="1">
      <c r="A163" s="36" t="s">
        <v>300</v>
      </c>
      <c r="B163" s="69">
        <v>13.0</v>
      </c>
      <c r="C163" s="40">
        <f t="shared" si="1"/>
        <v>0</v>
      </c>
      <c r="D163" s="69">
        <v>0.0</v>
      </c>
      <c r="E163" s="45">
        <f t="shared" si="2"/>
        <v>0</v>
      </c>
      <c r="F163" s="59">
        <f t="shared" si="3"/>
        <v>0</v>
      </c>
      <c r="G163" s="72" t="s">
        <v>22</v>
      </c>
      <c r="H163" s="72">
        <v>1.0</v>
      </c>
      <c r="I163" s="51" t="str">
        <f>HYPERLINK("https://pbs.twimg.com/media/EUgyzjeWAAA36dw.jpg","Source")</f>
        <v>Source</v>
      </c>
      <c r="J163" s="28"/>
      <c r="K163" s="32"/>
      <c r="L163" s="69">
        <v>13.0</v>
      </c>
      <c r="M163" s="69">
        <v>0.0</v>
      </c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30.0" customHeight="1">
      <c r="A164" s="36" t="s">
        <v>301</v>
      </c>
      <c r="B164" s="69">
        <v>13.0</v>
      </c>
      <c r="C164" s="40">
        <f t="shared" si="1"/>
        <v>0</v>
      </c>
      <c r="D164" s="69">
        <v>0.0</v>
      </c>
      <c r="E164" s="45">
        <f t="shared" si="2"/>
        <v>0</v>
      </c>
      <c r="F164" s="41">
        <f t="shared" si="3"/>
        <v>0</v>
      </c>
      <c r="G164" s="72">
        <v>0.0</v>
      </c>
      <c r="H164" s="72">
        <v>1.0</v>
      </c>
      <c r="I164" s="51" t="str">
        <f>HYPERLINK("https://www.stlucianewsonline.com/saint-lucia-records-four-new-cases-of-covid-19/","Source")</f>
        <v>Source</v>
      </c>
      <c r="J164" s="28"/>
      <c r="K164" s="32"/>
      <c r="L164" s="69">
        <v>13.0</v>
      </c>
      <c r="M164" s="69">
        <v>0.0</v>
      </c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30.0" customHeight="1">
      <c r="A165" s="36" t="s">
        <v>302</v>
      </c>
      <c r="B165" s="69">
        <v>11.0</v>
      </c>
      <c r="C165" s="40">
        <f t="shared" si="1"/>
        <v>0</v>
      </c>
      <c r="D165" s="69">
        <v>1.0</v>
      </c>
      <c r="E165" s="45">
        <f t="shared" si="2"/>
        <v>0</v>
      </c>
      <c r="F165" s="41">
        <f t="shared" si="3"/>
        <v>0.09090909091</v>
      </c>
      <c r="G165" s="72" t="s">
        <v>22</v>
      </c>
      <c r="H165" s="72">
        <v>3.0</v>
      </c>
      <c r="I165" s="51" t="str">
        <f>HYPERLINK("https://www.curacaochronicle.com/post/main/update-covid-19-145-tested-confirmed-cases-remain-at-11-3-are-now-safe/","Source")</f>
        <v>Source</v>
      </c>
      <c r="J165" s="28"/>
      <c r="K165" s="68" t="s">
        <v>34</v>
      </c>
      <c r="L165" s="69">
        <v>11.0</v>
      </c>
      <c r="M165" s="69">
        <v>1.0</v>
      </c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30.0" customHeight="1">
      <c r="A166" s="36" t="s">
        <v>303</v>
      </c>
      <c r="B166" s="69">
        <v>11.0</v>
      </c>
      <c r="C166" s="40">
        <f t="shared" si="1"/>
        <v>0</v>
      </c>
      <c r="D166" s="69">
        <v>0.0</v>
      </c>
      <c r="E166" s="45">
        <f t="shared" si="2"/>
        <v>0</v>
      </c>
      <c r="F166" s="59">
        <f t="shared" si="3"/>
        <v>0</v>
      </c>
      <c r="G166" s="72">
        <v>0.0</v>
      </c>
      <c r="H166" s="72">
        <v>0.0</v>
      </c>
      <c r="I166" s="51" t="str">
        <f>HYPERLINK("https://live.namibian.com.na/update-namibia-confirms-11-covid-19-infections/","Source")</f>
        <v>Source</v>
      </c>
      <c r="J166" s="28"/>
      <c r="K166" s="32"/>
      <c r="L166" s="69">
        <v>11.0</v>
      </c>
      <c r="M166" s="69">
        <v>0.0</v>
      </c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30.0" customHeight="1">
      <c r="A167" s="36" t="s">
        <v>304</v>
      </c>
      <c r="B167" s="69">
        <v>10.0</v>
      </c>
      <c r="C167" s="40">
        <f t="shared" si="1"/>
        <v>0</v>
      </c>
      <c r="D167" s="69">
        <v>0.0</v>
      </c>
      <c r="E167" s="45">
        <f t="shared" si="2"/>
        <v>0</v>
      </c>
      <c r="F167" s="59">
        <f t="shared" si="3"/>
        <v>0</v>
      </c>
      <c r="G167" s="72" t="s">
        <v>22</v>
      </c>
      <c r="H167" s="72">
        <v>2.0</v>
      </c>
      <c r="I167" s="51" t="str">
        <f>HYPERLINK("https://nun.gl/Emner/Borgere/Coronavirus_emne/Foelg_smittespredningen?sc_lang=da","Source")</f>
        <v>Source</v>
      </c>
      <c r="J167" s="28"/>
      <c r="K167" s="32"/>
      <c r="L167" s="69">
        <v>10.0</v>
      </c>
      <c r="M167" s="69">
        <v>0.0</v>
      </c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30.0" customHeight="1">
      <c r="A168" s="36" t="s">
        <v>305</v>
      </c>
      <c r="B168" s="69">
        <v>10.0</v>
      </c>
      <c r="C168" s="40">
        <f t="shared" si="1"/>
        <v>0</v>
      </c>
      <c r="D168" s="69">
        <v>0.0</v>
      </c>
      <c r="E168" s="45">
        <f t="shared" si="2"/>
        <v>0</v>
      </c>
      <c r="F168" s="59">
        <f t="shared" si="3"/>
        <v>0</v>
      </c>
      <c r="G168" s="72">
        <v>1.0</v>
      </c>
      <c r="H168" s="72">
        <v>0.0</v>
      </c>
      <c r="I168" s="51" t="str">
        <f>HYPERLINK("http://www.health.gov.sc/index.php/2020/03/28/new-case-of-covid-19-detected/","Source")</f>
        <v>Source</v>
      </c>
      <c r="J168" s="28"/>
      <c r="K168" s="32"/>
      <c r="L168" s="69">
        <v>10.0</v>
      </c>
      <c r="M168" s="69">
        <v>0.0</v>
      </c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30.0" customHeight="1">
      <c r="A169" s="36" t="s">
        <v>306</v>
      </c>
      <c r="B169" s="69">
        <v>10.0</v>
      </c>
      <c r="C169" s="40">
        <f t="shared" si="1"/>
        <v>0</v>
      </c>
      <c r="D169" s="69">
        <v>0.0</v>
      </c>
      <c r="E169" s="45">
        <f t="shared" si="2"/>
        <v>0</v>
      </c>
      <c r="F169" s="41">
        <f t="shared" si="3"/>
        <v>0</v>
      </c>
      <c r="G169" s="72" t="s">
        <v>22</v>
      </c>
      <c r="H169" s="72">
        <v>0.0</v>
      </c>
      <c r="I169" s="51" t="str">
        <f>HYPERLINK("https://www.aa.com.tr/en/africa/covid-19-infections-in-war-torn-libya-rise-to-10-/1787520","Source")</f>
        <v>Source</v>
      </c>
      <c r="J169" s="28"/>
      <c r="K169" s="32"/>
      <c r="L169" s="69">
        <v>10.0</v>
      </c>
      <c r="M169" s="69">
        <v>0.0</v>
      </c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30.0" customHeight="1">
      <c r="A170" s="36" t="s">
        <v>307</v>
      </c>
      <c r="B170" s="69">
        <v>10.0</v>
      </c>
      <c r="C170" s="40">
        <f t="shared" si="1"/>
        <v>0</v>
      </c>
      <c r="D170" s="69">
        <v>0.0</v>
      </c>
      <c r="E170" s="45">
        <f t="shared" si="2"/>
        <v>0</v>
      </c>
      <c r="F170" s="41">
        <f t="shared" si="3"/>
        <v>0</v>
      </c>
      <c r="G170" s="72" t="s">
        <v>22</v>
      </c>
      <c r="H170" s="72" t="s">
        <v>22</v>
      </c>
      <c r="I170" s="51" t="str">
        <f>HYPERLINK("https://covid-19.sr/","Source")</f>
        <v>Source</v>
      </c>
      <c r="J170" s="28"/>
      <c r="K170" s="32"/>
      <c r="L170" s="69">
        <v>10.0</v>
      </c>
      <c r="M170" s="69">
        <v>0.0</v>
      </c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30.0" customHeight="1">
      <c r="A171" s="36" t="s">
        <v>308</v>
      </c>
      <c r="B171" s="69">
        <v>10.0</v>
      </c>
      <c r="C171" s="40">
        <f t="shared" si="1"/>
        <v>1</v>
      </c>
      <c r="D171" s="69">
        <v>0.0</v>
      </c>
      <c r="E171" s="45">
        <f t="shared" si="2"/>
        <v>0</v>
      </c>
      <c r="F171" s="41">
        <f t="shared" si="3"/>
        <v>0</v>
      </c>
      <c r="G171" s="72">
        <v>1.0</v>
      </c>
      <c r="H171" s="72">
        <v>0.0</v>
      </c>
      <c r="I171" s="51" t="str">
        <f>HYPERLINK("https://covid19.gov.gd/","Source")</f>
        <v>Source</v>
      </c>
      <c r="J171" s="28"/>
      <c r="K171" s="32"/>
      <c r="L171" s="69">
        <v>9.0</v>
      </c>
      <c r="M171" s="69">
        <v>0.0</v>
      </c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30.0" customHeight="1">
      <c r="A172" s="36" t="s">
        <v>309</v>
      </c>
      <c r="B172" s="69">
        <v>9.0</v>
      </c>
      <c r="C172" s="40">
        <f t="shared" si="1"/>
        <v>0</v>
      </c>
      <c r="D172" s="69">
        <v>0.0</v>
      </c>
      <c r="E172" s="45">
        <f t="shared" si="2"/>
        <v>0</v>
      </c>
      <c r="F172" s="41">
        <f t="shared" si="3"/>
        <v>0</v>
      </c>
      <c r="G172" s="72">
        <v>0.0</v>
      </c>
      <c r="H172" s="72">
        <v>1.0</v>
      </c>
      <c r="I172" s="51" t="str">
        <f>HYPERLINK("https://twitter.com/EswatiniGovern1/status/1245032304554229760","Source")</f>
        <v>Source</v>
      </c>
      <c r="J172" s="28"/>
      <c r="K172" s="32"/>
      <c r="L172" s="69">
        <v>9.0</v>
      </c>
      <c r="M172" s="69">
        <v>0.0</v>
      </c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30.0" customHeight="1">
      <c r="A173" s="36" t="s">
        <v>310</v>
      </c>
      <c r="B173" s="69">
        <v>10.0</v>
      </c>
      <c r="C173" s="40">
        <f t="shared" si="1"/>
        <v>0</v>
      </c>
      <c r="D173" s="69">
        <v>0.0</v>
      </c>
      <c r="E173" s="45">
        <f t="shared" si="2"/>
        <v>0</v>
      </c>
      <c r="F173" s="41">
        <f t="shared" si="3"/>
        <v>0</v>
      </c>
      <c r="G173" s="72" t="s">
        <v>22</v>
      </c>
      <c r="H173" s="72" t="s">
        <v>22</v>
      </c>
      <c r="I173" s="51" t="str">
        <f>HYPERLINK("https://twitter.com/WHOWPRO/status/1245191579565875200","Source")</f>
        <v>Source</v>
      </c>
      <c r="J173" s="28"/>
      <c r="K173" s="32"/>
      <c r="L173" s="69">
        <v>10.0</v>
      </c>
      <c r="M173" s="69">
        <v>0.0</v>
      </c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30.0" customHeight="1">
      <c r="A174" s="36" t="s">
        <v>311</v>
      </c>
      <c r="B174" s="69">
        <v>9.0</v>
      </c>
      <c r="C174" s="40">
        <f t="shared" si="1"/>
        <v>1</v>
      </c>
      <c r="D174" s="69">
        <v>0.0</v>
      </c>
      <c r="E174" s="45">
        <f t="shared" si="2"/>
        <v>0</v>
      </c>
      <c r="F174" s="59">
        <f t="shared" si="3"/>
        <v>0</v>
      </c>
      <c r="G174" s="72" t="s">
        <v>22</v>
      </c>
      <c r="H174" s="72">
        <v>0.0</v>
      </c>
      <c r="I174" s="51" t="str">
        <f>HYPERLINK("http://french.china.org.cn/foreign/txt/2020-04/02/content_75888542.htm","Source")</f>
        <v>Source</v>
      </c>
      <c r="J174" s="28"/>
      <c r="K174" s="32"/>
      <c r="L174" s="69">
        <v>8.0</v>
      </c>
      <c r="M174" s="69">
        <v>0.0</v>
      </c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30.0" customHeight="1">
      <c r="A175" s="36" t="s">
        <v>312</v>
      </c>
      <c r="B175" s="69">
        <v>8.0</v>
      </c>
      <c r="C175" s="40">
        <f t="shared" si="1"/>
        <v>0</v>
      </c>
      <c r="D175" s="69">
        <v>1.0</v>
      </c>
      <c r="E175" s="45">
        <f t="shared" si="2"/>
        <v>0</v>
      </c>
      <c r="F175" s="59">
        <f t="shared" si="3"/>
        <v>0.125</v>
      </c>
      <c r="G175" s="72">
        <v>0.0</v>
      </c>
      <c r="H175" s="72">
        <v>0.0</v>
      </c>
      <c r="I175" s="51" t="str">
        <f>HYPERLINK("https://twitter.com/MoHCCZim/status/1245239810274603008","Source")</f>
        <v>Source</v>
      </c>
      <c r="J175" s="28"/>
      <c r="K175" s="32"/>
      <c r="L175" s="69">
        <v>8.0</v>
      </c>
      <c r="M175" s="69">
        <v>1.0</v>
      </c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30.0" customHeight="1">
      <c r="A176" s="36" t="s">
        <v>313</v>
      </c>
      <c r="B176" s="69">
        <v>8.0</v>
      </c>
      <c r="C176" s="40">
        <f t="shared" si="1"/>
        <v>0</v>
      </c>
      <c r="D176" s="69">
        <v>0.0</v>
      </c>
      <c r="E176" s="45">
        <f t="shared" si="2"/>
        <v>0</v>
      </c>
      <c r="F176" s="41">
        <f t="shared" si="3"/>
        <v>0</v>
      </c>
      <c r="G176" s="72" t="s">
        <v>22</v>
      </c>
      <c r="H176" s="72">
        <v>0.0</v>
      </c>
      <c r="I176" s="51" t="str">
        <f>HYPERLINK("https://pbs.twimg.com/media/EURl4NAWAAMe0Cd?format=jpg&amp;name=4096x4096","Source")</f>
        <v>Source</v>
      </c>
      <c r="J176" s="28"/>
      <c r="K176" s="32"/>
      <c r="L176" s="69">
        <v>8.0</v>
      </c>
      <c r="M176" s="69">
        <v>0.0</v>
      </c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30.0" customHeight="1">
      <c r="A177" s="36" t="s">
        <v>314</v>
      </c>
      <c r="B177" s="69">
        <v>8.0</v>
      </c>
      <c r="C177" s="40">
        <f t="shared" si="1"/>
        <v>0</v>
      </c>
      <c r="D177" s="69">
        <v>0.0</v>
      </c>
      <c r="E177" s="45">
        <f t="shared" si="2"/>
        <v>0</v>
      </c>
      <c r="F177" s="59">
        <f t="shared" si="3"/>
        <v>0</v>
      </c>
      <c r="G177" s="72" t="s">
        <v>22</v>
      </c>
      <c r="H177" s="72">
        <v>0.0</v>
      </c>
      <c r="I177" s="51" t="str">
        <f>HYPERLINK("https://www.thestkittsnevisobserver.com/the-new-emergency-powers-covid-19-regulations-2020/","Source")</f>
        <v>Source</v>
      </c>
      <c r="J177" s="28"/>
      <c r="K177" s="32"/>
      <c r="L177" s="69">
        <v>8.0</v>
      </c>
      <c r="M177" s="69">
        <v>0.0</v>
      </c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30.0" customHeight="1">
      <c r="A178" s="36" t="s">
        <v>315</v>
      </c>
      <c r="B178" s="69">
        <v>8.0</v>
      </c>
      <c r="C178" s="40">
        <f t="shared" si="1"/>
        <v>1</v>
      </c>
      <c r="D178" s="69">
        <v>2.0</v>
      </c>
      <c r="E178" s="45">
        <f t="shared" si="2"/>
        <v>0</v>
      </c>
      <c r="F178" s="41">
        <f t="shared" si="3"/>
        <v>0.25</v>
      </c>
      <c r="G178" s="72" t="s">
        <v>22</v>
      </c>
      <c r="H178" s="72" t="s">
        <v>22</v>
      </c>
      <c r="I178" s="51" t="str">
        <f>HYPERLINK("https://twitter.com/SkyNewsArabia_B/status/1245739508169048064","Source")</f>
        <v>Source</v>
      </c>
      <c r="J178" s="50"/>
      <c r="K178" s="32"/>
      <c r="L178" s="69">
        <v>7.0</v>
      </c>
      <c r="M178" s="69">
        <v>2.0</v>
      </c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30.0" customHeight="1">
      <c r="A179" s="36" t="s">
        <v>316</v>
      </c>
      <c r="B179" s="69">
        <v>7.0</v>
      </c>
      <c r="C179" s="40">
        <f t="shared" si="1"/>
        <v>0</v>
      </c>
      <c r="D179" s="69">
        <v>2.0</v>
      </c>
      <c r="E179" s="45">
        <f t="shared" si="2"/>
        <v>0</v>
      </c>
      <c r="F179" s="59">
        <f t="shared" si="3"/>
        <v>0.2857142857</v>
      </c>
      <c r="G179" s="72">
        <v>0.0</v>
      </c>
      <c r="H179" s="72">
        <v>0.0</v>
      </c>
      <c r="I179" s="51" t="str">
        <f>HYPERLINK("http://www.angop.ao/angola/en_us/noticias/saude/2020/3/14/COVID-Angola-without-new-cases-two-days,99065855-1730-4c25-b203-d5922082090c.html","Source")</f>
        <v>Source</v>
      </c>
      <c r="J179" s="28"/>
      <c r="K179" s="32"/>
      <c r="L179" s="69">
        <v>7.0</v>
      </c>
      <c r="M179" s="69">
        <v>2.0</v>
      </c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30.0" customHeight="1">
      <c r="A180" s="36" t="s">
        <v>317</v>
      </c>
      <c r="B180" s="69">
        <v>7.0</v>
      </c>
      <c r="C180" s="40">
        <f t="shared" si="1"/>
        <v>0</v>
      </c>
      <c r="D180" s="69">
        <v>0.0</v>
      </c>
      <c r="E180" s="45">
        <f t="shared" si="2"/>
        <v>0</v>
      </c>
      <c r="F180" s="59">
        <f t="shared" si="3"/>
        <v>0</v>
      </c>
      <c r="G180" s="72">
        <v>0.0</v>
      </c>
      <c r="H180" s="72">
        <v>0.0</v>
      </c>
      <c r="I180" s="51" t="str">
        <f>HYPERLINK("https://antiguaobserver.com/health-system-faces-being-overwhelmed-govt-warns/","Source")</f>
        <v>Source</v>
      </c>
      <c r="J180" s="28"/>
      <c r="K180" s="32"/>
      <c r="L180" s="69">
        <v>7.0</v>
      </c>
      <c r="M180" s="69">
        <v>0.0</v>
      </c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30.0" customHeight="1">
      <c r="A181" s="36" t="s">
        <v>318</v>
      </c>
      <c r="B181" s="69">
        <v>7.0</v>
      </c>
      <c r="C181" s="40">
        <f t="shared" si="1"/>
        <v>0</v>
      </c>
      <c r="D181" s="69">
        <v>0.0</v>
      </c>
      <c r="E181" s="45">
        <f t="shared" si="2"/>
        <v>0</v>
      </c>
      <c r="F181" s="59">
        <f t="shared" si="3"/>
        <v>0</v>
      </c>
      <c r="G181" s="72" t="s">
        <v>22</v>
      </c>
      <c r="H181" s="72" t="s">
        <v>22</v>
      </c>
      <c r="I181" s="51" t="str">
        <f>HYPERLINK("https://pbs.twimg.com/media/EUgyzjeWAAA36dw.jpg","Source")</f>
        <v>Source</v>
      </c>
      <c r="J181" s="28"/>
      <c r="K181" s="32"/>
      <c r="L181" s="69">
        <v>7.0</v>
      </c>
      <c r="M181" s="69">
        <v>0.0</v>
      </c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30.0" customHeight="1">
      <c r="A182" s="36" t="s">
        <v>319</v>
      </c>
      <c r="B182" s="69">
        <v>6.0</v>
      </c>
      <c r="C182" s="40">
        <v>0.0</v>
      </c>
      <c r="D182" s="69">
        <v>0.0</v>
      </c>
      <c r="E182" s="45">
        <f t="shared" si="2"/>
        <v>0</v>
      </c>
      <c r="F182" s="59">
        <f t="shared" si="3"/>
        <v>0</v>
      </c>
      <c r="G182" s="72" t="s">
        <v>22</v>
      </c>
      <c r="H182" s="72">
        <v>1.0</v>
      </c>
      <c r="I182" s="51" t="str">
        <f>HYPERLINK("https://www.journaldesaintbarth.com/actualites/sante/le-coronavirus-chez-nos-voisins-et-ailleurs-202003312049.html","Source")</f>
        <v>Source</v>
      </c>
      <c r="J182" s="28"/>
      <c r="K182" s="32"/>
      <c r="L182" s="69">
        <v>6.0</v>
      </c>
      <c r="M182" s="69">
        <v>0.0</v>
      </c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30.0" customHeight="1">
      <c r="A183" s="36" t="s">
        <v>320</v>
      </c>
      <c r="B183" s="69">
        <v>6.0</v>
      </c>
      <c r="C183" s="40">
        <f t="shared" ref="C183:C205" si="4">MINUS(B183,L183)</f>
        <v>0</v>
      </c>
      <c r="D183" s="69">
        <v>1.0</v>
      </c>
      <c r="E183" s="45">
        <f t="shared" si="2"/>
        <v>0</v>
      </c>
      <c r="F183" s="41">
        <f t="shared" si="3"/>
        <v>0.1666666667</v>
      </c>
      <c r="G183" s="72" t="s">
        <v>22</v>
      </c>
      <c r="H183" s="72" t="s">
        <v>22</v>
      </c>
      <c r="I183" s="51" t="str">
        <f>HYPERLINK("https://www.asemana.publ.cv/?Covid-19-Vao-aparecer-proximamente-mais-casos-importados-de-Cabo-Verde-noutros&amp;ak=1","Source")</f>
        <v>Source</v>
      </c>
      <c r="J183" s="28"/>
      <c r="K183" s="32"/>
      <c r="L183" s="69">
        <v>6.0</v>
      </c>
      <c r="M183" s="69">
        <v>1.0</v>
      </c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30.0" customHeight="1">
      <c r="A184" s="36" t="s">
        <v>321</v>
      </c>
      <c r="B184" s="69">
        <v>6.0</v>
      </c>
      <c r="C184" s="40">
        <f t="shared" si="4"/>
        <v>0</v>
      </c>
      <c r="D184" s="69">
        <v>1.0</v>
      </c>
      <c r="E184" s="45">
        <f t="shared" si="2"/>
        <v>0</v>
      </c>
      <c r="F184" s="59">
        <f t="shared" si="3"/>
        <v>0.1666666667</v>
      </c>
      <c r="G184" s="72">
        <v>0.0</v>
      </c>
      <c r="H184" s="72">
        <v>2.0</v>
      </c>
      <c r="I184" s="51" t="str">
        <f>HYPERLINK("http://www.sante.gov.mr/?p=3872","Source")</f>
        <v>Source</v>
      </c>
      <c r="J184" s="28"/>
      <c r="K184" s="32"/>
      <c r="L184" s="69">
        <v>6.0</v>
      </c>
      <c r="M184" s="69">
        <v>1.0</v>
      </c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30.0" customHeight="1">
      <c r="A185" s="36" t="s">
        <v>322</v>
      </c>
      <c r="B185" s="69">
        <v>6.0</v>
      </c>
      <c r="C185" s="40">
        <f t="shared" si="4"/>
        <v>0</v>
      </c>
      <c r="D185" s="69">
        <v>0.0</v>
      </c>
      <c r="E185" s="45">
        <f t="shared" si="2"/>
        <v>0</v>
      </c>
      <c r="F185" s="59">
        <f t="shared" si="3"/>
        <v>0</v>
      </c>
      <c r="G185" s="72" t="s">
        <v>22</v>
      </c>
      <c r="H185" s="72">
        <v>3.0</v>
      </c>
      <c r="I185" s="51" t="str">
        <f>HYPERLINK("https://pbs.twimg.com/media/EUgyzjeWAAA36dw.jpg","Source")</f>
        <v>Source</v>
      </c>
      <c r="J185" s="28"/>
      <c r="K185" s="32"/>
      <c r="L185" s="69">
        <v>6.0</v>
      </c>
      <c r="M185" s="69">
        <v>0.0</v>
      </c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30.0" customHeight="1">
      <c r="A186" s="36" t="s">
        <v>323</v>
      </c>
      <c r="B186" s="69">
        <v>6.0</v>
      </c>
      <c r="C186" s="40">
        <f t="shared" si="4"/>
        <v>3</v>
      </c>
      <c r="D186" s="69">
        <v>0.0</v>
      </c>
      <c r="E186" s="45">
        <f t="shared" si="2"/>
        <v>0</v>
      </c>
      <c r="F186" s="41">
        <f t="shared" si="3"/>
        <v>0</v>
      </c>
      <c r="G186" s="72" t="s">
        <v>22</v>
      </c>
      <c r="H186" s="72" t="s">
        <v>22</v>
      </c>
      <c r="I186" s="51" t="str">
        <f>HYPERLINK("https://frontpageafricaonline.com/opinion/commentary/spike-in-coronavirus-cases-underscores-liberia-challenges/","Source")</f>
        <v>Source</v>
      </c>
      <c r="J186" s="28"/>
      <c r="K186" s="32"/>
      <c r="L186" s="69">
        <v>3.0</v>
      </c>
      <c r="M186" s="69">
        <v>0.0</v>
      </c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27.75" customHeight="1">
      <c r="A187" s="36" t="s">
        <v>324</v>
      </c>
      <c r="B187" s="132">
        <v>6.0</v>
      </c>
      <c r="C187" s="133">
        <f t="shared" si="4"/>
        <v>0</v>
      </c>
      <c r="D187" s="134">
        <v>0.0</v>
      </c>
      <c r="E187" s="135">
        <f t="shared" si="2"/>
        <v>0</v>
      </c>
      <c r="F187" s="41">
        <f t="shared" si="3"/>
        <v>0</v>
      </c>
      <c r="G187" s="72" t="s">
        <v>22</v>
      </c>
      <c r="H187" s="72" t="s">
        <v>22</v>
      </c>
      <c r="I187" s="51" t="str">
        <f>HYPERLINK("https://www.ilmessaggero.it/vaticano/papa_francesco_santa_marta_vaticano_covid_19_coronavirus_contagio_positivi-5138763.html","Source")</f>
        <v>Source</v>
      </c>
      <c r="J187" s="28"/>
      <c r="K187" s="32"/>
      <c r="L187" s="132">
        <v>6.0</v>
      </c>
      <c r="M187" s="134">
        <v>0.0</v>
      </c>
      <c r="N187" s="29"/>
      <c r="O187" s="34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30.0" customHeight="1">
      <c r="A188" s="36" t="s">
        <v>325</v>
      </c>
      <c r="B188" s="69">
        <v>7.0</v>
      </c>
      <c r="C188" s="40">
        <f t="shared" si="4"/>
        <v>2</v>
      </c>
      <c r="D188" s="69">
        <v>0.0</v>
      </c>
      <c r="E188" s="45">
        <f t="shared" si="2"/>
        <v>0</v>
      </c>
      <c r="F188" s="59">
        <f t="shared" si="3"/>
        <v>0</v>
      </c>
      <c r="G188" s="72" t="s">
        <v>22</v>
      </c>
      <c r="H188" s="72">
        <v>0.0</v>
      </c>
      <c r="I188" s="51" t="str">
        <f>HYPERLINK("https://twitter.com/Nadokoulu/status/1242676427218026498","Source")</f>
        <v>Source</v>
      </c>
      <c r="J188" s="28"/>
      <c r="K188" s="32"/>
      <c r="L188" s="69">
        <v>5.0</v>
      </c>
      <c r="M188" s="69">
        <v>0.0</v>
      </c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30.0" customHeight="1">
      <c r="A189" s="36" t="s">
        <v>326</v>
      </c>
      <c r="B189" s="69">
        <v>5.0</v>
      </c>
      <c r="C189" s="40">
        <f t="shared" si="4"/>
        <v>0</v>
      </c>
      <c r="D189" s="69">
        <v>0.0</v>
      </c>
      <c r="E189" s="45">
        <f t="shared" si="2"/>
        <v>0</v>
      </c>
      <c r="F189" s="59">
        <f t="shared" si="3"/>
        <v>0</v>
      </c>
      <c r="G189" s="72" t="s">
        <v>22</v>
      </c>
      <c r="H189" s="72" t="s">
        <v>22</v>
      </c>
      <c r="I189" s="51" t="str">
        <f>HYPERLINK("http://www.gov.ms/statement-by-minister-of-health-social-services-hon-charles-t-kirnon/","Source")</f>
        <v>Source</v>
      </c>
      <c r="J189" s="28"/>
      <c r="K189" s="32"/>
      <c r="L189" s="69">
        <v>5.0</v>
      </c>
      <c r="M189" s="69">
        <v>0.0</v>
      </c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30.0" customHeight="1">
      <c r="A190" s="36" t="s">
        <v>327</v>
      </c>
      <c r="B190" s="69">
        <v>5.0</v>
      </c>
      <c r="C190" s="40">
        <f t="shared" si="4"/>
        <v>0</v>
      </c>
      <c r="D190" s="69">
        <v>0.0</v>
      </c>
      <c r="E190" s="45">
        <f t="shared" si="2"/>
        <v>0</v>
      </c>
      <c r="F190" s="59">
        <f t="shared" si="3"/>
        <v>0</v>
      </c>
      <c r="G190" s="72" t="s">
        <v>22</v>
      </c>
      <c r="H190" s="72">
        <v>1.0</v>
      </c>
      <c r="I190" s="51" t="str">
        <f>HYPERLINK("https://twitter.com/kathmandupost/status/1243851483063259136","Source")</f>
        <v>Source</v>
      </c>
      <c r="J190" s="28"/>
      <c r="K190" s="32"/>
      <c r="L190" s="69">
        <v>5.0</v>
      </c>
      <c r="M190" s="69">
        <v>0.0</v>
      </c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30.0" customHeight="1">
      <c r="A191" s="36" t="s">
        <v>328</v>
      </c>
      <c r="B191" s="69">
        <v>5.0</v>
      </c>
      <c r="C191" s="40">
        <f t="shared" si="4"/>
        <v>0</v>
      </c>
      <c r="D191" s="69">
        <v>0.0</v>
      </c>
      <c r="E191" s="45">
        <f t="shared" si="2"/>
        <v>0</v>
      </c>
      <c r="F191" s="59">
        <f t="shared" si="3"/>
        <v>0</v>
      </c>
      <c r="G191" s="72" t="s">
        <v>22</v>
      </c>
      <c r="H191" s="72">
        <v>0.0</v>
      </c>
      <c r="I191" s="51" t="str">
        <f>HYPERLINK("https://gov.tc/moh/coronavirus/covid-dashboard","Source")</f>
        <v>Source</v>
      </c>
      <c r="J191" s="28"/>
      <c r="K191" s="68" t="s">
        <v>34</v>
      </c>
      <c r="L191" s="69">
        <v>5.0</v>
      </c>
      <c r="M191" s="69">
        <v>0.0</v>
      </c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30.0" customHeight="1">
      <c r="A192" s="36" t="s">
        <v>329</v>
      </c>
      <c r="B192" s="69">
        <v>5.0</v>
      </c>
      <c r="C192" s="40">
        <f t="shared" si="4"/>
        <v>0</v>
      </c>
      <c r="D192" s="69">
        <v>0.0</v>
      </c>
      <c r="E192" s="45">
        <f t="shared" si="2"/>
        <v>0</v>
      </c>
      <c r="F192" s="41">
        <f t="shared" si="3"/>
        <v>0</v>
      </c>
      <c r="G192" s="72" t="s">
        <v>22</v>
      </c>
      <c r="H192" s="72" t="s">
        <v>22</v>
      </c>
      <c r="I192" s="51" t="str">
        <f>HYPERLINK("https://app.powerbi.com/view?r=eyJrIjoiN2ExNWI3ZGQtZDk3My00YzE2LWFjYmQtNGMwZjk0OWQ1MjFhIiwidCI6ImY2MTBjMGI3LWJkMjQtNGIzOS04MTBiLTNkYzI4MGFmYjU5MCIsImMiOjh9","Source")</f>
        <v>Source</v>
      </c>
      <c r="J192" s="28"/>
      <c r="K192" s="32"/>
      <c r="L192" s="69">
        <v>5.0</v>
      </c>
      <c r="M192" s="69">
        <v>0.0</v>
      </c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30.0" customHeight="1">
      <c r="A193" s="36" t="s">
        <v>209</v>
      </c>
      <c r="B193" s="69">
        <v>5.0</v>
      </c>
      <c r="C193" s="40">
        <f t="shared" si="4"/>
        <v>0</v>
      </c>
      <c r="D193" s="69">
        <v>1.0</v>
      </c>
      <c r="E193" s="45">
        <f t="shared" si="2"/>
        <v>0</v>
      </c>
      <c r="F193" s="41">
        <f t="shared" si="3"/>
        <v>0.2</v>
      </c>
      <c r="G193" s="72">
        <v>0.0</v>
      </c>
      <c r="H193" s="72">
        <v>1.0</v>
      </c>
      <c r="I193" s="51" t="str">
        <f>HYPERLINK("https://www.laprensa.com.ni/2020/03/31/nacionales/2657516-nicaragua-reporta-quinto-caso-positivo-de-covid-19","Source")</f>
        <v>Source</v>
      </c>
      <c r="J193" s="28"/>
      <c r="K193" s="32"/>
      <c r="L193" s="69">
        <v>5.0</v>
      </c>
      <c r="M193" s="69">
        <v>1.0</v>
      </c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30.0" customHeight="1">
      <c r="A194" s="36" t="s">
        <v>330</v>
      </c>
      <c r="B194" s="69">
        <v>4.0</v>
      </c>
      <c r="C194" s="40">
        <f t="shared" si="4"/>
        <v>0</v>
      </c>
      <c r="D194" s="69">
        <v>1.0</v>
      </c>
      <c r="E194" s="45">
        <f t="shared" si="2"/>
        <v>0</v>
      </c>
      <c r="F194" s="41">
        <f t="shared" si="3"/>
        <v>0.25</v>
      </c>
      <c r="G194" s="72" t="s">
        <v>22</v>
      </c>
      <c r="H194" s="72" t="s">
        <v>22</v>
      </c>
      <c r="I194" s="51" t="str">
        <f>HYPERLINK("https://twitter.com/MohGambia/status/1243253543001350145","Source")</f>
        <v>Source</v>
      </c>
      <c r="J194" s="28"/>
      <c r="K194" s="68" t="s">
        <v>34</v>
      </c>
      <c r="L194" s="69">
        <v>4.0</v>
      </c>
      <c r="M194" s="69">
        <v>1.0</v>
      </c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27.75" customHeight="1">
      <c r="A195" s="36" t="s">
        <v>331</v>
      </c>
      <c r="B195" s="69">
        <v>4.0</v>
      </c>
      <c r="C195" s="40">
        <f t="shared" si="4"/>
        <v>4</v>
      </c>
      <c r="D195" s="69">
        <v>1.0</v>
      </c>
      <c r="E195" s="45">
        <f t="shared" si="2"/>
        <v>1</v>
      </c>
      <c r="F195" s="41">
        <f t="shared" si="3"/>
        <v>0.25</v>
      </c>
      <c r="G195" s="72" t="s">
        <v>22</v>
      </c>
      <c r="H195" s="72" t="s">
        <v>22</v>
      </c>
      <c r="I195" s="51" t="str">
        <f>HYPERLINK("https://www.facebook.com/OfficialSlumberTsogwane/photos/a.402477790274613/815064412349280/?type=3&amp;theater","Source")</f>
        <v>Source</v>
      </c>
      <c r="J195" s="50"/>
      <c r="K195" s="32"/>
      <c r="L195" s="69"/>
      <c r="M195" s="6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27.75" customHeight="1">
      <c r="A196" s="36" t="s">
        <v>332</v>
      </c>
      <c r="B196" s="69">
        <v>4.0</v>
      </c>
      <c r="C196" s="133">
        <f t="shared" si="4"/>
        <v>0</v>
      </c>
      <c r="D196" s="69">
        <v>0.0</v>
      </c>
      <c r="E196" s="45">
        <f t="shared" si="2"/>
        <v>0</v>
      </c>
      <c r="F196" s="59">
        <f t="shared" si="3"/>
        <v>0</v>
      </c>
      <c r="G196" s="72" t="s">
        <v>22</v>
      </c>
      <c r="H196" s="72" t="s">
        <v>22</v>
      </c>
      <c r="I196" s="51" t="str">
        <f>HYPERLINK("http://www.moh.gov.bt/national-situational-update-on-covid-19-2/","Source")</f>
        <v>Source</v>
      </c>
      <c r="J196" s="28"/>
      <c r="K196" s="32"/>
      <c r="L196" s="69">
        <v>4.0</v>
      </c>
      <c r="M196" s="69">
        <v>0.0</v>
      </c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30.0" customHeight="1">
      <c r="A197" s="36" t="s">
        <v>333</v>
      </c>
      <c r="B197" s="69">
        <v>3.0</v>
      </c>
      <c r="C197" s="40">
        <f t="shared" si="4"/>
        <v>0</v>
      </c>
      <c r="D197" s="69">
        <v>0.0</v>
      </c>
      <c r="E197" s="45">
        <f t="shared" si="2"/>
        <v>0</v>
      </c>
      <c r="F197" s="41">
        <f t="shared" si="3"/>
        <v>0</v>
      </c>
      <c r="G197" s="72" t="s">
        <v>22</v>
      </c>
      <c r="H197" s="72">
        <v>0.0</v>
      </c>
      <c r="I197" s="51" t="str">
        <f>HYPERLINK("https://www.breakingbelizenews.com/2020/03/29/minister-of-health-confirms-third-covid-19-case-is-in-belize-city-and-imported-from-new-york/","Source")</f>
        <v>Source</v>
      </c>
      <c r="J197" s="28"/>
      <c r="K197" s="32"/>
      <c r="L197" s="69">
        <v>3.0</v>
      </c>
      <c r="M197" s="69">
        <v>0.0</v>
      </c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30.0" customHeight="1">
      <c r="A198" s="36" t="s">
        <v>334</v>
      </c>
      <c r="B198" s="69">
        <v>3.0</v>
      </c>
      <c r="C198" s="40">
        <f t="shared" si="4"/>
        <v>0</v>
      </c>
      <c r="D198" s="69">
        <v>0.0</v>
      </c>
      <c r="E198" s="45">
        <f t="shared" si="2"/>
        <v>0</v>
      </c>
      <c r="F198" s="41">
        <f t="shared" si="3"/>
        <v>0</v>
      </c>
      <c r="G198" s="72" t="s">
        <v>22</v>
      </c>
      <c r="H198" s="72">
        <v>0.0</v>
      </c>
      <c r="I198" s="51" t="str">
        <f>HYPERLINK("https://bvi.gov.vg/media-centre/ministerio-de-salud-y-desarrollo-social-honorable-carvin-malone-enfermedad-del","Source")</f>
        <v>Source</v>
      </c>
      <c r="J198" s="28"/>
      <c r="K198" s="32"/>
      <c r="L198" s="69">
        <v>3.0</v>
      </c>
      <c r="M198" s="69">
        <v>0.0</v>
      </c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30.0" customHeight="1">
      <c r="A199" s="36" t="s">
        <v>335</v>
      </c>
      <c r="B199" s="69">
        <v>2.0</v>
      </c>
      <c r="C199" s="40">
        <f t="shared" si="4"/>
        <v>0</v>
      </c>
      <c r="D199" s="69">
        <v>0.0</v>
      </c>
      <c r="E199" s="45">
        <f t="shared" si="2"/>
        <v>0</v>
      </c>
      <c r="F199" s="41">
        <f t="shared" si="3"/>
        <v>0</v>
      </c>
      <c r="G199" s="72" t="s">
        <v>22</v>
      </c>
      <c r="H199" s="72" t="s">
        <v>22</v>
      </c>
      <c r="I199" s="51" t="str">
        <f>HYPERLINK("https://www.aa.com.tr/en/africa/burundi-confirms-first-2-covid-19-cases/1787083","Source")</f>
        <v>Source</v>
      </c>
      <c r="J199" s="28"/>
      <c r="K199" s="32"/>
      <c r="L199" s="69">
        <v>2.0</v>
      </c>
      <c r="M199" s="69">
        <v>0.0</v>
      </c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30.0" customHeight="1">
      <c r="A200" s="36" t="s">
        <v>336</v>
      </c>
      <c r="B200" s="69">
        <v>2.0</v>
      </c>
      <c r="C200" s="40">
        <f t="shared" si="4"/>
        <v>0</v>
      </c>
      <c r="D200" s="69">
        <v>0.0</v>
      </c>
      <c r="E200" s="45">
        <f t="shared" si="2"/>
        <v>0</v>
      </c>
      <c r="F200" s="41">
        <f t="shared" si="3"/>
        <v>0</v>
      </c>
      <c r="G200" s="72" t="s">
        <v>22</v>
      </c>
      <c r="H200" s="72" t="s">
        <v>22</v>
      </c>
      <c r="I200" s="51" t="str">
        <f>HYPERLINK("https://beatcovid19.ai/","Source")</f>
        <v>Source</v>
      </c>
      <c r="J200" s="28"/>
      <c r="K200" s="32"/>
      <c r="L200" s="69">
        <v>2.0</v>
      </c>
      <c r="M200" s="69">
        <v>0.0</v>
      </c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30.0" customHeight="1">
      <c r="A201" s="36" t="s">
        <v>337</v>
      </c>
      <c r="B201" s="69">
        <v>2.0</v>
      </c>
      <c r="C201" s="40">
        <f t="shared" si="4"/>
        <v>1</v>
      </c>
      <c r="D201" s="69">
        <v>0.0</v>
      </c>
      <c r="E201" s="45">
        <f t="shared" si="2"/>
        <v>0</v>
      </c>
      <c r="F201" s="41">
        <f t="shared" si="3"/>
        <v>0</v>
      </c>
      <c r="G201" s="72" t="s">
        <v>22</v>
      </c>
      <c r="H201" s="72" t="s">
        <v>22</v>
      </c>
      <c r="I201" s="51" t="str">
        <f>HYPERLINK("http://french.china.org.cn/foreign/txt/2020-04/02/content_75888542.htm","Source")</f>
        <v>Source</v>
      </c>
      <c r="J201" s="28"/>
      <c r="K201" s="32"/>
      <c r="L201" s="69">
        <v>1.0</v>
      </c>
      <c r="M201" s="69">
        <v>0.0</v>
      </c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30.0" customHeight="1">
      <c r="A202" s="36" t="s">
        <v>338</v>
      </c>
      <c r="B202" s="69">
        <v>2.0</v>
      </c>
      <c r="C202" s="40">
        <f t="shared" si="4"/>
        <v>1</v>
      </c>
      <c r="D202" s="69">
        <v>0.0</v>
      </c>
      <c r="E202" s="45">
        <f t="shared" si="2"/>
        <v>0</v>
      </c>
      <c r="F202" s="41">
        <f t="shared" si="3"/>
        <v>0</v>
      </c>
      <c r="G202" s="72" t="s">
        <v>22</v>
      </c>
      <c r="H202" s="72">
        <v>1.0</v>
      </c>
      <c r="I202" s="51" t="str">
        <f>HYPERLINK("http://health.gov.vc/health/images/PDF/stories/Medical-Clearance.pdf","Source")</f>
        <v>Source</v>
      </c>
      <c r="J202" s="50"/>
      <c r="K202" s="32"/>
      <c r="L202" s="69">
        <v>1.0</v>
      </c>
      <c r="M202" s="69">
        <v>0.0</v>
      </c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30.0" customHeight="1">
      <c r="A203" s="36" t="s">
        <v>339</v>
      </c>
      <c r="B203" s="69">
        <v>1.0</v>
      </c>
      <c r="C203" s="40">
        <f t="shared" si="4"/>
        <v>0</v>
      </c>
      <c r="D203" s="69">
        <v>0.0</v>
      </c>
      <c r="E203" s="45">
        <f t="shared" si="2"/>
        <v>0</v>
      </c>
      <c r="F203" s="59">
        <f t="shared" si="3"/>
        <v>0</v>
      </c>
      <c r="G203" s="72" t="s">
        <v>22</v>
      </c>
      <c r="H203" s="72" t="s">
        <v>22</v>
      </c>
      <c r="I203" s="51" t="str">
        <f>HYPERLINK("https://asiapacificreport.nz/2020/03/22/timor-leste-health-ministry-urges-calm-over-first-positive-covid-19-case/","Source")</f>
        <v>Source</v>
      </c>
      <c r="J203" s="136"/>
      <c r="K203" s="32"/>
      <c r="L203" s="69">
        <v>1.0</v>
      </c>
      <c r="M203" s="69">
        <v>0.0</v>
      </c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30.0" customHeight="1">
      <c r="A204" s="36" t="s">
        <v>340</v>
      </c>
      <c r="B204" s="69">
        <v>1.0</v>
      </c>
      <c r="C204" s="40">
        <f t="shared" si="4"/>
        <v>0</v>
      </c>
      <c r="D204" s="69">
        <v>0.0</v>
      </c>
      <c r="E204" s="45">
        <f t="shared" si="2"/>
        <v>0</v>
      </c>
      <c r="F204" s="59">
        <f t="shared" si="3"/>
        <v>0</v>
      </c>
      <c r="G204" s="72" t="s">
        <v>22</v>
      </c>
      <c r="H204" s="72">
        <v>0.0</v>
      </c>
      <c r="I204" s="51" t="str">
        <f>HYPERLINK("https://postcourier.com.pg/passenger-who-came-in-contact-with-covid-19-patient-is-doing-well/","Source")</f>
        <v>Source</v>
      </c>
      <c r="J204" s="136"/>
      <c r="K204" s="32"/>
      <c r="L204" s="69">
        <v>1.0</v>
      </c>
      <c r="M204" s="69">
        <v>0.0</v>
      </c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2.75" customHeight="1">
      <c r="A205" s="137" t="s">
        <v>165</v>
      </c>
      <c r="B205" s="138"/>
      <c r="C205" s="139">
        <f t="shared" si="4"/>
        <v>0</v>
      </c>
      <c r="D205" s="138"/>
      <c r="E205" s="140">
        <f t="shared" si="2"/>
        <v>0</v>
      </c>
      <c r="F205" s="141"/>
      <c r="G205" s="141"/>
      <c r="H205" s="141"/>
      <c r="I205" s="142"/>
      <c r="J205" s="143"/>
      <c r="K205" s="144"/>
      <c r="L205" s="138"/>
      <c r="M205" s="138"/>
      <c r="N205" s="49"/>
      <c r="O205" s="138">
        <v>5802.0</v>
      </c>
      <c r="P205" s="138">
        <v>120.0</v>
      </c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30.0" customHeight="1">
      <c r="A206" s="145" t="s">
        <v>60</v>
      </c>
      <c r="B206" s="146">
        <f>sum(B7:B205, O205)</f>
        <v>1021515</v>
      </c>
      <c r="C206" s="147">
        <f>SUM(C7:C205)</f>
        <v>79616</v>
      </c>
      <c r="D206" s="148">
        <f>sum(D7:D205, P205)</f>
        <v>53271</v>
      </c>
      <c r="E206" s="149">
        <f>SUM(E7:E205)</f>
        <v>6047</v>
      </c>
      <c r="F206" s="150">
        <f>DIVIDE(D206, B206)</f>
        <v>0.05214901396</v>
      </c>
      <c r="G206" s="151">
        <f t="shared" ref="G206:H206" si="5">sum(G7:G204)</f>
        <v>34075</v>
      </c>
      <c r="H206" s="152">
        <f t="shared" si="5"/>
        <v>209221</v>
      </c>
      <c r="I206" s="153"/>
      <c r="J206" s="29"/>
      <c r="K206" s="32"/>
      <c r="L206" s="146">
        <f>sum(L7:L205, Y205)</f>
        <v>936097</v>
      </c>
      <c r="M206" s="148">
        <f>sum(M7:M205, Y205)</f>
        <v>47104</v>
      </c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30.0" customHeight="1">
      <c r="A207" s="154"/>
      <c r="B207" s="155" t="s">
        <v>7</v>
      </c>
      <c r="C207" s="156" t="s">
        <v>8</v>
      </c>
      <c r="D207" s="157" t="s">
        <v>9</v>
      </c>
      <c r="E207" s="158" t="s">
        <v>11</v>
      </c>
      <c r="F207" s="158" t="s">
        <v>173</v>
      </c>
      <c r="G207" s="159" t="s">
        <v>13</v>
      </c>
      <c r="H207" s="160" t="s">
        <v>14</v>
      </c>
      <c r="I207" s="155"/>
      <c r="J207" s="94"/>
      <c r="K207" s="161"/>
      <c r="L207" s="155" t="s">
        <v>7</v>
      </c>
      <c r="M207" s="157" t="s">
        <v>9</v>
      </c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</cols>
  <sheetData>
    <row r="1" ht="27.75" customHeight="1">
      <c r="A1" s="1" t="s">
        <v>0</v>
      </c>
      <c r="I1" s="1"/>
      <c r="J1" s="6"/>
      <c r="K1" s="6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H2" s="8"/>
      <c r="I2" s="9"/>
      <c r="J2" s="6"/>
      <c r="K2" s="6"/>
      <c r="L2" s="3" t="s">
        <v>2</v>
      </c>
      <c r="M2" s="3"/>
    </row>
    <row r="3">
      <c r="A3" s="11">
        <f>SUM(B66, B68)</f>
        <v>244771</v>
      </c>
      <c r="B3" s="11">
        <f>SUM(D66, D68)</f>
        <v>6072</v>
      </c>
      <c r="C3" s="13">
        <f>SUM(H66, H68)</f>
        <v>9359</v>
      </c>
      <c r="D3" s="11"/>
      <c r="E3" s="15">
        <f>MINUS(A3,B3 + C3)</f>
        <v>229340</v>
      </c>
      <c r="F3" s="15"/>
      <c r="G3" s="5"/>
      <c r="H3" s="8"/>
      <c r="I3" s="9"/>
      <c r="J3" s="6"/>
      <c r="K3" s="6"/>
      <c r="L3" s="11">
        <f>SUM(N66, N68)</f>
        <v>0</v>
      </c>
      <c r="M3" s="11"/>
    </row>
    <row r="4">
      <c r="A4" s="16"/>
      <c r="B4" s="9"/>
      <c r="C4" s="9"/>
      <c r="D4" s="9"/>
      <c r="E4" s="9"/>
      <c r="F4" s="8"/>
      <c r="G4" s="8"/>
      <c r="H4" s="8"/>
      <c r="I4" s="9"/>
      <c r="J4" s="6"/>
      <c r="K4" s="6"/>
      <c r="L4" s="9"/>
      <c r="M4" s="9"/>
    </row>
    <row r="5" ht="30.0" customHeight="1">
      <c r="A5" s="18" t="s">
        <v>5</v>
      </c>
      <c r="B5" s="19" t="s">
        <v>7</v>
      </c>
      <c r="C5" s="22" t="s">
        <v>8</v>
      </c>
      <c r="D5" s="19" t="s">
        <v>9</v>
      </c>
      <c r="E5" s="24" t="s">
        <v>11</v>
      </c>
      <c r="F5" s="24" t="s">
        <v>12</v>
      </c>
      <c r="G5" s="26" t="s">
        <v>13</v>
      </c>
      <c r="H5" s="26" t="s">
        <v>14</v>
      </c>
      <c r="I5" s="19" t="s">
        <v>15</v>
      </c>
      <c r="J5" s="28"/>
      <c r="K5" s="28"/>
      <c r="L5" s="19" t="s">
        <v>7</v>
      </c>
      <c r="M5" s="19" t="s">
        <v>9</v>
      </c>
    </row>
    <row r="6" ht="30.0" customHeight="1">
      <c r="A6" s="30" t="s">
        <v>16</v>
      </c>
      <c r="B6" s="35">
        <v>92381.0</v>
      </c>
      <c r="C6" s="37">
        <f t="shared" ref="C6:C64" si="1">MINUS(B6,L6)</f>
        <v>8669</v>
      </c>
      <c r="D6" s="35">
        <v>2538.0</v>
      </c>
      <c r="E6" s="39">
        <f t="shared" ref="E6:E64" si="2">MINUS(D6,M6)</f>
        <v>362</v>
      </c>
      <c r="F6" s="41">
        <f t="shared" ref="F6:F63" si="3">DIVIDE(D6, B6)</f>
        <v>0.02747318171</v>
      </c>
      <c r="G6" s="43">
        <v>3396.0</v>
      </c>
      <c r="H6" s="43">
        <v>7434.0</v>
      </c>
      <c r="I6" s="47" t="str">
        <f>HYPERLINK("https://www1.nyc.gov/site/doh/covid/covid-19-data.page","Source")</f>
        <v>Source</v>
      </c>
      <c r="J6" s="50"/>
      <c r="K6" s="28"/>
      <c r="L6" s="35">
        <v>83712.0</v>
      </c>
      <c r="M6" s="35">
        <v>2176.0</v>
      </c>
    </row>
    <row r="7" ht="27.75" customHeight="1">
      <c r="A7" s="52" t="s">
        <v>20</v>
      </c>
      <c r="B7" s="54">
        <v>25590.0</v>
      </c>
      <c r="C7" s="37">
        <f t="shared" si="1"/>
        <v>3335</v>
      </c>
      <c r="D7" s="56">
        <v>537.0</v>
      </c>
      <c r="E7" s="58">
        <f t="shared" si="2"/>
        <v>182</v>
      </c>
      <c r="F7" s="59">
        <f t="shared" si="3"/>
        <v>0.02098475967</v>
      </c>
      <c r="G7" s="61" t="s">
        <v>22</v>
      </c>
      <c r="H7" s="61" t="s">
        <v>22</v>
      </c>
      <c r="I7" s="63" t="str">
        <f>HYPERLINK("https://twitter.com/GovMurphy/status/1245758951188312064","Source")</f>
        <v>Source</v>
      </c>
      <c r="J7" s="28"/>
      <c r="K7" s="28"/>
      <c r="L7" s="54">
        <v>22255.0</v>
      </c>
      <c r="M7" s="56">
        <v>355.0</v>
      </c>
    </row>
    <row r="8" ht="30.0" customHeight="1">
      <c r="A8" s="31" t="s">
        <v>25</v>
      </c>
      <c r="B8" s="33">
        <v>11175.0</v>
      </c>
      <c r="C8" s="37">
        <f t="shared" si="1"/>
        <v>1418</v>
      </c>
      <c r="D8" s="55">
        <v>246.0</v>
      </c>
      <c r="E8" s="58">
        <f t="shared" si="2"/>
        <v>33</v>
      </c>
      <c r="F8" s="41">
        <f t="shared" si="3"/>
        <v>0.02201342282</v>
      </c>
      <c r="G8" s="61">
        <v>597.0</v>
      </c>
      <c r="H8" s="44">
        <v>1.0</v>
      </c>
      <c r="I8" s="46" t="str">
        <f>HYPERLINK("https://www.latimes.com/projects/california-coronavirus-cases-tracking-outbreak/","Source")</f>
        <v>Source</v>
      </c>
      <c r="J8" s="28"/>
      <c r="K8" s="68" t="s">
        <v>27</v>
      </c>
      <c r="L8" s="33">
        <v>9757.0</v>
      </c>
      <c r="M8" s="55">
        <v>213.0</v>
      </c>
    </row>
    <row r="9" ht="27.75" customHeight="1">
      <c r="A9" s="52" t="s">
        <v>28</v>
      </c>
      <c r="B9" s="54">
        <v>10791.0</v>
      </c>
      <c r="C9" s="37">
        <f t="shared" si="1"/>
        <v>1457</v>
      </c>
      <c r="D9" s="56">
        <v>417.0</v>
      </c>
      <c r="E9" s="58">
        <f t="shared" si="2"/>
        <v>80</v>
      </c>
      <c r="F9" s="41">
        <f t="shared" si="3"/>
        <v>0.03864331387</v>
      </c>
      <c r="G9" s="61" t="s">
        <v>22</v>
      </c>
      <c r="H9" s="61" t="s">
        <v>22</v>
      </c>
      <c r="I9" s="63" t="str">
        <f>HYPERLINK("https://www.michigan.gov/coronavirus/0,9753,7-406-98163_98173---,00.html","Source")</f>
        <v>Source</v>
      </c>
      <c r="J9" s="50"/>
      <c r="K9" s="28"/>
      <c r="L9" s="54">
        <v>9334.0</v>
      </c>
      <c r="M9" s="56">
        <v>337.0</v>
      </c>
    </row>
    <row r="10" ht="27.75" customHeight="1">
      <c r="A10" s="52" t="s">
        <v>31</v>
      </c>
      <c r="B10" s="54">
        <v>9150.0</v>
      </c>
      <c r="C10" s="37">
        <f t="shared" si="1"/>
        <v>2726</v>
      </c>
      <c r="D10" s="56">
        <v>310.0</v>
      </c>
      <c r="E10" s="58">
        <f t="shared" si="2"/>
        <v>37</v>
      </c>
      <c r="F10" s="41">
        <f t="shared" si="3"/>
        <v>0.03387978142</v>
      </c>
      <c r="G10" s="61">
        <v>490.0</v>
      </c>
      <c r="H10" s="61" t="s">
        <v>22</v>
      </c>
      <c r="I10" s="63" t="str">
        <f>HYPERLINK("http://ldh.la.gov/coronavirus/","Source")</f>
        <v>Source</v>
      </c>
      <c r="J10" s="50"/>
      <c r="K10" s="28"/>
      <c r="L10" s="54">
        <v>6424.0</v>
      </c>
      <c r="M10" s="56">
        <v>273.0</v>
      </c>
    </row>
    <row r="11" ht="30.0" customHeight="1">
      <c r="A11" s="31" t="s">
        <v>33</v>
      </c>
      <c r="B11" s="33">
        <v>9008.0</v>
      </c>
      <c r="C11" s="37">
        <f t="shared" si="1"/>
        <v>1235</v>
      </c>
      <c r="D11" s="55">
        <v>144.0</v>
      </c>
      <c r="E11" s="58">
        <f t="shared" si="2"/>
        <v>43</v>
      </c>
      <c r="F11" s="41">
        <f t="shared" si="3"/>
        <v>0.01598579041</v>
      </c>
      <c r="G11" s="61" t="s">
        <v>22</v>
      </c>
      <c r="H11" s="61" t="s">
        <v>22</v>
      </c>
      <c r="I11" s="46" t="str">
        <f>HYPERLINK("https://experience.arcgis.com/experience/96dd742462124fa0b38ddedb9b25e429","Source")</f>
        <v>Source</v>
      </c>
      <c r="J11" s="28"/>
      <c r="K11" s="68" t="s">
        <v>27</v>
      </c>
      <c r="L11" s="33">
        <v>7773.0</v>
      </c>
      <c r="M11" s="55">
        <v>101.0</v>
      </c>
    </row>
    <row r="12" ht="27.75" customHeight="1">
      <c r="A12" s="52" t="s">
        <v>37</v>
      </c>
      <c r="B12" s="54">
        <v>8966.0</v>
      </c>
      <c r="C12" s="37">
        <f t="shared" si="1"/>
        <v>1228</v>
      </c>
      <c r="D12" s="56">
        <v>154.0</v>
      </c>
      <c r="E12" s="58">
        <f t="shared" si="2"/>
        <v>32</v>
      </c>
      <c r="F12" s="59">
        <f t="shared" si="3"/>
        <v>0.01717599822</v>
      </c>
      <c r="G12" s="61" t="s">
        <v>22</v>
      </c>
      <c r="H12" s="61" t="s">
        <v>22</v>
      </c>
      <c r="I12" s="63" t="str">
        <f>HYPERLINK("https://www.mass.gov/doc/covid-19-cases-in-massachusetts-as-of-april-2-2020/download","Source")</f>
        <v>Source</v>
      </c>
      <c r="J12" s="50"/>
      <c r="K12" s="68" t="s">
        <v>34</v>
      </c>
      <c r="L12" s="54">
        <v>7738.0</v>
      </c>
      <c r="M12" s="56">
        <v>122.0</v>
      </c>
    </row>
    <row r="13" ht="27.75" customHeight="1">
      <c r="A13" s="52" t="s">
        <v>38</v>
      </c>
      <c r="B13" s="54">
        <v>7695.0</v>
      </c>
      <c r="C13" s="37">
        <f t="shared" si="1"/>
        <v>715</v>
      </c>
      <c r="D13" s="56">
        <v>157.0</v>
      </c>
      <c r="E13" s="58">
        <f t="shared" si="2"/>
        <v>16</v>
      </c>
      <c r="F13" s="59">
        <f t="shared" si="3"/>
        <v>0.020402859</v>
      </c>
      <c r="G13" s="61" t="s">
        <v>22</v>
      </c>
      <c r="H13" s="61">
        <v>2.0</v>
      </c>
      <c r="I13" s="63" t="str">
        <f>HYPERLINK("https://www2.illinois.gov/IISNews/21348-Public_Health_Officials_Announce_715_New_Cases_of_Coronavirus_Disease_.pdf","Source")</f>
        <v>Source</v>
      </c>
      <c r="J13" s="50"/>
      <c r="K13" s="68" t="s">
        <v>34</v>
      </c>
      <c r="L13" s="54">
        <v>6980.0</v>
      </c>
      <c r="M13" s="56">
        <v>141.0</v>
      </c>
    </row>
    <row r="14" ht="27.75" customHeight="1">
      <c r="A14" s="52" t="s">
        <v>41</v>
      </c>
      <c r="B14" s="54">
        <v>7264.0</v>
      </c>
      <c r="C14" s="37">
        <f t="shared" si="1"/>
        <v>1262</v>
      </c>
      <c r="D14" s="56">
        <v>90.0</v>
      </c>
      <c r="E14" s="58">
        <f t="shared" si="2"/>
        <v>11</v>
      </c>
      <c r="F14" s="59">
        <f t="shared" si="3"/>
        <v>0.01238986784</v>
      </c>
      <c r="G14" s="61">
        <v>1.0</v>
      </c>
      <c r="H14" s="61" t="s">
        <v>22</v>
      </c>
      <c r="I14" s="63" t="str">
        <f>HYPERLINK("https://public.flourish.studio/visualisation/1658682/?utm_source=embed&amp;utm_campaign=visualisation/1658682","Source")</f>
        <v>Source</v>
      </c>
      <c r="J14" s="28"/>
      <c r="K14" s="68" t="s">
        <v>34</v>
      </c>
      <c r="L14" s="54">
        <v>6002.0</v>
      </c>
      <c r="M14" s="56">
        <v>79.0</v>
      </c>
    </row>
    <row r="15" ht="30.0" customHeight="1">
      <c r="A15" s="52" t="s">
        <v>44</v>
      </c>
      <c r="B15" s="54">
        <v>6585.0</v>
      </c>
      <c r="C15" s="37">
        <f t="shared" si="1"/>
        <v>601</v>
      </c>
      <c r="D15" s="56">
        <v>262.0</v>
      </c>
      <c r="E15" s="58">
        <f t="shared" si="2"/>
        <v>15</v>
      </c>
      <c r="F15" s="59">
        <f t="shared" si="3"/>
        <v>0.0397873956</v>
      </c>
      <c r="G15" s="61" t="s">
        <v>22</v>
      </c>
      <c r="H15" s="61">
        <v>510.0</v>
      </c>
      <c r="I15" s="63" t="str">
        <f>HYPERLINK("https://www.doh.wa.gov/Emergencies/Coronavirus","Source")</f>
        <v>Source</v>
      </c>
      <c r="J15" s="50"/>
      <c r="K15" s="68" t="s">
        <v>34</v>
      </c>
      <c r="L15" s="54">
        <v>5984.0</v>
      </c>
      <c r="M15" s="56">
        <v>247.0</v>
      </c>
    </row>
    <row r="16" ht="30.0" customHeight="1">
      <c r="A16" s="52" t="s">
        <v>48</v>
      </c>
      <c r="B16" s="54">
        <v>5444.0</v>
      </c>
      <c r="C16" s="37">
        <f t="shared" si="1"/>
        <v>696</v>
      </c>
      <c r="D16" s="56">
        <v>176.0</v>
      </c>
      <c r="E16" s="58">
        <f t="shared" si="2"/>
        <v>22</v>
      </c>
      <c r="F16" s="41">
        <f t="shared" si="3"/>
        <v>0.03232916973</v>
      </c>
      <c r="G16" s="61" t="s">
        <v>22</v>
      </c>
      <c r="H16" s="61" t="s">
        <v>22</v>
      </c>
      <c r="I16" s="63" t="str">
        <f>HYPERLINK("https://dph.georgia.gov/covid-19-daily-status-report","Source")</f>
        <v>Source</v>
      </c>
      <c r="J16" s="50"/>
      <c r="K16" s="68" t="s">
        <v>50</v>
      </c>
      <c r="L16" s="54">
        <v>4748.0</v>
      </c>
      <c r="M16" s="56">
        <v>154.0</v>
      </c>
    </row>
    <row r="17" ht="30.0" customHeight="1">
      <c r="A17" s="31" t="s">
        <v>52</v>
      </c>
      <c r="B17" s="33">
        <v>5221.0</v>
      </c>
      <c r="C17" s="37">
        <f t="shared" si="1"/>
        <v>696</v>
      </c>
      <c r="D17" s="55">
        <v>84.0</v>
      </c>
      <c r="E17" s="58">
        <f t="shared" si="2"/>
        <v>16</v>
      </c>
      <c r="F17" s="59">
        <f t="shared" si="3"/>
        <v>0.01608887186</v>
      </c>
      <c r="G17" s="44">
        <v>1.0</v>
      </c>
      <c r="H17" s="61" t="s">
        <v>22</v>
      </c>
      <c r="I17" s="46" t="str">
        <f>HYPERLINK("https://www.houstonchronicle.com/coronavirus/article/texas-coronavirus-map-cases-houston-covid-19-15137466.php","Source")</f>
        <v>Source</v>
      </c>
      <c r="J17" s="50"/>
      <c r="K17" s="28"/>
      <c r="L17" s="33">
        <v>4525.0</v>
      </c>
      <c r="M17" s="55">
        <v>68.0</v>
      </c>
    </row>
    <row r="18" ht="27.75" customHeight="1">
      <c r="A18" s="52" t="s">
        <v>55</v>
      </c>
      <c r="B18" s="54">
        <v>3824.0</v>
      </c>
      <c r="C18" s="37">
        <f t="shared" si="1"/>
        <v>267</v>
      </c>
      <c r="D18" s="56">
        <v>112.0</v>
      </c>
      <c r="E18" s="58">
        <f t="shared" si="2"/>
        <v>27</v>
      </c>
      <c r="F18" s="59">
        <f t="shared" si="3"/>
        <v>0.02928870293</v>
      </c>
      <c r="G18" s="61" t="s">
        <v>22</v>
      </c>
      <c r="H18" s="61" t="s">
        <v>22</v>
      </c>
      <c r="I18" s="63" t="str">
        <f>HYPERLINK("https://portal.ct.gov/-/media/Coronavirus/CTDPHCOVID19summary4022020.pdf?la=en","Source")</f>
        <v>Source</v>
      </c>
      <c r="J18" s="50"/>
      <c r="K18" s="28"/>
      <c r="L18" s="54">
        <v>3557.0</v>
      </c>
      <c r="M18" s="56">
        <v>85.0</v>
      </c>
    </row>
    <row r="19" ht="27.75" customHeight="1">
      <c r="A19" s="52" t="s">
        <v>57</v>
      </c>
      <c r="B19" s="54">
        <v>3728.0</v>
      </c>
      <c r="C19" s="37">
        <f t="shared" si="1"/>
        <v>386</v>
      </c>
      <c r="D19" s="56">
        <v>97.0</v>
      </c>
      <c r="E19" s="58">
        <f t="shared" si="2"/>
        <v>17</v>
      </c>
      <c r="F19" s="41">
        <f t="shared" si="3"/>
        <v>0.0260193133</v>
      </c>
      <c r="G19" s="61" t="s">
        <v>22</v>
      </c>
      <c r="H19" s="61" t="s">
        <v>22</v>
      </c>
      <c r="I19" s="63" t="str">
        <f>HYPERLINK("https://covid19.colorado.gov/case-data","Source")</f>
        <v>Source</v>
      </c>
      <c r="J19" s="50"/>
      <c r="K19" s="28"/>
      <c r="L19" s="54">
        <v>3342.0</v>
      </c>
      <c r="M19" s="56">
        <v>80.0</v>
      </c>
    </row>
    <row r="20" ht="30.0" customHeight="1">
      <c r="A20" s="31" t="s">
        <v>59</v>
      </c>
      <c r="B20" s="33">
        <v>3039.0</v>
      </c>
      <c r="C20" s="37">
        <f t="shared" si="1"/>
        <v>474</v>
      </c>
      <c r="D20" s="33">
        <v>78.0</v>
      </c>
      <c r="E20" s="39">
        <f t="shared" si="2"/>
        <v>13</v>
      </c>
      <c r="F20" s="41">
        <f t="shared" si="3"/>
        <v>0.02566633761</v>
      </c>
      <c r="G20" s="42" t="s">
        <v>22</v>
      </c>
      <c r="H20" s="61" t="s">
        <v>22</v>
      </c>
      <c r="I20" s="46" t="str">
        <f>HYPERLINK("https://twitter.com/StateHealthIN/status/1245350237939605505","Source")</f>
        <v>Source</v>
      </c>
      <c r="J20" s="50"/>
      <c r="K20" s="28"/>
      <c r="L20" s="33">
        <v>2565.0</v>
      </c>
      <c r="M20" s="33">
        <v>65.0</v>
      </c>
    </row>
    <row r="21" ht="27.75" customHeight="1">
      <c r="A21" s="52" t="s">
        <v>63</v>
      </c>
      <c r="B21" s="54">
        <v>2902.0</v>
      </c>
      <c r="C21" s="37">
        <f t="shared" si="1"/>
        <v>355</v>
      </c>
      <c r="D21" s="56">
        <v>81.0</v>
      </c>
      <c r="E21" s="58">
        <f t="shared" si="2"/>
        <v>16</v>
      </c>
      <c r="F21" s="59">
        <f t="shared" si="3"/>
        <v>0.02791178498</v>
      </c>
      <c r="G21" s="61">
        <v>260.0</v>
      </c>
      <c r="H21" s="61" t="s">
        <v>22</v>
      </c>
      <c r="I21" s="63" t="str">
        <f>HYPERLINK("https://coronavirus.ohio.gov/wps/portal/gov/covid-19/home","Source")</f>
        <v>Source</v>
      </c>
      <c r="J21" s="50"/>
      <c r="K21" s="28"/>
      <c r="L21" s="54">
        <v>2547.0</v>
      </c>
      <c r="M21" s="56">
        <v>65.0</v>
      </c>
    </row>
    <row r="22" ht="27.75" customHeight="1">
      <c r="A22" s="52" t="s">
        <v>65</v>
      </c>
      <c r="B22" s="54">
        <v>2845.0</v>
      </c>
      <c r="C22" s="37">
        <f t="shared" si="1"/>
        <v>162</v>
      </c>
      <c r="D22" s="56">
        <v>32.0</v>
      </c>
      <c r="E22" s="58">
        <f t="shared" si="2"/>
        <v>7</v>
      </c>
      <c r="F22" s="41">
        <f t="shared" si="3"/>
        <v>0.01124780316</v>
      </c>
      <c r="G22" s="61" t="s">
        <v>22</v>
      </c>
      <c r="H22" s="61">
        <v>220.0</v>
      </c>
      <c r="I22" s="63" t="str">
        <f>HYPERLINK("https://www.tn.gov/health/cedep/ncov.html","Source")</f>
        <v>Source</v>
      </c>
      <c r="J22" s="50"/>
      <c r="K22" s="28"/>
      <c r="L22" s="54">
        <v>2683.0</v>
      </c>
      <c r="M22" s="56">
        <v>25.0</v>
      </c>
    </row>
    <row r="23" ht="27.75" customHeight="1">
      <c r="A23" s="52" t="s">
        <v>67</v>
      </c>
      <c r="B23" s="54">
        <v>2331.0</v>
      </c>
      <c r="C23" s="37">
        <f t="shared" si="1"/>
        <v>346</v>
      </c>
      <c r="D23" s="56">
        <v>36.0</v>
      </c>
      <c r="E23" s="58">
        <f t="shared" si="2"/>
        <v>3</v>
      </c>
      <c r="F23" s="59">
        <f t="shared" si="3"/>
        <v>0.01544401544</v>
      </c>
      <c r="G23" s="42" t="s">
        <v>22</v>
      </c>
      <c r="H23" s="61">
        <v>81.0</v>
      </c>
      <c r="I23" s="63" t="str">
        <f>HYPERLINK("https://coronavirus.maryland.gov/","Source")</f>
        <v>Source</v>
      </c>
      <c r="J23" s="50"/>
      <c r="K23" s="28"/>
      <c r="L23" s="54">
        <v>1985.0</v>
      </c>
      <c r="M23" s="56">
        <v>33.0</v>
      </c>
    </row>
    <row r="24" ht="30.0" customHeight="1">
      <c r="A24" s="31" t="s">
        <v>69</v>
      </c>
      <c r="B24" s="33">
        <v>2023.0</v>
      </c>
      <c r="C24" s="37">
        <f t="shared" si="1"/>
        <v>307</v>
      </c>
      <c r="D24" s="33">
        <v>18.0</v>
      </c>
      <c r="E24" s="39">
        <f t="shared" si="2"/>
        <v>3</v>
      </c>
      <c r="F24" s="59">
        <f t="shared" si="3"/>
        <v>0.008897676718</v>
      </c>
      <c r="G24" s="42" t="s">
        <v>22</v>
      </c>
      <c r="H24" s="61" t="s">
        <v>22</v>
      </c>
      <c r="I24" s="46" t="str">
        <f>HYPERLINK("https://www.newsobserver.com/news/local/article241168731.html","Source")</f>
        <v>Source</v>
      </c>
      <c r="J24" s="28"/>
      <c r="K24" s="28"/>
      <c r="L24" s="33">
        <v>1716.0</v>
      </c>
      <c r="M24" s="33">
        <v>15.0</v>
      </c>
    </row>
    <row r="25" ht="30.0" customHeight="1">
      <c r="A25" s="31" t="s">
        <v>72</v>
      </c>
      <c r="B25" s="33">
        <v>1851.0</v>
      </c>
      <c r="C25" s="37">
        <f t="shared" si="1"/>
        <v>253</v>
      </c>
      <c r="D25" s="33">
        <v>21.0</v>
      </c>
      <c r="E25" s="39">
        <f t="shared" si="2"/>
        <v>0</v>
      </c>
      <c r="F25" s="41">
        <f t="shared" si="3"/>
        <v>0.0113452188</v>
      </c>
      <c r="G25" s="42" t="s">
        <v>22</v>
      </c>
      <c r="H25" s="61" t="s">
        <v>22</v>
      </c>
      <c r="I25" s="46" t="str">
        <f>HYPERLINK("https://www.kshb.com/news/coronavirus/covid-19-case-tracker-where-we-stand-in-mo-ks-nationwide","Source")</f>
        <v>Source</v>
      </c>
      <c r="J25" s="28"/>
      <c r="K25" s="28"/>
      <c r="L25" s="33">
        <v>1598.0</v>
      </c>
      <c r="M25" s="33">
        <v>21.0</v>
      </c>
    </row>
    <row r="26" ht="27.75" customHeight="1">
      <c r="A26" s="52" t="s">
        <v>73</v>
      </c>
      <c r="B26" s="54">
        <v>1730.0</v>
      </c>
      <c r="C26" s="37">
        <f t="shared" si="1"/>
        <v>180</v>
      </c>
      <c r="D26" s="56">
        <v>31.0</v>
      </c>
      <c r="E26" s="58">
        <f t="shared" si="2"/>
        <v>7</v>
      </c>
      <c r="F26" s="41">
        <f t="shared" si="3"/>
        <v>0.01791907514</v>
      </c>
      <c r="G26" s="42" t="s">
        <v>22</v>
      </c>
      <c r="H26" s="61">
        <v>16.0</v>
      </c>
      <c r="I26" s="63" t="str">
        <f>HYPERLINK("https://www.dhs.wisconsin.gov/outbreaks/index.htm","Source")</f>
        <v>Source</v>
      </c>
      <c r="J26" s="50"/>
      <c r="K26" s="28"/>
      <c r="L26" s="54">
        <v>1550.0</v>
      </c>
      <c r="M26" s="56">
        <v>24.0</v>
      </c>
    </row>
    <row r="27" ht="30.0" customHeight="1">
      <c r="A27" s="31" t="s">
        <v>76</v>
      </c>
      <c r="B27" s="33">
        <v>1706.0</v>
      </c>
      <c r="C27" s="37">
        <f t="shared" si="1"/>
        <v>222</v>
      </c>
      <c r="D27" s="33">
        <v>41.0</v>
      </c>
      <c r="E27" s="39">
        <f t="shared" si="2"/>
        <v>7</v>
      </c>
      <c r="F27" s="59">
        <f t="shared" si="3"/>
        <v>0.02403282532</v>
      </c>
      <c r="G27" s="42" t="s">
        <v>22</v>
      </c>
      <c r="H27" s="61" t="s">
        <v>22</v>
      </c>
      <c r="I27" s="46" t="str">
        <f>HYPERLINK("http://www.vdh.virginia.gov/coronavirus/","Source")</f>
        <v>Source</v>
      </c>
      <c r="J27" s="50"/>
      <c r="K27" s="28"/>
      <c r="L27" s="33">
        <v>1484.0</v>
      </c>
      <c r="M27" s="33">
        <v>34.0</v>
      </c>
    </row>
    <row r="28" ht="27.75" customHeight="1">
      <c r="A28" s="52" t="s">
        <v>80</v>
      </c>
      <c r="B28" s="54">
        <v>1598.0</v>
      </c>
      <c r="C28" s="37">
        <f t="shared" si="1"/>
        <v>185</v>
      </c>
      <c r="D28" s="56">
        <v>32.0</v>
      </c>
      <c r="E28" s="58">
        <f t="shared" si="2"/>
        <v>3</v>
      </c>
      <c r="F28" s="59">
        <f t="shared" si="3"/>
        <v>0.02002503129</v>
      </c>
      <c r="G28" s="42" t="s">
        <v>22</v>
      </c>
      <c r="H28" s="61" t="s">
        <v>22</v>
      </c>
      <c r="I28" s="63" t="str">
        <f>HYPERLINK("https://www.azdhs.gov/preparedness/epidemiology-disease-control/infectious-disease-epidemiology/index.php#novel-coronavirus-home","Source")</f>
        <v>Source</v>
      </c>
      <c r="J28" s="28"/>
      <c r="K28" s="28"/>
      <c r="L28" s="54">
        <v>1413.0</v>
      </c>
      <c r="M28" s="56">
        <v>29.0</v>
      </c>
    </row>
    <row r="29" ht="30.0" customHeight="1">
      <c r="A29" s="31" t="s">
        <v>81</v>
      </c>
      <c r="B29" s="33">
        <v>1554.0</v>
      </c>
      <c r="C29" s="37">
        <f t="shared" si="1"/>
        <v>261</v>
      </c>
      <c r="D29" s="33">
        <v>31.0</v>
      </c>
      <c r="E29" s="39">
        <f t="shared" si="2"/>
        <v>5</v>
      </c>
      <c r="F29" s="59">
        <f t="shared" si="3"/>
        <v>0.01994851995</v>
      </c>
      <c r="G29" s="42" t="s">
        <v>22</v>
      </c>
      <c r="H29" s="61" t="s">
        <v>22</v>
      </c>
      <c r="I29" s="46" t="str">
        <f>HYPERLINK("https://scdhec.gov/infectious-diseases/viruses/coronavirus-disease-2019-covid-19/testing-sc-data-covid-19","Source")</f>
        <v>Source</v>
      </c>
      <c r="J29" s="50"/>
      <c r="K29" s="28"/>
      <c r="L29" s="33">
        <v>1293.0</v>
      </c>
      <c r="M29" s="33">
        <v>26.0</v>
      </c>
    </row>
    <row r="30" ht="27.75" customHeight="1">
      <c r="A30" s="52" t="s">
        <v>83</v>
      </c>
      <c r="B30" s="54">
        <v>1458.0</v>
      </c>
      <c r="C30" s="37">
        <f t="shared" si="1"/>
        <v>179</v>
      </c>
      <c r="D30" s="56">
        <v>38.0</v>
      </c>
      <c r="E30" s="58">
        <f t="shared" si="2"/>
        <v>6</v>
      </c>
      <c r="F30" s="41">
        <f t="shared" si="3"/>
        <v>0.02606310014</v>
      </c>
      <c r="G30" s="42" t="s">
        <v>22</v>
      </c>
      <c r="H30" s="61">
        <v>26.0</v>
      </c>
      <c r="I30" s="63" t="str">
        <f>HYPERLINK("https://app.powerbigov.us/view?r=eyJrIjoiMjA2ZThiOWUtM2FlNS00MGY5LWFmYjUtNmQwNTQ3Nzg5N2I2IiwidCI6ImU0YTM0MGU2LWI4OWUtNGU2OC04ZWFhLTE1NDRkMjcwMzk4MCJ9","Source")</f>
        <v>Source</v>
      </c>
      <c r="J30" s="28"/>
      <c r="K30" s="68" t="s">
        <v>27</v>
      </c>
      <c r="L30" s="54">
        <v>1279.0</v>
      </c>
      <c r="M30" s="56">
        <v>32.0</v>
      </c>
    </row>
    <row r="31" ht="27.75" customHeight="1">
      <c r="A31" s="52" t="s">
        <v>85</v>
      </c>
      <c r="B31" s="54">
        <v>1270.0</v>
      </c>
      <c r="C31" s="37">
        <f t="shared" si="1"/>
        <v>164</v>
      </c>
      <c r="D31" s="56">
        <v>17.0</v>
      </c>
      <c r="E31" s="58">
        <f t="shared" si="2"/>
        <v>0</v>
      </c>
      <c r="F31" s="41">
        <f t="shared" si="3"/>
        <v>0.01338582677</v>
      </c>
      <c r="G31" s="42" t="s">
        <v>22</v>
      </c>
      <c r="H31" s="61" t="s">
        <v>22</v>
      </c>
      <c r="I31" s="63" t="str">
        <f>HYPERLINK("https://alpublichealth.maps.arcgis.com/apps/opsdashboard/index.html#/6d2771faa9da4a2786a509d82c8cf0f7","Source")</f>
        <v>Source</v>
      </c>
      <c r="J31" s="28"/>
      <c r="K31" s="68" t="s">
        <v>27</v>
      </c>
      <c r="L31" s="54">
        <v>1106.0</v>
      </c>
      <c r="M31" s="56">
        <v>17.0</v>
      </c>
    </row>
    <row r="32" ht="27.75" customHeight="1">
      <c r="A32" s="52" t="s">
        <v>87</v>
      </c>
      <c r="B32" s="54">
        <v>1177.0</v>
      </c>
      <c r="C32" s="37">
        <f t="shared" si="1"/>
        <v>104</v>
      </c>
      <c r="D32" s="56">
        <v>26.0</v>
      </c>
      <c r="E32" s="58">
        <f t="shared" si="2"/>
        <v>4</v>
      </c>
      <c r="F32" s="41">
        <f t="shared" si="3"/>
        <v>0.02209005947</v>
      </c>
      <c r="G32" s="42" t="s">
        <v>22</v>
      </c>
      <c r="H32" s="61" t="s">
        <v>22</v>
      </c>
      <c r="I32" s="63" t="str">
        <f>HYPERLINK("https://msdh.ms.gov/msdhsite/_static/14,21882,420,873.html","Source")</f>
        <v>Source</v>
      </c>
      <c r="J32" s="50"/>
      <c r="K32" s="28"/>
      <c r="L32" s="54">
        <v>1073.0</v>
      </c>
      <c r="M32" s="56">
        <v>22.0</v>
      </c>
    </row>
    <row r="33" ht="30.0" customHeight="1">
      <c r="A33" s="31" t="s">
        <v>89</v>
      </c>
      <c r="B33" s="33">
        <v>1074.0</v>
      </c>
      <c r="C33" s="37">
        <f t="shared" si="1"/>
        <v>62</v>
      </c>
      <c r="D33" s="33">
        <v>7.0</v>
      </c>
      <c r="E33" s="39">
        <f t="shared" si="2"/>
        <v>0</v>
      </c>
      <c r="F33" s="59">
        <f t="shared" si="3"/>
        <v>0.006517690875</v>
      </c>
      <c r="G33" s="42" t="s">
        <v>22</v>
      </c>
      <c r="H33" s="61" t="s">
        <v>22</v>
      </c>
      <c r="I33" s="46" t="str">
        <f>HYPERLINK("https://coronavirus.utah.gov/case-counts/","Source")</f>
        <v>Source</v>
      </c>
      <c r="J33" s="50"/>
      <c r="K33" s="28"/>
      <c r="L33" s="33">
        <v>1012.0</v>
      </c>
      <c r="M33" s="33">
        <v>7.0</v>
      </c>
    </row>
    <row r="34" ht="27.75" customHeight="1">
      <c r="A34" s="52" t="s">
        <v>91</v>
      </c>
      <c r="B34" s="54">
        <v>891.0</v>
      </c>
      <c r="C34" s="37">
        <f t="shared" si="1"/>
        <v>222</v>
      </c>
      <c r="D34" s="56">
        <v>9.0</v>
      </c>
      <c r="E34" s="58">
        <f t="shared" si="2"/>
        <v>0</v>
      </c>
      <c r="F34" s="59">
        <f t="shared" si="3"/>
        <v>0.0101010101</v>
      </c>
      <c r="G34" s="61">
        <v>7.0</v>
      </c>
      <c r="H34" s="61" t="s">
        <v>22</v>
      </c>
      <c r="I34" s="63" t="str">
        <f>HYPERLINK("https://coronavirus.idaho.gov/","Source")</f>
        <v>Source</v>
      </c>
      <c r="J34" s="50"/>
      <c r="K34" s="28"/>
      <c r="L34" s="54">
        <v>669.0</v>
      </c>
      <c r="M34" s="56">
        <v>9.0</v>
      </c>
    </row>
    <row r="35" ht="30.0" customHeight="1">
      <c r="A35" s="31" t="s">
        <v>94</v>
      </c>
      <c r="B35" s="33">
        <v>879.0</v>
      </c>
      <c r="C35" s="37">
        <f t="shared" si="1"/>
        <v>160</v>
      </c>
      <c r="D35" s="33">
        <v>34.0</v>
      </c>
      <c r="E35" s="39">
        <f t="shared" si="2"/>
        <v>4</v>
      </c>
      <c r="F35" s="59">
        <f t="shared" si="3"/>
        <v>0.03868031854</v>
      </c>
      <c r="G35" s="61" t="s">
        <v>22</v>
      </c>
      <c r="H35" s="44" t="s">
        <v>22</v>
      </c>
      <c r="I35" s="46" t="str">
        <f>HYPERLINK("https://coronavirus.health.ok.gov/","Source")</f>
        <v>Source</v>
      </c>
      <c r="J35" s="50"/>
      <c r="K35" s="28"/>
      <c r="L35" s="33">
        <v>719.0</v>
      </c>
      <c r="M35" s="33">
        <v>30.0</v>
      </c>
    </row>
    <row r="36" ht="27.75" customHeight="1">
      <c r="A36" s="52" t="s">
        <v>96</v>
      </c>
      <c r="B36" s="54">
        <v>826.0</v>
      </c>
      <c r="C36" s="37">
        <f t="shared" si="1"/>
        <v>90</v>
      </c>
      <c r="D36" s="56">
        <v>21.0</v>
      </c>
      <c r="E36" s="58">
        <f t="shared" si="2"/>
        <v>2</v>
      </c>
      <c r="F36" s="41">
        <f t="shared" si="3"/>
        <v>0.02542372881</v>
      </c>
      <c r="G36" s="42" t="s">
        <v>22</v>
      </c>
      <c r="H36" s="61" t="s">
        <v>22</v>
      </c>
      <c r="I36" s="63" t="str">
        <f>HYPERLINK("https://govstatus.egov.com/OR-OHA-COVID-19","Source")</f>
        <v>Source</v>
      </c>
      <c r="J36" s="50"/>
      <c r="K36" s="68" t="s">
        <v>34</v>
      </c>
      <c r="L36" s="54">
        <v>736.0</v>
      </c>
      <c r="M36" s="56">
        <v>19.0</v>
      </c>
    </row>
    <row r="37" ht="27.75" customHeight="1">
      <c r="A37" s="52" t="s">
        <v>99</v>
      </c>
      <c r="B37" s="54">
        <v>770.0</v>
      </c>
      <c r="C37" s="37">
        <f t="shared" si="1"/>
        <v>90</v>
      </c>
      <c r="D37" s="56">
        <v>31.0</v>
      </c>
      <c r="E37" s="58">
        <f t="shared" si="2"/>
        <v>11</v>
      </c>
      <c r="F37" s="59">
        <f t="shared" si="3"/>
        <v>0.04025974026</v>
      </c>
      <c r="G37" s="61" t="s">
        <v>22</v>
      </c>
      <c r="H37" s="61" t="s">
        <v>22</v>
      </c>
      <c r="I37" s="63" t="str">
        <f>HYPERLINK("https://www.lex18.com/news/coronavirus/kentucky-up-to-770-cases-of-covid-19-31-deaths","Source")</f>
        <v>Source</v>
      </c>
      <c r="J37" s="50"/>
      <c r="K37" s="28"/>
      <c r="L37" s="54">
        <v>680.0</v>
      </c>
      <c r="M37" s="56">
        <v>20.0</v>
      </c>
    </row>
    <row r="38" ht="30.0" customHeight="1">
      <c r="A38" s="31" t="s">
        <v>101</v>
      </c>
      <c r="B38" s="33">
        <v>742.0</v>
      </c>
      <c r="C38" s="37">
        <f t="shared" si="1"/>
        <v>53</v>
      </c>
      <c r="D38" s="33">
        <v>18.0</v>
      </c>
      <c r="E38" s="39">
        <f t="shared" si="2"/>
        <v>1</v>
      </c>
      <c r="F38" s="59">
        <f t="shared" si="3"/>
        <v>0.02425876011</v>
      </c>
      <c r="G38" s="42">
        <v>24.0</v>
      </c>
      <c r="H38" s="44">
        <v>373.0</v>
      </c>
      <c r="I38" s="46" t="str">
        <f>HYPERLINK("https://www.health.state.mn.us/diseases/coronavirus/situation.html","Source")</f>
        <v>Source</v>
      </c>
      <c r="J38" s="50"/>
      <c r="K38" s="28"/>
      <c r="L38" s="33">
        <v>689.0</v>
      </c>
      <c r="M38" s="33">
        <v>17.0</v>
      </c>
    </row>
    <row r="39" ht="27.75" customHeight="1">
      <c r="A39" s="52" t="s">
        <v>103</v>
      </c>
      <c r="B39" s="54">
        <v>657.0</v>
      </c>
      <c r="C39" s="37">
        <f t="shared" si="1"/>
        <v>91</v>
      </c>
      <c r="D39" s="56">
        <v>12.0</v>
      </c>
      <c r="E39" s="58">
        <f t="shared" si="2"/>
        <v>2</v>
      </c>
      <c r="F39" s="41">
        <f t="shared" si="3"/>
        <v>0.01826484018</v>
      </c>
      <c r="G39" s="61">
        <v>14.0</v>
      </c>
      <c r="H39" s="61" t="s">
        <v>22</v>
      </c>
      <c r="I39" s="63" t="str">
        <f>HYPERLINK("https://health.ri.gov/data/covid-19/","Source")</f>
        <v>Source</v>
      </c>
      <c r="J39" s="50"/>
      <c r="K39" s="28"/>
      <c r="L39" s="54">
        <v>566.0</v>
      </c>
      <c r="M39" s="56">
        <v>10.0</v>
      </c>
    </row>
    <row r="40" ht="27.75" customHeight="1">
      <c r="A40" s="52" t="s">
        <v>106</v>
      </c>
      <c r="B40" s="54">
        <v>653.0</v>
      </c>
      <c r="C40" s="37">
        <f t="shared" si="1"/>
        <v>67</v>
      </c>
      <c r="D40" s="56">
        <v>12.0</v>
      </c>
      <c r="E40" s="58">
        <f t="shared" si="2"/>
        <v>1</v>
      </c>
      <c r="F40" s="41">
        <f t="shared" si="3"/>
        <v>0.01837672282</v>
      </c>
      <c r="G40" s="61" t="s">
        <v>22</v>
      </c>
      <c r="H40" s="61">
        <v>173.0</v>
      </c>
      <c r="I40" s="63" t="str">
        <f>HYPERLINK("https://coronavirus.dc.gov/page/coronavirus-data","Source")</f>
        <v>Source</v>
      </c>
      <c r="J40" s="50"/>
      <c r="K40" s="28"/>
      <c r="L40" s="54">
        <v>586.0</v>
      </c>
      <c r="M40" s="56">
        <v>11.0</v>
      </c>
    </row>
    <row r="41" ht="27.75" customHeight="1">
      <c r="A41" s="52" t="s">
        <v>109</v>
      </c>
      <c r="B41" s="54">
        <v>683.0</v>
      </c>
      <c r="C41" s="37">
        <f t="shared" si="1"/>
        <v>59</v>
      </c>
      <c r="D41" s="56">
        <v>12.0</v>
      </c>
      <c r="E41" s="58">
        <f t="shared" si="2"/>
        <v>2</v>
      </c>
      <c r="F41" s="41">
        <f t="shared" si="3"/>
        <v>0.01756954612</v>
      </c>
      <c r="G41" s="61">
        <v>23.0</v>
      </c>
      <c r="H41" s="61">
        <v>50.0</v>
      </c>
      <c r="I41" s="63" t="str">
        <f>HYPERLINK("https://adem.maps.arcgis.com/apps/opsdashboard/index.html#/f533ac8a8b6040e5896b05b47b17a647","Source")</f>
        <v>Source</v>
      </c>
      <c r="J41" s="28"/>
      <c r="K41" s="68" t="s">
        <v>110</v>
      </c>
      <c r="L41" s="54">
        <v>624.0</v>
      </c>
      <c r="M41" s="56">
        <v>10.0</v>
      </c>
    </row>
    <row r="42" ht="27.75" customHeight="1">
      <c r="A42" s="52" t="s">
        <v>112</v>
      </c>
      <c r="B42" s="54">
        <v>614.0</v>
      </c>
      <c r="C42" s="37">
        <f t="shared" si="1"/>
        <v>66</v>
      </c>
      <c r="D42" s="56">
        <v>11.0</v>
      </c>
      <c r="E42" s="58">
        <f t="shared" si="2"/>
        <v>2</v>
      </c>
      <c r="F42" s="41">
        <f t="shared" si="3"/>
        <v>0.01791530945</v>
      </c>
      <c r="G42" s="61" t="s">
        <v>22</v>
      </c>
      <c r="H42" s="61" t="s">
        <v>22</v>
      </c>
      <c r="I42" s="63" t="str">
        <f>HYPERLINK("https://www.idph.iowa.gov/News/ArtMID/646/ArticleID/158323/Additional-COVID-19-Cases-Deaths-Confirmed-in-Iowa-4220","Source")</f>
        <v>Source</v>
      </c>
      <c r="J42" s="50"/>
      <c r="K42" s="28"/>
      <c r="L42" s="54">
        <v>548.0</v>
      </c>
      <c r="M42" s="56">
        <v>9.0</v>
      </c>
    </row>
    <row r="43" ht="30.0" customHeight="1">
      <c r="A43" s="31" t="s">
        <v>115</v>
      </c>
      <c r="B43" s="33">
        <v>552.0</v>
      </c>
      <c r="C43" s="37">
        <f t="shared" si="1"/>
        <v>55</v>
      </c>
      <c r="D43" s="33">
        <v>13.0</v>
      </c>
      <c r="E43" s="39">
        <f t="shared" si="2"/>
        <v>3</v>
      </c>
      <c r="F43" s="59">
        <f t="shared" si="3"/>
        <v>0.02355072464</v>
      </c>
      <c r="G43" s="61" t="s">
        <v>22</v>
      </c>
      <c r="H43" s="61" t="s">
        <v>22</v>
      </c>
      <c r="I43" s="46" t="str">
        <f>HYPERLINK("https://public.tableau.com/profile/kdhe.epidemiology#!/vizhome/COVID-19Data_15851817634470/KSCOVID-19CaseData","Source")</f>
        <v>Source</v>
      </c>
      <c r="J43" s="28"/>
      <c r="K43" s="28"/>
      <c r="L43" s="33">
        <v>497.0</v>
      </c>
      <c r="M43" s="33">
        <v>10.0</v>
      </c>
    </row>
    <row r="44" ht="30.0" customHeight="1">
      <c r="A44" s="31" t="s">
        <v>118</v>
      </c>
      <c r="B44" s="33">
        <v>479.0</v>
      </c>
      <c r="C44" s="37">
        <f t="shared" si="1"/>
        <v>64</v>
      </c>
      <c r="D44" s="55">
        <v>5.0</v>
      </c>
      <c r="E44" s="58">
        <f t="shared" si="2"/>
        <v>1</v>
      </c>
      <c r="F44" s="59">
        <f t="shared" si="3"/>
        <v>0.01043841336</v>
      </c>
      <c r="G44" s="61" t="s">
        <v>22</v>
      </c>
      <c r="H44" s="61">
        <v>101.0</v>
      </c>
      <c r="I44" s="46" t="str">
        <f>HYPERLINK("https://www.nh.gov/covid19/","Source")</f>
        <v>Source</v>
      </c>
      <c r="J44" s="50"/>
      <c r="K44" s="28"/>
      <c r="L44" s="33">
        <v>415.0</v>
      </c>
      <c r="M44" s="55">
        <v>4.0</v>
      </c>
    </row>
    <row r="45" ht="27.75" customHeight="1">
      <c r="A45" s="52" t="s">
        <v>120</v>
      </c>
      <c r="B45" s="54">
        <v>403.0</v>
      </c>
      <c r="C45" s="37">
        <f t="shared" si="1"/>
        <v>40</v>
      </c>
      <c r="D45" s="56">
        <v>7.0</v>
      </c>
      <c r="E45" s="58">
        <f t="shared" si="2"/>
        <v>1</v>
      </c>
      <c r="F45" s="41">
        <f t="shared" si="3"/>
        <v>0.01736972705</v>
      </c>
      <c r="G45" s="61" t="s">
        <v>22</v>
      </c>
      <c r="H45" s="61" t="s">
        <v>22</v>
      </c>
      <c r="I45" s="63" t="str">
        <f>HYPERLINK("https://cv.nmhealth.org/","Source")</f>
        <v>Source</v>
      </c>
      <c r="J45" s="50"/>
      <c r="K45" s="28"/>
      <c r="L45" s="54">
        <v>363.0</v>
      </c>
      <c r="M45" s="56">
        <v>6.0</v>
      </c>
    </row>
    <row r="46" ht="27.75" customHeight="1">
      <c r="A46" s="52" t="s">
        <v>122</v>
      </c>
      <c r="B46" s="54">
        <v>393.0</v>
      </c>
      <c r="C46" s="37">
        <f t="shared" si="1"/>
        <v>25</v>
      </c>
      <c r="D46" s="56">
        <v>12.0</v>
      </c>
      <c r="E46" s="58">
        <f t="shared" si="2"/>
        <v>1</v>
      </c>
      <c r="F46" s="41">
        <f t="shared" si="3"/>
        <v>0.03053435115</v>
      </c>
      <c r="G46" s="61" t="s">
        <v>22</v>
      </c>
      <c r="H46" s="61">
        <v>49.0</v>
      </c>
      <c r="I46" s="63" t="str">
        <f>HYPERLINK("https://coronavirus.delaware.gov/","Source")</f>
        <v>Source</v>
      </c>
      <c r="J46" s="50"/>
      <c r="K46" s="28"/>
      <c r="L46" s="54">
        <v>368.0</v>
      </c>
      <c r="M46" s="56">
        <v>11.0</v>
      </c>
    </row>
    <row r="47" ht="27.75" customHeight="1">
      <c r="A47" s="52" t="s">
        <v>125</v>
      </c>
      <c r="B47" s="54">
        <v>376.0</v>
      </c>
      <c r="C47" s="37">
        <f t="shared" si="1"/>
        <v>32</v>
      </c>
      <c r="D47" s="56">
        <v>7.0</v>
      </c>
      <c r="E47" s="58">
        <f t="shared" si="2"/>
        <v>0</v>
      </c>
      <c r="F47" s="59">
        <f t="shared" si="3"/>
        <v>0.01861702128</v>
      </c>
      <c r="G47" s="61" t="s">
        <v>22</v>
      </c>
      <c r="H47" s="61">
        <v>94.0</v>
      </c>
      <c r="I47" s="63" t="str">
        <f>HYPERLINK("https://www.maine.gov/dhhs/mecdc/infectious-disease/epi/airborne/coronavirus.shtml","Source")</f>
        <v>Source</v>
      </c>
      <c r="J47" s="50"/>
      <c r="K47" s="28"/>
      <c r="L47" s="54">
        <v>344.0</v>
      </c>
      <c r="M47" s="56">
        <v>7.0</v>
      </c>
    </row>
    <row r="48" ht="30.0" customHeight="1">
      <c r="A48" s="31" t="s">
        <v>128</v>
      </c>
      <c r="B48" s="33">
        <v>338.0</v>
      </c>
      <c r="C48" s="37">
        <f t="shared" si="1"/>
        <v>17</v>
      </c>
      <c r="D48" s="33">
        <v>17.0</v>
      </c>
      <c r="E48" s="39">
        <f t="shared" si="2"/>
        <v>1</v>
      </c>
      <c r="F48" s="41">
        <f t="shared" si="3"/>
        <v>0.05029585799</v>
      </c>
      <c r="G48" s="61" t="s">
        <v>22</v>
      </c>
      <c r="H48" s="61" t="s">
        <v>22</v>
      </c>
      <c r="I48" s="46" t="str">
        <f>HYPERLINK("https://www.healthvermont.gov/response/infectious-disease/2019-novel-coronavirus","Source")</f>
        <v>Source</v>
      </c>
      <c r="J48" s="50"/>
      <c r="K48" s="28"/>
      <c r="L48" s="33">
        <v>321.0</v>
      </c>
      <c r="M48" s="33">
        <v>16.0</v>
      </c>
    </row>
    <row r="49" ht="27.75" customHeight="1">
      <c r="A49" s="52" t="s">
        <v>129</v>
      </c>
      <c r="B49" s="54">
        <v>316.0</v>
      </c>
      <c r="C49" s="37">
        <f t="shared" si="1"/>
        <v>30</v>
      </c>
      <c r="D49" s="56">
        <v>12.0</v>
      </c>
      <c r="E49" s="58">
        <f t="shared" si="2"/>
        <v>1</v>
      </c>
      <c r="F49" s="41">
        <f t="shared" si="3"/>
        <v>0.03797468354</v>
      </c>
      <c r="G49" s="61" t="s">
        <v>22</v>
      </c>
      <c r="H49" s="61" t="s">
        <v>22</v>
      </c>
      <c r="I49" s="63" t="str">
        <f>HYPERLINK("http://www.salud.gov.pr/Pages/coronavirus.aspx","Source")</f>
        <v>Source</v>
      </c>
      <c r="J49" s="50"/>
      <c r="K49" s="28"/>
      <c r="L49" s="54">
        <v>286.0</v>
      </c>
      <c r="M49" s="56">
        <v>11.0</v>
      </c>
    </row>
    <row r="50" ht="27.75" customHeight="1">
      <c r="A50" s="52" t="s">
        <v>132</v>
      </c>
      <c r="B50" s="54">
        <v>285.0</v>
      </c>
      <c r="C50" s="37">
        <f t="shared" si="1"/>
        <v>27</v>
      </c>
      <c r="D50" s="56">
        <v>2.0</v>
      </c>
      <c r="E50" s="58">
        <f t="shared" si="2"/>
        <v>1</v>
      </c>
      <c r="F50" s="41">
        <f t="shared" si="3"/>
        <v>0.00701754386</v>
      </c>
      <c r="G50" s="61" t="s">
        <v>22</v>
      </c>
      <c r="H50" s="61">
        <v>49.0</v>
      </c>
      <c r="I50" s="63" t="str">
        <f>HYPERLINK("https://health.hawaii.gov/coronavirusdisease2019/","Source")</f>
        <v>Source</v>
      </c>
      <c r="J50" s="50"/>
      <c r="K50" s="28"/>
      <c r="L50" s="54">
        <v>258.0</v>
      </c>
      <c r="M50" s="56">
        <v>1.0</v>
      </c>
    </row>
    <row r="51" ht="27.75" customHeight="1">
      <c r="A51" s="52" t="s">
        <v>134</v>
      </c>
      <c r="B51" s="54">
        <v>255.0</v>
      </c>
      <c r="C51" s="37">
        <f t="shared" si="1"/>
        <v>78</v>
      </c>
      <c r="D51" s="56">
        <v>6.0</v>
      </c>
      <c r="E51" s="58">
        <f t="shared" si="2"/>
        <v>1</v>
      </c>
      <c r="F51" s="41">
        <f t="shared" si="3"/>
        <v>0.02352941176</v>
      </c>
      <c r="G51" s="61" t="s">
        <v>22</v>
      </c>
      <c r="H51" s="61" t="s">
        <v>22</v>
      </c>
      <c r="I51" s="63" t="str">
        <f>HYPERLINK("https://nebraska.maps.arcgis.com/apps/opsdashboard/index.html#/4213f719a45647bc873ffb58783ffef3","Source")</f>
        <v>Source</v>
      </c>
      <c r="J51" s="50"/>
      <c r="K51" s="28"/>
      <c r="L51" s="54">
        <v>177.0</v>
      </c>
      <c r="M51" s="56">
        <v>5.0</v>
      </c>
    </row>
    <row r="52" ht="27.75" customHeight="1">
      <c r="A52" s="52" t="s">
        <v>137</v>
      </c>
      <c r="B52" s="54">
        <v>241.0</v>
      </c>
      <c r="C52" s="37">
        <f t="shared" si="1"/>
        <v>24</v>
      </c>
      <c r="D52" s="56">
        <v>5.0</v>
      </c>
      <c r="E52" s="58">
        <f t="shared" si="2"/>
        <v>0</v>
      </c>
      <c r="F52" s="59">
        <f t="shared" si="3"/>
        <v>0.02074688797</v>
      </c>
      <c r="G52" s="61" t="s">
        <v>22</v>
      </c>
      <c r="H52" s="61" t="s">
        <v>22</v>
      </c>
      <c r="I52" s="63" t="str">
        <f>HYPERLINK("https://twitter.com/GovernorBullock/status/1244410611854790656","Source")</f>
        <v>Source</v>
      </c>
      <c r="J52" s="50"/>
      <c r="K52" s="68" t="s">
        <v>139</v>
      </c>
      <c r="L52" s="54">
        <v>217.0</v>
      </c>
      <c r="M52" s="56">
        <v>5.0</v>
      </c>
    </row>
    <row r="53" ht="27.75" customHeight="1">
      <c r="A53" s="52" t="s">
        <v>140</v>
      </c>
      <c r="B53" s="54">
        <v>217.0</v>
      </c>
      <c r="C53" s="37">
        <f t="shared" si="1"/>
        <v>26</v>
      </c>
      <c r="D53" s="56">
        <v>2.0</v>
      </c>
      <c r="E53" s="58">
        <f t="shared" si="2"/>
        <v>0</v>
      </c>
      <c r="F53" s="59">
        <f t="shared" si="3"/>
        <v>0.009216589862</v>
      </c>
      <c r="G53" s="61" t="s">
        <v>22</v>
      </c>
      <c r="H53" s="61" t="s">
        <v>22</v>
      </c>
      <c r="I53" s="63" t="str">
        <f>HYPERLINK("https://dhhr.wv.gov/COVID-19/Pages/default.aspx","Source")</f>
        <v>Source</v>
      </c>
      <c r="J53" s="50"/>
      <c r="K53" s="28"/>
      <c r="L53" s="54">
        <v>191.0</v>
      </c>
      <c r="M53" s="56">
        <v>2.0</v>
      </c>
    </row>
    <row r="54" ht="27.75" customHeight="1">
      <c r="A54" s="52" t="s">
        <v>142</v>
      </c>
      <c r="B54" s="54">
        <v>165.0</v>
      </c>
      <c r="C54" s="37">
        <f t="shared" si="1"/>
        <v>36</v>
      </c>
      <c r="D54" s="56">
        <v>2.0</v>
      </c>
      <c r="E54" s="58">
        <f t="shared" si="2"/>
        <v>0</v>
      </c>
      <c r="F54" s="59">
        <f t="shared" si="3"/>
        <v>0.01212121212</v>
      </c>
      <c r="G54" s="61" t="s">
        <v>22</v>
      </c>
      <c r="H54" s="61">
        <v>57.0</v>
      </c>
      <c r="I54" s="63" t="str">
        <f>HYPERLINK("https://doh.sd.gov/news/coronavirus.aspx","Source")</f>
        <v>Source</v>
      </c>
      <c r="J54" s="50"/>
      <c r="K54" s="28"/>
      <c r="L54" s="54">
        <v>129.0</v>
      </c>
      <c r="M54" s="56">
        <v>2.0</v>
      </c>
    </row>
    <row r="55" ht="27.75" customHeight="1">
      <c r="A55" s="52" t="s">
        <v>145</v>
      </c>
      <c r="B55" s="54">
        <v>159.0</v>
      </c>
      <c r="C55" s="37">
        <f t="shared" si="1"/>
        <v>12</v>
      </c>
      <c r="D55" s="56">
        <v>3.0</v>
      </c>
      <c r="E55" s="58">
        <f t="shared" si="2"/>
        <v>0</v>
      </c>
      <c r="F55" s="59">
        <f t="shared" si="3"/>
        <v>0.01886792453</v>
      </c>
      <c r="G55" s="61" t="s">
        <v>22</v>
      </c>
      <c r="H55" s="61">
        <v>43.0</v>
      </c>
      <c r="I55" s="63" t="str">
        <f>HYPERLINK("https://www.health.nd.gov/diseases-conditions/coronavirus/north-dakota-coronavirus-cases","Source")</f>
        <v>Source</v>
      </c>
      <c r="J55" s="50"/>
      <c r="K55" s="28"/>
      <c r="L55" s="54">
        <v>147.0</v>
      </c>
      <c r="M55" s="56">
        <v>3.0</v>
      </c>
    </row>
    <row r="56" ht="27.75" customHeight="1">
      <c r="A56" s="52" t="s">
        <v>146</v>
      </c>
      <c r="B56" s="54">
        <v>153.0</v>
      </c>
      <c r="C56" s="37">
        <f t="shared" si="1"/>
        <v>16</v>
      </c>
      <c r="D56" s="56">
        <v>0.0</v>
      </c>
      <c r="E56" s="58">
        <f t="shared" si="2"/>
        <v>0</v>
      </c>
      <c r="F56" s="41">
        <f t="shared" si="3"/>
        <v>0</v>
      </c>
      <c r="G56" s="61" t="s">
        <v>22</v>
      </c>
      <c r="H56" s="61">
        <v>37.0</v>
      </c>
      <c r="I56" s="63" t="str">
        <f>HYPERLINK("https://health.wyo.gov/publichealth/infectious-disease-epidemiology-unit/disease/novel-coronavirus/","Source")</f>
        <v>Source</v>
      </c>
      <c r="J56" s="50"/>
      <c r="K56" s="28"/>
      <c r="L56" s="54">
        <v>137.0</v>
      </c>
      <c r="M56" s="56">
        <v>0.0</v>
      </c>
    </row>
    <row r="57" ht="27.75" customHeight="1">
      <c r="A57" s="52" t="s">
        <v>149</v>
      </c>
      <c r="B57" s="54">
        <v>147.0</v>
      </c>
      <c r="C57" s="37">
        <f t="shared" si="1"/>
        <v>4</v>
      </c>
      <c r="D57" s="56">
        <v>2.0</v>
      </c>
      <c r="E57" s="58">
        <f t="shared" si="2"/>
        <v>0</v>
      </c>
      <c r="F57" s="59">
        <f t="shared" si="3"/>
        <v>0.01360544218</v>
      </c>
      <c r="G57" s="61" t="s">
        <v>22</v>
      </c>
      <c r="H57" s="61" t="s">
        <v>22</v>
      </c>
      <c r="I57" s="63" t="str">
        <f>HYPERLINK("http://dhss.alaska.gov/dph/Epi/id/Pages/COVID-19/monitoring.aspx","Source")</f>
        <v>Source</v>
      </c>
      <c r="J57" s="50"/>
      <c r="K57" s="28"/>
      <c r="L57" s="54">
        <v>143.0</v>
      </c>
      <c r="M57" s="56">
        <v>2.0</v>
      </c>
    </row>
    <row r="58" ht="27.75" customHeight="1">
      <c r="A58" s="52" t="s">
        <v>151</v>
      </c>
      <c r="B58" s="54">
        <v>82.0</v>
      </c>
      <c r="C58" s="37">
        <f t="shared" si="1"/>
        <v>5</v>
      </c>
      <c r="D58" s="56">
        <v>3.0</v>
      </c>
      <c r="E58" s="58">
        <f t="shared" si="2"/>
        <v>0</v>
      </c>
      <c r="F58" s="41">
        <f t="shared" si="3"/>
        <v>0.03658536585</v>
      </c>
      <c r="G58" s="61" t="s">
        <v>22</v>
      </c>
      <c r="H58" s="61">
        <v>12.0</v>
      </c>
      <c r="I58" s="63" t="str">
        <f>HYPERLINK("https://ghs.guam.gov/jic-release-no-46-five-test-positive-covid-19-dphss-guidance-be-proactive-take-action-protect","Source")</f>
        <v>Source</v>
      </c>
      <c r="J58" s="50"/>
      <c r="K58" s="28"/>
      <c r="L58" s="54">
        <v>77.0</v>
      </c>
      <c r="M58" s="56">
        <v>3.0</v>
      </c>
    </row>
    <row r="59" ht="33.0" customHeight="1">
      <c r="A59" s="52" t="s">
        <v>154</v>
      </c>
      <c r="B59" s="54">
        <v>46.0</v>
      </c>
      <c r="C59" s="37">
        <f t="shared" si="1"/>
        <v>0</v>
      </c>
      <c r="D59" s="56">
        <v>0.0</v>
      </c>
      <c r="E59" s="58">
        <f t="shared" si="2"/>
        <v>0</v>
      </c>
      <c r="F59" s="59">
        <f t="shared" si="3"/>
        <v>0</v>
      </c>
      <c r="G59" s="61" t="s">
        <v>22</v>
      </c>
      <c r="H59" s="61">
        <v>2.0</v>
      </c>
      <c r="I59" s="63" t="str">
        <f>HYPERLINK("https://www.cdc.gov/coronavirus/2019-ncov/cases-in-us.html","Source")</f>
        <v>Source</v>
      </c>
      <c r="J59" s="28"/>
      <c r="K59" s="28"/>
      <c r="L59" s="54">
        <v>46.0</v>
      </c>
      <c r="M59" s="56">
        <v>0.0</v>
      </c>
    </row>
    <row r="60" ht="27.75" customHeight="1">
      <c r="A60" s="52" t="s">
        <v>155</v>
      </c>
      <c r="B60" s="54">
        <v>37.0</v>
      </c>
      <c r="C60" s="37">
        <f t="shared" si="1"/>
        <v>7</v>
      </c>
      <c r="D60" s="56">
        <v>0.0</v>
      </c>
      <c r="E60" s="58">
        <f t="shared" si="2"/>
        <v>0</v>
      </c>
      <c r="F60" s="59">
        <f t="shared" si="3"/>
        <v>0</v>
      </c>
      <c r="G60" s="61" t="s">
        <v>22</v>
      </c>
      <c r="H60" s="61">
        <v>29.0</v>
      </c>
      <c r="I60" s="63" t="str">
        <f>HYPERLINK("https://doh.vi.gov/news/health-department-announces-eleven-additional-confirmed-covid-19-cases","Source")</f>
        <v>Source</v>
      </c>
      <c r="J60" s="28"/>
      <c r="K60" s="28"/>
      <c r="L60" s="54">
        <v>30.0</v>
      </c>
      <c r="M60" s="56">
        <v>0.0</v>
      </c>
    </row>
    <row r="61" ht="27.75" customHeight="1">
      <c r="A61" s="52" t="s">
        <v>157</v>
      </c>
      <c r="B61" s="54">
        <v>21.0</v>
      </c>
      <c r="C61" s="37">
        <f t="shared" si="1"/>
        <v>0</v>
      </c>
      <c r="D61" s="56">
        <v>0.0</v>
      </c>
      <c r="E61" s="58">
        <f t="shared" si="2"/>
        <v>0</v>
      </c>
      <c r="F61" s="41">
        <f t="shared" si="3"/>
        <v>0</v>
      </c>
      <c r="G61" s="61" t="s">
        <v>22</v>
      </c>
      <c r="H61" s="61" t="s">
        <v>22</v>
      </c>
      <c r="I61" s="63" t="str">
        <f>HYPERLINK("https://www.youtube.com/watch?v=pAsq7-_3XTI","Source")</f>
        <v>Source</v>
      </c>
      <c r="J61" s="28"/>
      <c r="K61" s="28"/>
      <c r="L61" s="54">
        <v>21.0</v>
      </c>
      <c r="M61" s="56">
        <v>0.0</v>
      </c>
    </row>
    <row r="62" ht="27.75" customHeight="1">
      <c r="A62" s="52" t="s">
        <v>159</v>
      </c>
      <c r="B62" s="54">
        <v>8.0</v>
      </c>
      <c r="C62" s="37">
        <f t="shared" si="1"/>
        <v>2</v>
      </c>
      <c r="D62" s="56">
        <v>1.0</v>
      </c>
      <c r="E62" s="58">
        <f t="shared" si="2"/>
        <v>0</v>
      </c>
      <c r="F62" s="41">
        <f t="shared" si="3"/>
        <v>0.125</v>
      </c>
      <c r="G62" s="61" t="s">
        <v>22</v>
      </c>
      <c r="H62" s="61" t="s">
        <v>22</v>
      </c>
      <c r="I62" s="63" t="str">
        <f>HYPERLINK("https://guampdn.com/story/news/local/2020/03/28/saipan-confirms-two-covid-19-positive-cases/2932326001/","Source")</f>
        <v>Source</v>
      </c>
      <c r="J62" s="28"/>
      <c r="K62" s="28"/>
      <c r="L62" s="54">
        <v>6.0</v>
      </c>
      <c r="M62" s="56">
        <v>1.0</v>
      </c>
    </row>
    <row r="63" ht="27.75" customHeight="1">
      <c r="A63" s="52" t="s">
        <v>161</v>
      </c>
      <c r="B63" s="54">
        <v>3.0</v>
      </c>
      <c r="C63" s="37">
        <f t="shared" si="1"/>
        <v>0</v>
      </c>
      <c r="D63" s="56">
        <v>0.0</v>
      </c>
      <c r="E63" s="58">
        <f t="shared" si="2"/>
        <v>0</v>
      </c>
      <c r="F63" s="41">
        <f t="shared" si="3"/>
        <v>0</v>
      </c>
      <c r="G63" s="61" t="s">
        <v>22</v>
      </c>
      <c r="H63" s="61" t="s">
        <v>22</v>
      </c>
      <c r="I63" s="98" t="s">
        <v>22</v>
      </c>
      <c r="J63" s="28"/>
      <c r="K63" s="28"/>
      <c r="L63" s="54">
        <v>3.0</v>
      </c>
      <c r="M63" s="56">
        <v>0.0</v>
      </c>
    </row>
    <row r="64" ht="27.75" customHeight="1">
      <c r="A64" s="52" t="s">
        <v>163</v>
      </c>
      <c r="B64" s="54">
        <v>0.0</v>
      </c>
      <c r="C64" s="37">
        <f t="shared" si="1"/>
        <v>0</v>
      </c>
      <c r="D64" s="56">
        <v>0.0</v>
      </c>
      <c r="E64" s="58">
        <f t="shared" si="2"/>
        <v>0</v>
      </c>
      <c r="F64" s="97" t="s">
        <v>49</v>
      </c>
      <c r="G64" s="61" t="s">
        <v>22</v>
      </c>
      <c r="H64" s="61" t="s">
        <v>22</v>
      </c>
      <c r="I64" s="99" t="s">
        <v>22</v>
      </c>
      <c r="J64" s="28"/>
      <c r="K64" s="28"/>
      <c r="L64" s="54">
        <v>0.0</v>
      </c>
      <c r="M64" s="56">
        <v>0.0</v>
      </c>
    </row>
    <row r="65" ht="15.75" customHeight="1">
      <c r="A65" s="100" t="s">
        <v>165</v>
      </c>
      <c r="B65" s="101"/>
      <c r="C65" s="101"/>
      <c r="D65" s="102"/>
      <c r="E65" s="102"/>
      <c r="F65" s="103"/>
      <c r="G65" s="103"/>
      <c r="H65" s="104"/>
      <c r="I65" s="105"/>
      <c r="J65" s="49"/>
      <c r="K65" s="49"/>
      <c r="L65" s="101"/>
      <c r="M65" s="102"/>
    </row>
    <row r="66" ht="30.0" customHeight="1">
      <c r="A66" s="106" t="s">
        <v>167</v>
      </c>
      <c r="B66" s="107">
        <f>SUM(B6:B65, L65)</f>
        <v>244771</v>
      </c>
      <c r="C66" s="108">
        <f>SUM(C6:C63)</f>
        <v>29343</v>
      </c>
      <c r="D66" s="107">
        <f>SUM(D6:D65)</f>
        <v>6072</v>
      </c>
      <c r="E66" s="109">
        <f>SUM(E6:E63)</f>
        <v>1002</v>
      </c>
      <c r="F66" s="110">
        <f>DIVIDE(B3,A3)</f>
        <v>0.02480686029</v>
      </c>
      <c r="G66" s="111">
        <f t="shared" ref="G66:H66" si="4">SUM(G6:G63)</f>
        <v>4813</v>
      </c>
      <c r="H66" s="112">
        <f t="shared" si="4"/>
        <v>9359</v>
      </c>
      <c r="I66" s="113"/>
      <c r="J66" s="28"/>
      <c r="K66" s="28"/>
      <c r="L66" s="107">
        <f>SUM(L6:L65, V65)</f>
        <v>215428</v>
      </c>
      <c r="M66" s="107">
        <f>SUM(M6:M65)</f>
        <v>5070</v>
      </c>
    </row>
    <row r="67">
      <c r="A67" s="114"/>
      <c r="B67" s="115" t="s">
        <v>7</v>
      </c>
      <c r="C67" s="115" t="s">
        <v>8</v>
      </c>
      <c r="D67" s="115" t="s">
        <v>9</v>
      </c>
      <c r="E67" s="116" t="s">
        <v>11</v>
      </c>
      <c r="F67" s="116" t="s">
        <v>173</v>
      </c>
      <c r="G67" s="116" t="s">
        <v>13</v>
      </c>
      <c r="H67" s="116" t="s">
        <v>14</v>
      </c>
      <c r="I67" s="115" t="s">
        <v>15</v>
      </c>
      <c r="J67" s="6"/>
      <c r="K67" s="6"/>
      <c r="L67" s="115" t="s">
        <v>7</v>
      </c>
      <c r="M67" s="115" t="s">
        <v>9</v>
      </c>
    </row>
    <row r="68">
      <c r="A68" s="84"/>
      <c r="B68" s="85"/>
      <c r="C68" s="85"/>
      <c r="D68" s="85"/>
      <c r="E68" s="85"/>
      <c r="F68" s="85"/>
      <c r="G68" s="85"/>
      <c r="H68" s="85"/>
      <c r="I68" s="87"/>
      <c r="J68" s="6"/>
      <c r="K68" s="6"/>
      <c r="L68" s="85"/>
      <c r="M68" s="85"/>
    </row>
  </sheetData>
  <mergeCells count="2">
    <mergeCell ref="A1:H1"/>
    <mergeCell ref="E2:G2"/>
  </mergeCells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I2" s="9"/>
      <c r="J2" s="6"/>
      <c r="K2" s="6"/>
      <c r="L2" s="3" t="s">
        <v>2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1">
        <f>SUM(B17, B18)</f>
        <v>5116</v>
      </c>
      <c r="B3" s="11">
        <f>SUM(D17, D18)</f>
        <v>24</v>
      </c>
      <c r="C3" s="13">
        <f>SUM(H17, H18)</f>
        <v>520</v>
      </c>
      <c r="D3" s="11"/>
      <c r="E3" s="15">
        <f>MINUS(A3,B3 + C3)</f>
        <v>4572</v>
      </c>
      <c r="F3" s="15"/>
      <c r="G3" s="15"/>
      <c r="H3" s="5"/>
      <c r="I3" s="9"/>
      <c r="J3" s="6"/>
      <c r="K3" s="6"/>
      <c r="L3" s="11">
        <f>SUM(N17, N18)</f>
        <v>0</v>
      </c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6"/>
      <c r="B4" s="9"/>
      <c r="C4" s="9"/>
      <c r="D4" s="9"/>
      <c r="E4" s="9"/>
      <c r="F4" s="8"/>
      <c r="G4" s="8"/>
      <c r="H4" s="8"/>
      <c r="I4" s="9"/>
      <c r="J4" s="6"/>
      <c r="K4" s="6"/>
      <c r="L4" s="9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8" t="s">
        <v>6</v>
      </c>
      <c r="B5" s="19" t="s">
        <v>7</v>
      </c>
      <c r="C5" s="22" t="s">
        <v>8</v>
      </c>
      <c r="D5" s="19" t="s">
        <v>9</v>
      </c>
      <c r="E5" s="24" t="s">
        <v>11</v>
      </c>
      <c r="F5" s="24" t="s">
        <v>12</v>
      </c>
      <c r="G5" s="26" t="s">
        <v>13</v>
      </c>
      <c r="H5" s="26" t="s">
        <v>14</v>
      </c>
      <c r="I5" s="19" t="s">
        <v>15</v>
      </c>
      <c r="J5" s="28"/>
      <c r="K5" s="28"/>
      <c r="L5" s="19" t="s">
        <v>7</v>
      </c>
      <c r="M5" s="19" t="s">
        <v>9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ht="30.0" customHeight="1">
      <c r="A6" s="31" t="s">
        <v>17</v>
      </c>
      <c r="B6" s="33">
        <v>2298.0</v>
      </c>
      <c r="C6" s="37">
        <f t="shared" ref="C6:C15" si="1">MINUS(B6,L6)</f>
        <v>116</v>
      </c>
      <c r="D6" s="33">
        <v>10.0</v>
      </c>
      <c r="E6" s="39">
        <f t="shared" ref="E6:E13" si="2">MINUS(D6,M6)</f>
        <v>1</v>
      </c>
      <c r="F6" s="41">
        <f t="shared" ref="F6:F13" si="3">DIVIDE(D6, B6)</f>
        <v>0.004351610096</v>
      </c>
      <c r="G6" s="42">
        <v>43.0</v>
      </c>
      <c r="H6" s="44">
        <v>4.0</v>
      </c>
      <c r="I6" s="46" t="str">
        <f>HYPERLINK("https://www.health.nsw.gov.au/news/Pages/20200401_00.aspx","Source")</f>
        <v>Source</v>
      </c>
      <c r="J6" s="49"/>
      <c r="K6" s="28"/>
      <c r="L6" s="33">
        <v>2182.0</v>
      </c>
      <c r="M6" s="33">
        <v>9.0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ht="30.0" customHeight="1">
      <c r="A7" s="31" t="s">
        <v>19</v>
      </c>
      <c r="B7" s="33">
        <v>1036.0</v>
      </c>
      <c r="C7" s="37">
        <f t="shared" si="1"/>
        <v>68</v>
      </c>
      <c r="D7" s="55">
        <v>5.0</v>
      </c>
      <c r="E7" s="58">
        <f t="shared" si="2"/>
        <v>1</v>
      </c>
      <c r="F7" s="60">
        <f t="shared" si="3"/>
        <v>0.004826254826</v>
      </c>
      <c r="G7" s="44">
        <v>6.0</v>
      </c>
      <c r="H7" s="44">
        <v>422.0</v>
      </c>
      <c r="I7" s="46" t="str">
        <f>HYPERLINK("https://www.dhhs.vic.gov.au/coronavirus-update-victoria-2-april-2020","Source")</f>
        <v>Source</v>
      </c>
      <c r="J7" s="49"/>
      <c r="K7" s="28"/>
      <c r="L7" s="33">
        <v>968.0</v>
      </c>
      <c r="M7" s="55">
        <v>4.0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ht="30.0" customHeight="1">
      <c r="A8" s="30" t="s">
        <v>23</v>
      </c>
      <c r="B8" s="35">
        <v>835.0</v>
      </c>
      <c r="C8" s="37">
        <f t="shared" si="1"/>
        <v>54</v>
      </c>
      <c r="D8" s="65">
        <v>4.0</v>
      </c>
      <c r="E8" s="58">
        <f t="shared" si="2"/>
        <v>2</v>
      </c>
      <c r="F8" s="41">
        <f t="shared" si="3"/>
        <v>0.004790419162</v>
      </c>
      <c r="G8" s="44">
        <v>7.0</v>
      </c>
      <c r="H8" s="67">
        <v>8.0</v>
      </c>
      <c r="I8" s="47" t="str">
        <f>HYPERLINK("https://www.qld.gov.au/health/conditions/health-alerts/coronavirus-covid-19/current-status/current-status-and-contact-tracing-alerts","Source")</f>
        <v>Source</v>
      </c>
      <c r="J8" s="49"/>
      <c r="K8" s="28"/>
      <c r="L8" s="35">
        <v>781.0</v>
      </c>
      <c r="M8" s="65">
        <v>2.0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ht="30.0" customHeight="1">
      <c r="A9" s="31" t="s">
        <v>29</v>
      </c>
      <c r="B9" s="33">
        <v>400.0</v>
      </c>
      <c r="C9" s="37">
        <f t="shared" si="1"/>
        <v>8</v>
      </c>
      <c r="D9" s="55">
        <v>2.0</v>
      </c>
      <c r="E9" s="58">
        <f t="shared" si="2"/>
        <v>0</v>
      </c>
      <c r="F9" s="41">
        <f t="shared" si="3"/>
        <v>0.005</v>
      </c>
      <c r="G9" s="44">
        <v>14.0</v>
      </c>
      <c r="H9" s="44">
        <v>64.0</v>
      </c>
      <c r="I9" s="46" t="str">
        <f>HYPERLINK("https://twitter.com/Matt_Tinney/status/1245224980788301827","Source")</f>
        <v>Source</v>
      </c>
      <c r="J9" s="49"/>
      <c r="K9" s="28"/>
      <c r="L9" s="33">
        <v>392.0</v>
      </c>
      <c r="M9" s="55">
        <v>2.0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ht="30.0" customHeight="1">
      <c r="A10" s="31" t="s">
        <v>32</v>
      </c>
      <c r="B10" s="33">
        <v>367.0</v>
      </c>
      <c r="C10" s="37">
        <f t="shared" si="1"/>
        <v>0</v>
      </c>
      <c r="D10" s="55">
        <v>0.0</v>
      </c>
      <c r="E10" s="58">
        <f t="shared" si="2"/>
        <v>0</v>
      </c>
      <c r="F10" s="60">
        <f t="shared" si="3"/>
        <v>0</v>
      </c>
      <c r="G10" s="44">
        <v>8.0</v>
      </c>
      <c r="H10" s="44">
        <v>6.0</v>
      </c>
      <c r="I10" s="46" t="str">
        <f>HYPERLINK("https://twitter.com/theTiser/status/1245225965988409344","Source")</f>
        <v>Source</v>
      </c>
      <c r="J10" s="49"/>
      <c r="K10" s="28"/>
      <c r="L10" s="33">
        <v>367.0</v>
      </c>
      <c r="M10" s="55">
        <v>0.0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ht="30.0" customHeight="1">
      <c r="A11" s="31" t="s">
        <v>35</v>
      </c>
      <c r="B11" s="33">
        <v>87.0</v>
      </c>
      <c r="C11" s="37">
        <f t="shared" si="1"/>
        <v>4</v>
      </c>
      <c r="D11" s="55">
        <v>1.0</v>
      </c>
      <c r="E11" s="58">
        <f t="shared" si="2"/>
        <v>0</v>
      </c>
      <c r="F11" s="60">
        <f t="shared" si="3"/>
        <v>0.01149425287</v>
      </c>
      <c r="G11" s="44" t="s">
        <v>22</v>
      </c>
      <c r="H11" s="44">
        <v>11.0</v>
      </c>
      <c r="I11" s="46" t="str">
        <f>HYPERLINK("https://www.covid19.act.gov.au/news-articles/covid-19-update-1-april-2020","Source")</f>
        <v>Source</v>
      </c>
      <c r="J11" s="49"/>
      <c r="K11" s="28"/>
      <c r="L11" s="33">
        <v>83.0</v>
      </c>
      <c r="M11" s="55">
        <v>1.0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ht="30.0" customHeight="1">
      <c r="A12" s="31" t="s">
        <v>40</v>
      </c>
      <c r="B12" s="33">
        <v>72.0</v>
      </c>
      <c r="C12" s="37">
        <f t="shared" si="1"/>
        <v>1</v>
      </c>
      <c r="D12" s="55">
        <v>2.0</v>
      </c>
      <c r="E12" s="58">
        <f t="shared" si="2"/>
        <v>0</v>
      </c>
      <c r="F12" s="41">
        <f t="shared" si="3"/>
        <v>0.02777777778</v>
      </c>
      <c r="G12" s="44" t="s">
        <v>22</v>
      </c>
      <c r="H12" s="44">
        <v>5.0</v>
      </c>
      <c r="I12" s="46" t="str">
        <f>HYPERLINK("https://twitter.com/emlybkr/status/1245477642884624384","Source")</f>
        <v>Source</v>
      </c>
      <c r="J12" s="49"/>
      <c r="K12" s="28"/>
      <c r="L12" s="33">
        <v>71.0</v>
      </c>
      <c r="M12" s="55">
        <v>2.0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ht="30.0" customHeight="1">
      <c r="A13" s="31" t="s">
        <v>43</v>
      </c>
      <c r="B13" s="33">
        <v>21.0</v>
      </c>
      <c r="C13" s="37">
        <f t="shared" si="1"/>
        <v>2</v>
      </c>
      <c r="D13" s="55">
        <v>0.0</v>
      </c>
      <c r="E13" s="58">
        <f t="shared" si="2"/>
        <v>0</v>
      </c>
      <c r="F13" s="60">
        <f t="shared" si="3"/>
        <v>0</v>
      </c>
      <c r="G13" s="44" t="s">
        <v>22</v>
      </c>
      <c r="H13" s="44" t="s">
        <v>22</v>
      </c>
      <c r="I13" s="46" t="str">
        <f>HYPERLINK("http://mediareleases.nt.gov.au/mediaRelease/32148","Source")</f>
        <v>Source</v>
      </c>
      <c r="J13" s="49"/>
      <c r="K13" s="28"/>
      <c r="L13" s="33">
        <v>19.0</v>
      </c>
      <c r="M13" s="55">
        <v>0.0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ht="30.0" customHeight="1">
      <c r="A14" s="31" t="s">
        <v>46</v>
      </c>
      <c r="B14" s="33">
        <v>0.0</v>
      </c>
      <c r="C14" s="37">
        <f t="shared" si="1"/>
        <v>0</v>
      </c>
      <c r="D14" s="55">
        <v>0.0</v>
      </c>
      <c r="E14" s="39">
        <f t="shared" ref="E14:E15" si="4">MINUS(D14,L14)</f>
        <v>0</v>
      </c>
      <c r="F14" s="73" t="s">
        <v>49</v>
      </c>
      <c r="G14" s="44">
        <v>0.0</v>
      </c>
      <c r="H14" s="44">
        <v>0.0</v>
      </c>
      <c r="I14" s="74"/>
      <c r="J14" s="28"/>
      <c r="K14" s="28"/>
      <c r="L14" s="33">
        <v>0.0</v>
      </c>
      <c r="M14" s="55">
        <v>0.0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ht="30.0" customHeight="1">
      <c r="A15" s="31" t="s">
        <v>53</v>
      </c>
      <c r="B15" s="33">
        <v>0.0</v>
      </c>
      <c r="C15" s="37">
        <f t="shared" si="1"/>
        <v>0</v>
      </c>
      <c r="D15" s="55">
        <v>0.0</v>
      </c>
      <c r="E15" s="39">
        <f t="shared" si="4"/>
        <v>0</v>
      </c>
      <c r="F15" s="75" t="s">
        <v>49</v>
      </c>
      <c r="G15" s="44">
        <v>0.0</v>
      </c>
      <c r="H15" s="44">
        <v>0.0</v>
      </c>
      <c r="I15" s="74"/>
      <c r="J15" s="28"/>
      <c r="K15" s="28"/>
      <c r="L15" s="33">
        <v>0.0</v>
      </c>
      <c r="M15" s="55">
        <v>0.0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ht="12.75" customHeight="1">
      <c r="A16" s="76"/>
      <c r="B16" s="77"/>
      <c r="C16" s="76"/>
      <c r="D16" s="78"/>
      <c r="E16" s="76"/>
      <c r="F16" s="79"/>
      <c r="G16" s="79"/>
      <c r="H16" s="79"/>
      <c r="I16" s="80"/>
      <c r="J16" s="28"/>
      <c r="K16" s="28"/>
      <c r="L16" s="77"/>
      <c r="M16" s="78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ht="30.0" customHeight="1">
      <c r="A17" s="81" t="s">
        <v>60</v>
      </c>
      <c r="B17" s="82">
        <f>SUM(B6:B15)</f>
        <v>5116</v>
      </c>
      <c r="C17" s="37">
        <f>MINUS(B17,L17)</f>
        <v>253</v>
      </c>
      <c r="D17" s="82">
        <f>SUM(D6:D15)</f>
        <v>24</v>
      </c>
      <c r="E17" s="39">
        <f>MINUS(D17,M17)</f>
        <v>4</v>
      </c>
      <c r="F17" s="41">
        <f>DIVIDE(D17, B17)</f>
        <v>0.004691164973</v>
      </c>
      <c r="G17" s="82">
        <f t="shared" ref="G17:H17" si="5">SUM(G6:G15)</f>
        <v>78</v>
      </c>
      <c r="H17" s="82">
        <f t="shared" si="5"/>
        <v>520</v>
      </c>
      <c r="I17" s="83"/>
      <c r="J17" s="28"/>
      <c r="K17" s="28"/>
      <c r="L17" s="82">
        <f t="shared" ref="L17:M17" si="6">SUM(L6:L15)</f>
        <v>4863</v>
      </c>
      <c r="M17" s="82">
        <f t="shared" si="6"/>
        <v>20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84"/>
      <c r="B18" s="85"/>
      <c r="C18" s="85"/>
      <c r="D18" s="85"/>
      <c r="E18" s="85"/>
      <c r="F18" s="86"/>
      <c r="G18" s="86"/>
      <c r="H18" s="85"/>
      <c r="I18" s="87"/>
      <c r="J18" s="6"/>
      <c r="K18" s="6"/>
      <c r="L18" s="85"/>
      <c r="M18" s="8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88"/>
      <c r="B19" s="89"/>
      <c r="C19" s="89"/>
      <c r="D19" s="10"/>
      <c r="E19" s="10"/>
      <c r="F19" s="10"/>
      <c r="G19" s="10"/>
      <c r="H19" s="10"/>
      <c r="I19" s="4"/>
      <c r="J19" s="6"/>
      <c r="K19" s="6"/>
      <c r="L19" s="89"/>
      <c r="M19" s="1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90"/>
      <c r="B20" s="10"/>
      <c r="C20" s="10"/>
      <c r="D20" s="10"/>
      <c r="E20" s="10"/>
      <c r="F20" s="10"/>
      <c r="G20" s="10"/>
      <c r="H20" s="10"/>
      <c r="I20" s="4"/>
      <c r="J20" s="4"/>
      <c r="K20" s="4"/>
      <c r="L20" s="10"/>
      <c r="M20" s="1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90"/>
      <c r="B21" s="10"/>
      <c r="C21" s="10"/>
      <c r="D21" s="10"/>
      <c r="E21" s="10"/>
      <c r="F21" s="10"/>
      <c r="G21" s="10"/>
      <c r="H21" s="10"/>
      <c r="I21" s="4"/>
      <c r="J21" s="4"/>
      <c r="K21" s="4"/>
      <c r="L21" s="10"/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I2" s="9"/>
      <c r="J2" s="4"/>
      <c r="K2" s="4"/>
      <c r="L2" s="3" t="s">
        <v>2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">
        <f>SUM(B20, B21)</f>
        <v>11283</v>
      </c>
      <c r="B3" s="11">
        <f>SUM(D20, D21)</f>
        <v>138</v>
      </c>
      <c r="C3" s="13">
        <f>SUM(H20, H21)</f>
        <v>1764</v>
      </c>
      <c r="D3" s="11"/>
      <c r="E3" s="15">
        <f>MINUS(A3,B3 + C3)</f>
        <v>9381</v>
      </c>
      <c r="F3" s="15"/>
      <c r="G3" s="15"/>
      <c r="H3" s="5"/>
      <c r="I3" s="9"/>
      <c r="J3" s="6"/>
      <c r="K3" s="4"/>
      <c r="L3" s="11">
        <f>SUM(N20, N21)</f>
        <v>0</v>
      </c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6"/>
      <c r="B4" s="9"/>
      <c r="C4" s="9"/>
      <c r="D4" s="9"/>
      <c r="E4" s="9"/>
      <c r="F4" s="8"/>
      <c r="G4" s="8"/>
      <c r="H4" s="8"/>
      <c r="I4" s="9"/>
      <c r="J4" s="6"/>
      <c r="K4" s="4"/>
      <c r="L4" s="9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18" t="s">
        <v>90</v>
      </c>
      <c r="B5" s="19" t="s">
        <v>7</v>
      </c>
      <c r="C5" s="22" t="s">
        <v>8</v>
      </c>
      <c r="D5" s="19" t="s">
        <v>9</v>
      </c>
      <c r="E5" s="24" t="s">
        <v>11</v>
      </c>
      <c r="F5" s="24" t="s">
        <v>12</v>
      </c>
      <c r="G5" s="26" t="s">
        <v>13</v>
      </c>
      <c r="H5" s="26" t="s">
        <v>14</v>
      </c>
      <c r="I5" s="19" t="s">
        <v>15</v>
      </c>
      <c r="J5" s="28"/>
      <c r="K5" s="28"/>
      <c r="L5" s="19" t="s">
        <v>7</v>
      </c>
      <c r="M5" s="19" t="s">
        <v>9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30.0" customHeight="1">
      <c r="A6" s="31" t="s">
        <v>93</v>
      </c>
      <c r="B6" s="33">
        <v>5518.0</v>
      </c>
      <c r="C6" s="37">
        <f t="shared" ref="C6:C20" si="1">MINUS(B6,L6)</f>
        <v>907</v>
      </c>
      <c r="D6" s="55">
        <v>36.0</v>
      </c>
      <c r="E6" s="58">
        <f t="shared" ref="E6:E20" si="2">MINUS(D6,M6)</f>
        <v>3</v>
      </c>
      <c r="F6" s="41">
        <f t="shared" ref="F6:F18" si="3">DIVIDE(D6, B6)</f>
        <v>0.006524102936</v>
      </c>
      <c r="G6" s="44" t="s">
        <v>22</v>
      </c>
      <c r="H6" s="44">
        <v>29.0</v>
      </c>
      <c r="I6" s="46" t="str">
        <f>HYPERLINK("https://twitter.com/sante_qc/status/1245759281120653314","Source")</f>
        <v>Source</v>
      </c>
      <c r="J6" s="50"/>
      <c r="K6" s="28"/>
      <c r="L6" s="33">
        <v>4611.0</v>
      </c>
      <c r="M6" s="55">
        <v>33.0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30.0" customHeight="1">
      <c r="A7" s="30" t="s">
        <v>100</v>
      </c>
      <c r="B7" s="35">
        <v>2793.0</v>
      </c>
      <c r="C7" s="37">
        <f t="shared" si="1"/>
        <v>401</v>
      </c>
      <c r="D7" s="65">
        <v>53.0</v>
      </c>
      <c r="E7" s="58">
        <f t="shared" si="2"/>
        <v>16</v>
      </c>
      <c r="F7" s="59">
        <f t="shared" si="3"/>
        <v>0.01897601146</v>
      </c>
      <c r="G7" s="44" t="s">
        <v>22</v>
      </c>
      <c r="H7" s="67">
        <v>831.0</v>
      </c>
      <c r="I7" s="47" t="str">
        <f>HYPERLINK("https://www.ontario.ca/page/2019-novel-coronavirus","Source")</f>
        <v>Source</v>
      </c>
      <c r="J7" s="50"/>
      <c r="K7" s="28"/>
      <c r="L7" s="35">
        <v>2392.0</v>
      </c>
      <c r="M7" s="65">
        <v>37.0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30.0" customHeight="1">
      <c r="A8" s="31" t="s">
        <v>104</v>
      </c>
      <c r="B8" s="33">
        <v>1121.0</v>
      </c>
      <c r="C8" s="37">
        <f t="shared" si="1"/>
        <v>55</v>
      </c>
      <c r="D8" s="33">
        <v>31.0</v>
      </c>
      <c r="E8" s="39">
        <f t="shared" si="2"/>
        <v>6</v>
      </c>
      <c r="F8" s="41">
        <f t="shared" si="3"/>
        <v>0.02765388046</v>
      </c>
      <c r="G8" s="42">
        <v>60.0</v>
      </c>
      <c r="H8" s="44">
        <v>641.0</v>
      </c>
      <c r="I8" s="46" t="str">
        <f>HYPERLINK("http://www.bccdc.ca/about/news-stories/stories/2020/information-on-novel-coronavirus","Source")</f>
        <v>Source</v>
      </c>
      <c r="J8" s="50"/>
      <c r="K8" s="28"/>
      <c r="L8" s="33">
        <v>1066.0</v>
      </c>
      <c r="M8" s="33">
        <v>25.0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30.0" customHeight="1">
      <c r="A9" s="31" t="s">
        <v>107</v>
      </c>
      <c r="B9" s="33">
        <v>968.0</v>
      </c>
      <c r="C9" s="37">
        <f t="shared" si="1"/>
        <v>97</v>
      </c>
      <c r="D9" s="55">
        <v>13.0</v>
      </c>
      <c r="E9" s="58">
        <f t="shared" si="2"/>
        <v>2</v>
      </c>
      <c r="F9" s="59">
        <f t="shared" si="3"/>
        <v>0.01342975207</v>
      </c>
      <c r="G9" s="44">
        <v>14.0</v>
      </c>
      <c r="H9" s="44">
        <v>174.0</v>
      </c>
      <c r="I9" s="46" t="str">
        <f>HYPERLINK("https://www.alberta.ca/release.cfm?xID=699906588AA0F-F424-1274-777C4D263DE727B6","Source")</f>
        <v>Source</v>
      </c>
      <c r="J9" s="50"/>
      <c r="K9" s="28"/>
      <c r="L9" s="33">
        <v>871.0</v>
      </c>
      <c r="M9" s="55">
        <v>11.0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30.0" customHeight="1">
      <c r="A10" s="31" t="s">
        <v>113</v>
      </c>
      <c r="B10" s="33">
        <v>206.0</v>
      </c>
      <c r="C10" s="37">
        <f t="shared" si="1"/>
        <v>13</v>
      </c>
      <c r="D10" s="55">
        <v>3.0</v>
      </c>
      <c r="E10" s="58">
        <f t="shared" si="2"/>
        <v>0</v>
      </c>
      <c r="F10" s="41">
        <f t="shared" si="3"/>
        <v>0.0145631068</v>
      </c>
      <c r="G10" s="44">
        <v>2.0</v>
      </c>
      <c r="H10" s="44">
        <v>30.0</v>
      </c>
      <c r="I10" s="46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50"/>
      <c r="K10" s="28"/>
      <c r="L10" s="33">
        <v>193.0</v>
      </c>
      <c r="M10" s="55">
        <v>3.0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30.0" customHeight="1">
      <c r="A11" s="31" t="s">
        <v>117</v>
      </c>
      <c r="B11" s="33">
        <v>183.0</v>
      </c>
      <c r="C11" s="37">
        <f t="shared" si="1"/>
        <v>8</v>
      </c>
      <c r="D11" s="55">
        <v>1.0</v>
      </c>
      <c r="E11" s="58">
        <f t="shared" si="2"/>
        <v>0</v>
      </c>
      <c r="F11" s="59">
        <f t="shared" si="3"/>
        <v>0.005464480874</v>
      </c>
      <c r="G11" s="44">
        <v>4.0</v>
      </c>
      <c r="H11" s="44">
        <v>10.0</v>
      </c>
      <c r="I11" s="46" t="str">
        <f>HYPERLINK("https://www.gov.nl.ca/covid-19/pandemic-update/","Source")</f>
        <v>Source</v>
      </c>
      <c r="J11" s="50"/>
      <c r="K11" s="94"/>
      <c r="L11" s="33">
        <v>175.0</v>
      </c>
      <c r="M11" s="55">
        <v>1.0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30.0" customHeight="1">
      <c r="A12" s="31" t="s">
        <v>123</v>
      </c>
      <c r="B12" s="33">
        <v>193.0</v>
      </c>
      <c r="C12" s="37">
        <f t="shared" si="1"/>
        <v>20</v>
      </c>
      <c r="D12" s="55">
        <v>0.0</v>
      </c>
      <c r="E12" s="58">
        <f t="shared" si="2"/>
        <v>0</v>
      </c>
      <c r="F12" s="41">
        <f t="shared" si="3"/>
        <v>0</v>
      </c>
      <c r="G12" s="44" t="s">
        <v>22</v>
      </c>
      <c r="H12" s="44">
        <v>10.0</v>
      </c>
      <c r="I12" s="46" t="str">
        <f>HYPERLINK("https://novascotia.ca/coronavirus/#alerts","Source")</f>
        <v>Source</v>
      </c>
      <c r="J12" s="29"/>
      <c r="K12" s="28"/>
      <c r="L12" s="33">
        <v>173.0</v>
      </c>
      <c r="M12" s="55">
        <v>0.0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30.0" customHeight="1">
      <c r="A13" s="31" t="s">
        <v>127</v>
      </c>
      <c r="B13" s="33">
        <v>167.0</v>
      </c>
      <c r="C13" s="37">
        <f t="shared" si="1"/>
        <v>40</v>
      </c>
      <c r="D13" s="55">
        <v>1.0</v>
      </c>
      <c r="E13" s="58">
        <f t="shared" si="2"/>
        <v>0</v>
      </c>
      <c r="F13" s="41">
        <f t="shared" si="3"/>
        <v>0.005988023952</v>
      </c>
      <c r="G13" s="44">
        <v>4.0</v>
      </c>
      <c r="H13" s="44">
        <v>11.0</v>
      </c>
      <c r="I13" s="46" t="str">
        <f>HYPERLINK("https://www.gov.mb.ca/covid19/","Source")</f>
        <v>Source</v>
      </c>
      <c r="J13" s="50"/>
      <c r="K13" s="28"/>
      <c r="L13" s="33">
        <v>127.0</v>
      </c>
      <c r="M13" s="55">
        <v>1.0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30.0" customHeight="1">
      <c r="A14" s="31" t="s">
        <v>131</v>
      </c>
      <c r="B14" s="33">
        <v>91.0</v>
      </c>
      <c r="C14" s="37">
        <f t="shared" si="1"/>
        <v>10</v>
      </c>
      <c r="D14" s="55">
        <v>0.0</v>
      </c>
      <c r="E14" s="58">
        <f t="shared" si="2"/>
        <v>0</v>
      </c>
      <c r="F14" s="59">
        <f t="shared" si="3"/>
        <v>0</v>
      </c>
      <c r="G14" s="44" t="s">
        <v>22</v>
      </c>
      <c r="H14" s="44">
        <v>22.0</v>
      </c>
      <c r="I14" s="46" t="str">
        <f>HYPERLINK("https://www2.gnb.ca/content/gnb/en/departments/ocmoh/cdc/content/respiratory_diseases/coronavirus.html","Source")</f>
        <v>Source</v>
      </c>
      <c r="J14" s="28"/>
      <c r="K14" s="28"/>
      <c r="L14" s="33">
        <v>81.0</v>
      </c>
      <c r="M14" s="55">
        <v>0.0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30.0" customHeight="1">
      <c r="A15" s="31" t="s">
        <v>135</v>
      </c>
      <c r="B15" s="33">
        <v>22.0</v>
      </c>
      <c r="C15" s="37">
        <f t="shared" si="1"/>
        <v>1</v>
      </c>
      <c r="D15" s="55">
        <v>0.0</v>
      </c>
      <c r="E15" s="58">
        <f t="shared" si="2"/>
        <v>0</v>
      </c>
      <c r="F15" s="41">
        <f t="shared" si="3"/>
        <v>0</v>
      </c>
      <c r="G15" s="44" t="s">
        <v>22</v>
      </c>
      <c r="H15" s="44">
        <v>3.0</v>
      </c>
      <c r="I15" s="46" t="str">
        <f>HYPERLINK("https://www.princeedwardisland.ca/en/topic/covid-19","Source")</f>
        <v>Source</v>
      </c>
      <c r="J15" s="28"/>
      <c r="K15" s="28"/>
      <c r="L15" s="33">
        <v>21.0</v>
      </c>
      <c r="M15" s="55">
        <v>0.0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30.0" customHeight="1">
      <c r="A16" s="31" t="s">
        <v>141</v>
      </c>
      <c r="B16" s="33">
        <v>13.0</v>
      </c>
      <c r="C16" s="37">
        <f t="shared" si="1"/>
        <v>0</v>
      </c>
      <c r="D16" s="55">
        <v>0.0</v>
      </c>
      <c r="E16" s="58">
        <f t="shared" si="2"/>
        <v>0</v>
      </c>
      <c r="F16" s="59">
        <f t="shared" si="3"/>
        <v>0</v>
      </c>
      <c r="G16" s="44" t="s">
        <v>22</v>
      </c>
      <c r="H16" s="44" t="s">
        <v>22</v>
      </c>
      <c r="I16" s="46" t="str">
        <f>HYPERLINK("https://www.canada.ca/en/public-health/services/diseases/2019-novel-coronavirus-infection.html#a1","Source")</f>
        <v>Source</v>
      </c>
      <c r="J16" s="28"/>
      <c r="K16" s="28"/>
      <c r="L16" s="33">
        <v>13.0</v>
      </c>
      <c r="M16" s="55">
        <v>0.0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30.0" customHeight="1">
      <c r="A17" s="31" t="s">
        <v>144</v>
      </c>
      <c r="B17" s="33">
        <v>6.0</v>
      </c>
      <c r="C17" s="37">
        <f t="shared" si="1"/>
        <v>0</v>
      </c>
      <c r="D17" s="55">
        <v>0.0</v>
      </c>
      <c r="E17" s="58">
        <f t="shared" si="2"/>
        <v>0</v>
      </c>
      <c r="F17" s="59">
        <f t="shared" si="3"/>
        <v>0</v>
      </c>
      <c r="G17" s="44" t="s">
        <v>22</v>
      </c>
      <c r="H17" s="44">
        <v>3.0</v>
      </c>
      <c r="I17" s="46" t="str">
        <f>HYPERLINK("https://yukon.ca/covid-19","Source")</f>
        <v>Source</v>
      </c>
      <c r="J17" s="28"/>
      <c r="K17" s="28"/>
      <c r="L17" s="33">
        <v>6.0</v>
      </c>
      <c r="M17" s="55">
        <v>0.0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30.0" customHeight="1">
      <c r="A18" s="31" t="s">
        <v>148</v>
      </c>
      <c r="B18" s="33">
        <v>2.0</v>
      </c>
      <c r="C18" s="37">
        <f t="shared" si="1"/>
        <v>0</v>
      </c>
      <c r="D18" s="55">
        <v>0.0</v>
      </c>
      <c r="E18" s="58">
        <f t="shared" si="2"/>
        <v>0</v>
      </c>
      <c r="F18" s="41">
        <f t="shared" si="3"/>
        <v>0</v>
      </c>
      <c r="G18" s="44" t="s">
        <v>22</v>
      </c>
      <c r="H18" s="44" t="s">
        <v>22</v>
      </c>
      <c r="I18" s="46" t="str">
        <f>HYPERLINK("https://www.cbc.ca/news/canada/north/nwt-first-case-covid19-1.5505701","Source")</f>
        <v>Source</v>
      </c>
      <c r="J18" s="28"/>
      <c r="K18" s="28"/>
      <c r="L18" s="33">
        <v>2.0</v>
      </c>
      <c r="M18" s="55">
        <v>0.0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30.0" customHeight="1">
      <c r="A19" s="31" t="s">
        <v>152</v>
      </c>
      <c r="B19" s="33">
        <v>0.0</v>
      </c>
      <c r="C19" s="37">
        <f t="shared" si="1"/>
        <v>0</v>
      </c>
      <c r="D19" s="55">
        <v>0.0</v>
      </c>
      <c r="E19" s="58">
        <f t="shared" si="2"/>
        <v>0</v>
      </c>
      <c r="F19" s="97" t="s">
        <v>49</v>
      </c>
      <c r="G19" s="44" t="s">
        <v>49</v>
      </c>
      <c r="H19" s="44" t="s">
        <v>49</v>
      </c>
      <c r="I19" s="46" t="str">
        <f>HYPERLINK("https://www.gov.nu.ca/health/information/covid-19-novel-coronavirus","Source")</f>
        <v>Source</v>
      </c>
      <c r="J19" s="28"/>
      <c r="K19" s="28"/>
      <c r="L19" s="33">
        <v>0.0</v>
      </c>
      <c r="M19" s="55">
        <v>0.0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30.0" customHeight="1">
      <c r="A20" s="81" t="s">
        <v>60</v>
      </c>
      <c r="B20" s="82">
        <f>SUM(B6:B19)</f>
        <v>11283</v>
      </c>
      <c r="C20" s="37">
        <f t="shared" si="1"/>
        <v>1552</v>
      </c>
      <c r="D20" s="82">
        <f>SUM(D6:D19)</f>
        <v>138</v>
      </c>
      <c r="E20" s="39">
        <f t="shared" si="2"/>
        <v>27</v>
      </c>
      <c r="F20" s="41">
        <f>DIVIDE(D20, B20)</f>
        <v>0.01223078968</v>
      </c>
      <c r="G20" s="82">
        <f t="shared" ref="G20:H20" si="4">SUM(G6:G19)</f>
        <v>84</v>
      </c>
      <c r="H20" s="82">
        <f t="shared" si="4"/>
        <v>1764</v>
      </c>
      <c r="I20" s="83"/>
      <c r="J20" s="28"/>
      <c r="K20" s="28"/>
      <c r="L20" s="82">
        <f t="shared" ref="L20:M20" si="5">SUM(L6:L19)</f>
        <v>9731</v>
      </c>
      <c r="M20" s="82">
        <f t="shared" si="5"/>
        <v>111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90"/>
      <c r="B21" s="10"/>
      <c r="C21" s="10"/>
      <c r="D21" s="10"/>
      <c r="E21" s="10"/>
      <c r="F21" s="10"/>
      <c r="G21" s="10"/>
      <c r="H21" s="10"/>
      <c r="I21" s="4"/>
      <c r="J21" s="6"/>
      <c r="K21" s="6"/>
      <c r="L21" s="10"/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8"/>
      <c r="B22" s="89"/>
      <c r="C22" s="89"/>
      <c r="D22" s="10"/>
      <c r="E22" s="10"/>
      <c r="F22" s="10"/>
      <c r="G22" s="10"/>
      <c r="H22" s="10"/>
      <c r="I22" s="4"/>
      <c r="J22" s="6"/>
      <c r="K22" s="6"/>
      <c r="L22" s="89"/>
      <c r="M22" s="10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0"/>
      <c r="B23" s="10"/>
      <c r="C23" s="10"/>
      <c r="D23" s="10"/>
      <c r="E23" s="10"/>
      <c r="F23" s="10"/>
      <c r="G23" s="10"/>
      <c r="H23" s="10"/>
      <c r="I23" s="4"/>
      <c r="J23" s="6"/>
      <c r="K23" s="6"/>
      <c r="L23" s="10"/>
      <c r="M23" s="1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0"/>
      <c r="B24" s="10"/>
      <c r="C24" s="10"/>
      <c r="D24" s="10"/>
      <c r="E24" s="10"/>
      <c r="F24" s="10"/>
      <c r="G24" s="10"/>
      <c r="H24" s="10"/>
      <c r="I24" s="4"/>
      <c r="J24" s="4"/>
      <c r="K24" s="4"/>
      <c r="L24" s="10"/>
      <c r="M24" s="1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7" t="s">
        <v>172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1">
        <f t="shared" ref="A3:B3" si="1">SUM(B15, B16)</f>
        <v>83185</v>
      </c>
      <c r="B3" s="11">
        <f t="shared" si="1"/>
        <v>3318</v>
      </c>
      <c r="D3" s="13">
        <f>SUM(F15, F16)</f>
        <v>76412</v>
      </c>
      <c r="F3" s="15">
        <f>MINUS(A3,B3 + D3)</f>
        <v>3455</v>
      </c>
      <c r="G3" s="15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9"/>
      <c r="C4" s="9"/>
      <c r="D4" s="8"/>
      <c r="E4" s="8"/>
      <c r="F4" s="8"/>
      <c r="G4" s="9"/>
      <c r="H4" s="6"/>
      <c r="I4" s="6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17" t="s">
        <v>177</v>
      </c>
      <c r="B5" s="118" t="s">
        <v>7</v>
      </c>
      <c r="C5" s="118" t="s">
        <v>9</v>
      </c>
      <c r="D5" s="119" t="s">
        <v>183</v>
      </c>
      <c r="E5" s="119" t="s">
        <v>184</v>
      </c>
      <c r="F5" s="119" t="s">
        <v>14</v>
      </c>
      <c r="G5" s="118"/>
      <c r="H5" s="28"/>
      <c r="I5" s="28"/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ht="30.0" customHeight="1">
      <c r="A6" s="76" t="s">
        <v>192</v>
      </c>
      <c r="B6" s="77">
        <v>67802.0</v>
      </c>
      <c r="C6" s="77">
        <v>3199.0</v>
      </c>
      <c r="D6" s="121">
        <v>435.0</v>
      </c>
      <c r="E6" s="79" t="s">
        <v>22</v>
      </c>
      <c r="F6" s="121">
        <v>63326.0</v>
      </c>
      <c r="G6" s="122" t="str">
        <f>HYPERLINK("http://www.nhc.gov.cn/yjb/s7860/202004/28668f987f3a4e58b1a2a75db60d8cf2.shtml","Source")</f>
        <v>Source</v>
      </c>
      <c r="H6" s="93"/>
      <c r="I6" s="28"/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ht="30.0" customHeight="1">
      <c r="A7" s="123" t="s">
        <v>200</v>
      </c>
      <c r="B7" s="124">
        <v>1450.0</v>
      </c>
      <c r="C7" s="125">
        <v>8.0</v>
      </c>
      <c r="D7" s="126">
        <v>2.0</v>
      </c>
      <c r="E7" s="126">
        <v>4.0</v>
      </c>
      <c r="F7" s="127">
        <v>1357.0</v>
      </c>
      <c r="G7" s="129" t="str">
        <f>HYPERLINK("http://wsjkw.gd.gov.cn/zwyw_yqxx/content/post_2963066.html","Source")</f>
        <v>Source</v>
      </c>
      <c r="H7" s="28"/>
      <c r="I7" s="28"/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ht="30.0" customHeight="1">
      <c r="A8" s="76" t="s">
        <v>211</v>
      </c>
      <c r="B8" s="77">
        <v>1276.0</v>
      </c>
      <c r="C8" s="78">
        <v>22.0</v>
      </c>
      <c r="D8" s="79">
        <v>0.0</v>
      </c>
      <c r="E8" s="79">
        <v>0.0</v>
      </c>
      <c r="F8" s="121">
        <v>1251.0</v>
      </c>
      <c r="G8" s="122" t="str">
        <f>HYPERLINK("https://m.weibo.cn/detail/4488452735550800","Source")</f>
        <v>Source</v>
      </c>
      <c r="H8" s="93"/>
      <c r="I8" s="28"/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ht="30.0" customHeight="1">
      <c r="A9" s="76" t="s">
        <v>213</v>
      </c>
      <c r="B9" s="77">
        <v>1257.0</v>
      </c>
      <c r="C9" s="78">
        <v>1.0</v>
      </c>
      <c r="D9" s="79" t="s">
        <v>22</v>
      </c>
      <c r="E9" s="79" t="s">
        <v>22</v>
      </c>
      <c r="F9" s="121">
        <v>1226.0</v>
      </c>
      <c r="G9" s="130" t="str">
        <f>HYPERLINK("http://www.bjnews.com.cn/feature/2020/03/31/711060.html","Source")</f>
        <v>Source</v>
      </c>
      <c r="H9" s="28"/>
      <c r="I9" s="28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ht="30.0" customHeight="1">
      <c r="A10" s="76" t="s">
        <v>215</v>
      </c>
      <c r="B10" s="77">
        <v>1018.0</v>
      </c>
      <c r="C10" s="78">
        <v>4.0</v>
      </c>
      <c r="D10" s="79">
        <v>0.0</v>
      </c>
      <c r="E10" s="79">
        <v>0.0</v>
      </c>
      <c r="F10" s="121">
        <v>1014.0</v>
      </c>
      <c r="G10" s="122" t="str">
        <f>HYPERLINK("http://wjw.hunan.gov.cn/wjw/xxgk/gzdt/zyxw_1/202003/t20200331_11867420.html","Source")</f>
        <v>Source</v>
      </c>
      <c r="H10" s="28"/>
      <c r="I10" s="28"/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ht="30.0" customHeight="1">
      <c r="A11" s="76" t="s">
        <v>216</v>
      </c>
      <c r="B11" s="77">
        <v>580.0</v>
      </c>
      <c r="C11" s="78">
        <v>8.0</v>
      </c>
      <c r="D11" s="79" t="s">
        <v>22</v>
      </c>
      <c r="E11" s="79" t="s">
        <v>22</v>
      </c>
      <c r="F11" s="79">
        <v>418.0</v>
      </c>
      <c r="G11" s="130" t="str">
        <f>HYPERLINK("http://wjw.beijing.gov.cn/xwzx_20031/wnxw/202004/t20200401_1771919.html","Source")</f>
        <v>Source</v>
      </c>
      <c r="H11" s="28"/>
      <c r="I11" s="28"/>
      <c r="J11" s="28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ht="30.0" customHeight="1">
      <c r="A12" s="76" t="s">
        <v>218</v>
      </c>
      <c r="B12" s="77">
        <v>516.0</v>
      </c>
      <c r="C12" s="78">
        <v>6.0</v>
      </c>
      <c r="D12" s="79">
        <v>0.0</v>
      </c>
      <c r="E12" s="79">
        <v>5.0</v>
      </c>
      <c r="F12" s="79">
        <v>341.0</v>
      </c>
      <c r="G12" s="122" t="str">
        <f>HYPERLINK("http://wsjkw.sh.gov.cn/xwfb/20200401/50133c67b43d4c91a884d6de41dfce23.html","Source")</f>
        <v>Source</v>
      </c>
      <c r="H12" s="28"/>
      <c r="I12" s="28"/>
      <c r="J12" s="28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ht="30.0" customHeight="1">
      <c r="A13" s="76" t="s">
        <v>220</v>
      </c>
      <c r="B13" s="77">
        <v>7690.0</v>
      </c>
      <c r="C13" s="78">
        <v>70.0</v>
      </c>
      <c r="D13" s="79" t="s">
        <v>221</v>
      </c>
      <c r="E13" s="79" t="s">
        <v>22</v>
      </c>
      <c r="F13" s="121">
        <v>7305.0</v>
      </c>
      <c r="G13" s="122" t="str">
        <f>HYPERLINK("http://www.nhc.gov.cn/yjb/s7860/202003/ec2689b0e716468fbfff7cf890c74bb7.shtml","Source")</f>
        <v>Source</v>
      </c>
      <c r="H13" s="93"/>
      <c r="I13" s="28"/>
      <c r="J13" s="28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ht="30.0" customHeight="1">
      <c r="A14" s="76" t="s">
        <v>223</v>
      </c>
      <c r="B14" s="77">
        <v>1596.0</v>
      </c>
      <c r="C14" s="78">
        <v>0.0</v>
      </c>
      <c r="D14" s="79">
        <v>0.0</v>
      </c>
      <c r="E14" s="79">
        <v>0.0</v>
      </c>
      <c r="F14" s="121">
        <v>174.0</v>
      </c>
      <c r="G14" s="80"/>
      <c r="H14" s="93"/>
      <c r="I14" s="28"/>
      <c r="J14" s="28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ht="30.0" customHeight="1">
      <c r="A15" s="84" t="s">
        <v>60</v>
      </c>
      <c r="B15" s="128">
        <f t="shared" ref="B15:C15" si="2">SUM(B6:B14)</f>
        <v>83185</v>
      </c>
      <c r="C15" s="128">
        <f t="shared" si="2"/>
        <v>3318</v>
      </c>
      <c r="D15" s="128">
        <v>466.0</v>
      </c>
      <c r="E15" s="128"/>
      <c r="F15" s="128">
        <f>SUM(F6:F14)</f>
        <v>76412</v>
      </c>
      <c r="G15" s="87"/>
      <c r="H15" s="28"/>
      <c r="I15" s="28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>
      <c r="A16" s="84"/>
      <c r="B16" s="85"/>
      <c r="C16" s="85"/>
      <c r="D16" s="86"/>
      <c r="E16" s="131"/>
      <c r="F16" s="85"/>
      <c r="G16" s="87"/>
      <c r="H16" s="6"/>
      <c r="I16" s="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88"/>
      <c r="B17" s="89"/>
      <c r="C17" s="10"/>
      <c r="D17" s="10"/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90"/>
      <c r="B18" s="10"/>
      <c r="C18" s="10"/>
      <c r="D18" s="10"/>
      <c r="E18" s="10"/>
      <c r="F18" s="1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90"/>
      <c r="B19" s="10"/>
      <c r="C19" s="10"/>
      <c r="D19" s="10"/>
      <c r="E19" s="10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179</v>
      </c>
      <c r="F1" s="4"/>
      <c r="G1" s="4"/>
      <c r="H1" s="4"/>
    </row>
    <row r="2">
      <c r="A2" s="3" t="s">
        <v>180</v>
      </c>
      <c r="B2" s="3" t="s">
        <v>181</v>
      </c>
      <c r="D2" s="5" t="s">
        <v>182</v>
      </c>
      <c r="E2" s="8"/>
      <c r="F2" s="4"/>
      <c r="G2" s="4"/>
      <c r="H2" s="4"/>
    </row>
    <row r="3">
      <c r="A3" s="11">
        <f t="shared" ref="A3:B3" si="1">SUM(B24, B25)</f>
        <v>3196</v>
      </c>
      <c r="B3" s="11">
        <f t="shared" si="1"/>
        <v>33</v>
      </c>
      <c r="D3" s="13">
        <f>SUM(E24, E25)</f>
        <v>9</v>
      </c>
      <c r="E3" s="8"/>
      <c r="F3" s="4"/>
      <c r="G3" s="4"/>
      <c r="H3" s="4"/>
    </row>
    <row r="4">
      <c r="A4" s="16"/>
      <c r="B4" s="9"/>
      <c r="C4" s="9"/>
      <c r="D4" s="8"/>
      <c r="E4" s="8"/>
      <c r="F4" s="4"/>
      <c r="G4" s="4"/>
      <c r="H4" s="4"/>
    </row>
    <row r="5" ht="30.0" customHeight="1">
      <c r="A5" s="117" t="s">
        <v>185</v>
      </c>
      <c r="B5" s="118" t="s">
        <v>186</v>
      </c>
      <c r="C5" s="118" t="s">
        <v>187</v>
      </c>
      <c r="D5" s="119" t="s">
        <v>188</v>
      </c>
      <c r="E5" s="119" t="s">
        <v>189</v>
      </c>
      <c r="F5" s="29"/>
      <c r="G5" s="29"/>
      <c r="H5" s="29"/>
    </row>
    <row r="6" ht="30.0" customHeight="1">
      <c r="A6" s="76" t="s">
        <v>190</v>
      </c>
      <c r="B6" s="77">
        <v>977.0</v>
      </c>
      <c r="C6" s="78">
        <v>11.0</v>
      </c>
      <c r="D6" s="79"/>
      <c r="E6" s="79">
        <v>1.0</v>
      </c>
      <c r="F6" s="29"/>
      <c r="G6" s="29"/>
      <c r="H6" s="29"/>
    </row>
    <row r="7" ht="30.0" customHeight="1">
      <c r="A7" s="76" t="s">
        <v>82</v>
      </c>
      <c r="B7" s="77">
        <v>434.0</v>
      </c>
      <c r="C7" s="78">
        <v>0.0</v>
      </c>
      <c r="D7" s="79"/>
      <c r="E7" s="120"/>
      <c r="F7" s="29"/>
      <c r="G7" s="29"/>
      <c r="H7" s="29"/>
    </row>
    <row r="8" ht="30.0" customHeight="1">
      <c r="A8" s="76" t="s">
        <v>86</v>
      </c>
      <c r="B8" s="77">
        <v>426.0</v>
      </c>
      <c r="C8" s="77">
        <v>7.0</v>
      </c>
      <c r="D8" s="121">
        <v>6.0</v>
      </c>
      <c r="E8" s="79">
        <v>3.0</v>
      </c>
      <c r="F8" s="29"/>
      <c r="G8" s="29"/>
      <c r="H8" s="29"/>
    </row>
    <row r="9" ht="30.0" customHeight="1">
      <c r="A9" s="76" t="s">
        <v>133</v>
      </c>
      <c r="B9" s="77">
        <v>263.0</v>
      </c>
      <c r="C9" s="78">
        <v>3.0</v>
      </c>
      <c r="D9" s="79">
        <v>16.0</v>
      </c>
      <c r="E9" s="79">
        <v>2.0</v>
      </c>
      <c r="F9" s="29"/>
      <c r="G9" s="29"/>
      <c r="H9" s="29"/>
    </row>
    <row r="10" ht="30.0" customHeight="1">
      <c r="A10" s="76" t="s">
        <v>194</v>
      </c>
      <c r="B10" s="77">
        <v>203.0</v>
      </c>
      <c r="C10" s="78">
        <v>2.0</v>
      </c>
      <c r="D10" s="79">
        <v>3.0</v>
      </c>
      <c r="E10" s="79">
        <v>3.0</v>
      </c>
      <c r="F10" s="29"/>
      <c r="G10" s="29"/>
      <c r="H10" s="29"/>
    </row>
    <row r="11" ht="30.0" customHeight="1">
      <c r="A11" s="76" t="s">
        <v>196</v>
      </c>
      <c r="B11" s="77">
        <v>200.0</v>
      </c>
      <c r="C11" s="78">
        <v>1.0</v>
      </c>
      <c r="D11" s="79">
        <v>8.0</v>
      </c>
      <c r="E11" s="120"/>
      <c r="F11" s="29"/>
      <c r="G11" s="29"/>
      <c r="H11" s="29"/>
    </row>
    <row r="12" ht="30.0" customHeight="1">
      <c r="A12" s="76" t="s">
        <v>150</v>
      </c>
      <c r="B12" s="77">
        <v>158.0</v>
      </c>
      <c r="C12" s="78">
        <v>3.0</v>
      </c>
      <c r="D12" s="79"/>
      <c r="E12" s="120"/>
      <c r="F12" s="29"/>
      <c r="G12" s="29"/>
      <c r="H12" s="29"/>
    </row>
    <row r="13" ht="30.0" customHeight="1">
      <c r="A13" s="76" t="s">
        <v>156</v>
      </c>
      <c r="B13" s="77">
        <v>158.0</v>
      </c>
      <c r="C13" s="78">
        <v>0.0</v>
      </c>
      <c r="D13" s="79"/>
      <c r="E13" s="120"/>
      <c r="F13" s="29"/>
      <c r="G13" s="29"/>
      <c r="H13" s="29"/>
    </row>
    <row r="14" ht="30.0" customHeight="1">
      <c r="A14" s="76" t="s">
        <v>198</v>
      </c>
      <c r="B14" s="77">
        <v>113.0</v>
      </c>
      <c r="C14" s="78">
        <v>2.0</v>
      </c>
      <c r="D14" s="79"/>
      <c r="E14" s="120"/>
      <c r="F14" s="29"/>
      <c r="G14" s="29"/>
      <c r="H14" s="29"/>
    </row>
    <row r="15" ht="30.0" customHeight="1">
      <c r="A15" s="76" t="s">
        <v>199</v>
      </c>
      <c r="B15" s="77">
        <v>110.0</v>
      </c>
      <c r="C15" s="78"/>
      <c r="D15" s="79"/>
      <c r="E15" s="120"/>
      <c r="F15" s="29"/>
      <c r="G15" s="29"/>
      <c r="H15" s="29"/>
    </row>
    <row r="16" ht="30.0" customHeight="1">
      <c r="A16" s="76" t="s">
        <v>201</v>
      </c>
      <c r="B16" s="77">
        <v>72.0</v>
      </c>
      <c r="C16" s="78">
        <v>2.0</v>
      </c>
      <c r="D16" s="79"/>
      <c r="E16" s="120"/>
      <c r="F16" s="29"/>
      <c r="G16" s="29"/>
      <c r="H16" s="29"/>
    </row>
    <row r="17" ht="30.0" customHeight="1">
      <c r="A17" s="76" t="s">
        <v>202</v>
      </c>
      <c r="B17" s="77">
        <v>24.0</v>
      </c>
      <c r="C17" s="78">
        <v>0.0</v>
      </c>
      <c r="D17" s="79"/>
      <c r="E17" s="120"/>
      <c r="F17" s="29"/>
      <c r="G17" s="29"/>
      <c r="H17" s="29"/>
    </row>
    <row r="18" ht="30.0" customHeight="1">
      <c r="A18" s="76" t="s">
        <v>203</v>
      </c>
      <c r="B18" s="77">
        <v>21.0</v>
      </c>
      <c r="C18" s="78">
        <v>1.0</v>
      </c>
      <c r="D18" s="79"/>
      <c r="E18" s="120"/>
      <c r="F18" s="29"/>
      <c r="G18" s="29"/>
      <c r="H18" s="29"/>
    </row>
    <row r="19" ht="30.0" customHeight="1">
      <c r="A19" s="76" t="s">
        <v>204</v>
      </c>
      <c r="B19" s="77">
        <v>19.0</v>
      </c>
      <c r="C19" s="78">
        <v>0.0</v>
      </c>
      <c r="D19" s="79"/>
      <c r="E19" s="120"/>
      <c r="F19" s="29"/>
      <c r="G19" s="29"/>
      <c r="H19" s="29"/>
    </row>
    <row r="20" ht="30.0" customHeight="1">
      <c r="A20" s="76" t="s">
        <v>205</v>
      </c>
      <c r="B20" s="77">
        <v>18.0</v>
      </c>
      <c r="C20" s="78">
        <v>1.0</v>
      </c>
      <c r="D20" s="79"/>
      <c r="E20" s="120"/>
      <c r="F20" s="29"/>
      <c r="G20" s="29"/>
      <c r="H20" s="29"/>
    </row>
    <row r="21" ht="30.0" customHeight="1">
      <c r="A21" s="76" t="s">
        <v>207</v>
      </c>
      <c r="B21" s="77">
        <v>13.0</v>
      </c>
      <c r="C21" s="78">
        <v>1.0</v>
      </c>
      <c r="D21" s="79"/>
      <c r="E21" s="120"/>
      <c r="F21" s="29"/>
      <c r="G21" s="29"/>
      <c r="H21" s="29"/>
    </row>
    <row r="22" ht="30.0" customHeight="1">
      <c r="A22" s="76" t="s">
        <v>208</v>
      </c>
      <c r="B22" s="77">
        <v>3.0</v>
      </c>
      <c r="C22" s="78"/>
      <c r="D22" s="79"/>
      <c r="E22" s="120"/>
      <c r="F22" s="29"/>
      <c r="G22" s="29"/>
      <c r="H22" s="29"/>
    </row>
    <row r="23" ht="30.0" customHeight="1">
      <c r="A23" s="76" t="s">
        <v>209</v>
      </c>
      <c r="B23" s="77">
        <v>2.0</v>
      </c>
      <c r="C23" s="78"/>
      <c r="D23" s="79"/>
      <c r="E23" s="120"/>
      <c r="F23" s="29"/>
      <c r="G23" s="29"/>
      <c r="H23" s="29"/>
    </row>
    <row r="24" ht="30.0" customHeight="1">
      <c r="A24" s="84" t="s">
        <v>60</v>
      </c>
      <c r="B24" s="128">
        <f t="shared" ref="B24:C24" si="2">SUM(B6:B20)</f>
        <v>3196</v>
      </c>
      <c r="C24" s="128">
        <f t="shared" si="2"/>
        <v>33</v>
      </c>
      <c r="D24" s="128">
        <f t="shared" ref="D24:E24" si="3">SUM(D6:D16)</f>
        <v>33</v>
      </c>
      <c r="E24" s="128">
        <f t="shared" si="3"/>
        <v>9</v>
      </c>
      <c r="F24" s="29"/>
      <c r="G24" s="29"/>
      <c r="H24" s="29"/>
    </row>
    <row r="25">
      <c r="A25" s="90"/>
      <c r="B25" s="10"/>
      <c r="C25" s="10"/>
      <c r="D25" s="10"/>
      <c r="E25" s="10"/>
      <c r="F25" s="4"/>
      <c r="G25" s="4"/>
      <c r="H25" s="4"/>
    </row>
    <row r="26">
      <c r="A26" s="88"/>
      <c r="B26" s="89"/>
      <c r="C26" s="10"/>
      <c r="D26" s="10"/>
      <c r="E26" s="10"/>
      <c r="F26" s="4"/>
      <c r="G26" s="4"/>
      <c r="H26" s="4"/>
    </row>
    <row r="27">
      <c r="A27" s="90"/>
      <c r="B27" s="10"/>
      <c r="C27" s="10"/>
      <c r="D27" s="10"/>
      <c r="E27" s="10"/>
      <c r="F27" s="4"/>
      <c r="G27" s="4"/>
      <c r="H27" s="4"/>
    </row>
    <row r="28">
      <c r="A28" s="90"/>
      <c r="B28" s="10"/>
      <c r="C28" s="10"/>
      <c r="D28" s="10"/>
      <c r="E28" s="10"/>
      <c r="F28" s="4"/>
      <c r="G28" s="4"/>
      <c r="H28" s="4"/>
    </row>
  </sheetData>
  <mergeCells count="3">
    <mergeCell ref="A1:E1"/>
    <mergeCell ref="B2:C2"/>
    <mergeCell ref="B3:C3"/>
  </mergeCells>
  <drawing r:id="rId1"/>
  <tableParts count="1">
    <tablePart r:id="rId3"/>
  </tableParts>
</worksheet>
</file>