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Australia" sheetId="3" r:id="rId6"/>
    <sheet state="visible" name="Canada" sheetId="4" r:id="rId7"/>
    <sheet state="visible" name="China" sheetId="5" r:id="rId8"/>
    <sheet state="visible" name="América Latina" sheetId="6" r:id="rId9"/>
    <sheet state="visible" name="Cases" sheetId="9" r:id="rId10"/>
    <sheet state="visible" name="Deaths" sheetId="11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1">
      <text>
        <t xml:space="preserve">22,361 confirmed or suspected cases in nursing homes</t>
      </text>
    </comment>
    <comment authorId="0" ref="L11">
      <text>
        <t xml:space="preserve">17,827 confirmed or suspected cases in nursing homes</t>
      </text>
    </comment>
  </commentList>
</comments>
</file>

<file path=xl/sharedStrings.xml><?xml version="1.0" encoding="utf-8"?>
<sst xmlns="http://schemas.openxmlformats.org/spreadsheetml/2006/main" count="764" uniqueCount="346">
  <si>
    <t>Updated throughout the day</t>
  </si>
  <si>
    <t>CASES</t>
  </si>
  <si>
    <t>DEATHS</t>
  </si>
  <si>
    <t>RECOVERED</t>
  </si>
  <si>
    <t>UNRESOLVED</t>
  </si>
  <si>
    <t>UNITED STATES</t>
  </si>
  <si>
    <t>Cases</t>
  </si>
  <si>
    <t>LOCATION</t>
  </si>
  <si>
    <t>AUSTRALIA</t>
  </si>
  <si>
    <t>New cases</t>
  </si>
  <si>
    <t>Deaths</t>
  </si>
  <si>
    <t>New deaths</t>
  </si>
  <si>
    <t>Death rate</t>
  </si>
  <si>
    <t>Serious &amp; Critical</t>
  </si>
  <si>
    <t>Recovered</t>
  </si>
  <si>
    <t>Links</t>
  </si>
  <si>
    <t>New York</t>
  </si>
  <si>
    <t>New South Wales</t>
  </si>
  <si>
    <t>United States</t>
  </si>
  <si>
    <t>New Jersey</t>
  </si>
  <si>
    <t>Victoria</t>
  </si>
  <si>
    <t>Spain</t>
  </si>
  <si>
    <t>Queensland</t>
  </si>
  <si>
    <t>N/A</t>
  </si>
  <si>
    <t>Italy</t>
  </si>
  <si>
    <t>Daily</t>
  </si>
  <si>
    <t>Western Australia</t>
  </si>
  <si>
    <t>Michigan</t>
  </si>
  <si>
    <t>South Australia</t>
  </si>
  <si>
    <t>Germany</t>
  </si>
  <si>
    <t>California</t>
  </si>
  <si>
    <t>Frequent</t>
  </si>
  <si>
    <t>Canberra (ACT)</t>
  </si>
  <si>
    <t>Louisiana</t>
  </si>
  <si>
    <t>France</t>
  </si>
  <si>
    <t>Tasmania</t>
  </si>
  <si>
    <t>Massachusetts</t>
  </si>
  <si>
    <t>China</t>
  </si>
  <si>
    <t>Northern Territory</t>
  </si>
  <si>
    <t>Florida</t>
  </si>
  <si>
    <t>Pennsylvania</t>
  </si>
  <si>
    <t>External territories</t>
  </si>
  <si>
    <t>-</t>
  </si>
  <si>
    <t>Iran</t>
  </si>
  <si>
    <t>Illinois</t>
  </si>
  <si>
    <t>Jervis Bay</t>
  </si>
  <si>
    <t>Washington</t>
  </si>
  <si>
    <t>United Kingdom</t>
  </si>
  <si>
    <t>Texas</t>
  </si>
  <si>
    <t>Georgia</t>
  </si>
  <si>
    <t>Turkey</t>
  </si>
  <si>
    <t>TOTAL</t>
  </si>
  <si>
    <t>Several</t>
  </si>
  <si>
    <t>Connecticut</t>
  </si>
  <si>
    <t>Colorado</t>
  </si>
  <si>
    <t>Switzerland</t>
  </si>
  <si>
    <t>Indiana</t>
  </si>
  <si>
    <t>Ohio</t>
  </si>
  <si>
    <t>Belgium</t>
  </si>
  <si>
    <t>Tennessee</t>
  </si>
  <si>
    <t>Maryland</t>
  </si>
  <si>
    <t>Netherlands</t>
  </si>
  <si>
    <t>North Carolina</t>
  </si>
  <si>
    <t>Canada</t>
  </si>
  <si>
    <t>Virginia</t>
  </si>
  <si>
    <t>Missouri</t>
  </si>
  <si>
    <t>Arizona</t>
  </si>
  <si>
    <t>Austria</t>
  </si>
  <si>
    <t>Throughout</t>
  </si>
  <si>
    <t>Brazil</t>
  </si>
  <si>
    <t>Wisconsin</t>
  </si>
  <si>
    <t>South Carolina</t>
  </si>
  <si>
    <t>Portugal</t>
  </si>
  <si>
    <t>CANADA</t>
  </si>
  <si>
    <t>Alabama</t>
  </si>
  <si>
    <t>South Korea</t>
  </si>
  <si>
    <t>Quebec</t>
  </si>
  <si>
    <t>Israel</t>
  </si>
  <si>
    <t>Nevada</t>
  </si>
  <si>
    <t>Mississippi</t>
  </si>
  <si>
    <t>Sweden</t>
  </si>
  <si>
    <t>Ontario</t>
  </si>
  <si>
    <t>Utah</t>
  </si>
  <si>
    <t>Australia</t>
  </si>
  <si>
    <t>Alberta</t>
  </si>
  <si>
    <t>Oklahoma</t>
  </si>
  <si>
    <t>Idaho</t>
  </si>
  <si>
    <t>British Columbia</t>
  </si>
  <si>
    <t>Norway</t>
  </si>
  <si>
    <t>Oregon</t>
  </si>
  <si>
    <t>Russia</t>
  </si>
  <si>
    <t>Saskatchewan</t>
  </si>
  <si>
    <t>District of Columbia</t>
  </si>
  <si>
    <t>Ireland</t>
  </si>
  <si>
    <t>Nova Scotia</t>
  </si>
  <si>
    <t>Kentucky</t>
  </si>
  <si>
    <t>Minnesota</t>
  </si>
  <si>
    <t>Denmark</t>
  </si>
  <si>
    <t>Newfoundland &amp; Labrador</t>
  </si>
  <si>
    <t>Rhode Island</t>
  </si>
  <si>
    <t>Czech Republic</t>
  </si>
  <si>
    <t>Manitoba</t>
  </si>
  <si>
    <t>Iowa</t>
  </si>
  <si>
    <t>Numerous</t>
  </si>
  <si>
    <t>Chile</t>
  </si>
  <si>
    <t>Arkansas</t>
  </si>
  <si>
    <t>New Brunswick</t>
  </si>
  <si>
    <t>Poland</t>
  </si>
  <si>
    <t>3 times/day</t>
  </si>
  <si>
    <t>Kansas</t>
  </si>
  <si>
    <t>Prince Edward Island</t>
  </si>
  <si>
    <t>Romania</t>
  </si>
  <si>
    <t>Delaware</t>
  </si>
  <si>
    <t>Repatriated travellers</t>
  </si>
  <si>
    <t>Daily + deaths</t>
  </si>
  <si>
    <t>New Hampshire</t>
  </si>
  <si>
    <t>Japan</t>
  </si>
  <si>
    <t>Yukon</t>
  </si>
  <si>
    <t>New Mexico</t>
  </si>
  <si>
    <t>Malaysia</t>
  </si>
  <si>
    <t>Vermont</t>
  </si>
  <si>
    <t>Northwest Territories</t>
  </si>
  <si>
    <t>Puerto Rico</t>
  </si>
  <si>
    <t>Nunavut</t>
  </si>
  <si>
    <t>Ecuador</t>
  </si>
  <si>
    <t>Maine</t>
  </si>
  <si>
    <t>2 updates</t>
  </si>
  <si>
    <t>India</t>
  </si>
  <si>
    <t>Hawaii</t>
  </si>
  <si>
    <t>Nebraska</t>
  </si>
  <si>
    <t>Philippines</t>
  </si>
  <si>
    <t>West Virginia</t>
  </si>
  <si>
    <t>Montana</t>
  </si>
  <si>
    <t>Pakistan</t>
  </si>
  <si>
    <t>Twice a day</t>
  </si>
  <si>
    <t>South Dakota</t>
  </si>
  <si>
    <t>Any time</t>
  </si>
  <si>
    <t>Luxembourg</t>
  </si>
  <si>
    <t>North Dakota</t>
  </si>
  <si>
    <t>Saudi Arabia</t>
  </si>
  <si>
    <t>Wyoming</t>
  </si>
  <si>
    <t>Peru</t>
  </si>
  <si>
    <t>Alaska</t>
  </si>
  <si>
    <t>Guam</t>
  </si>
  <si>
    <t>Indonesia</t>
  </si>
  <si>
    <t>ACTIVE CASES</t>
  </si>
  <si>
    <t>Diamond Princess (repatriated)</t>
  </si>
  <si>
    <t>Thailand</t>
  </si>
  <si>
    <t>U.S. Virgin Islands</t>
  </si>
  <si>
    <t>Panama</t>
  </si>
  <si>
    <t>MAINLAND CHINA</t>
  </si>
  <si>
    <t>Grand Princess</t>
  </si>
  <si>
    <t>Serious</t>
  </si>
  <si>
    <t>Critical</t>
  </si>
  <si>
    <t>Finland</t>
  </si>
  <si>
    <t>Hubei province (includes Wuhan)</t>
  </si>
  <si>
    <t>Northern Mariana Islands</t>
  </si>
  <si>
    <t>Daily (??)</t>
  </si>
  <si>
    <t>Guangdong province</t>
  </si>
  <si>
    <t>Serbia</t>
  </si>
  <si>
    <t>Wuhan (repatriated)</t>
  </si>
  <si>
    <t>Mexico</t>
  </si>
  <si>
    <t>American Samoa</t>
  </si>
  <si>
    <t>Henan province</t>
  </si>
  <si>
    <t>United Arab Emirates</t>
  </si>
  <si>
    <t>Zhejiang province</t>
  </si>
  <si>
    <t>TBD</t>
  </si>
  <si>
    <t>Dominican Republic</t>
  </si>
  <si>
    <t>Hunan province</t>
  </si>
  <si>
    <t>U.S. TOTAL</t>
  </si>
  <si>
    <t>Beijing</t>
  </si>
  <si>
    <t>Greece</t>
  </si>
  <si>
    <t>Shanghai</t>
  </si>
  <si>
    <t>Other regions/TBD</t>
  </si>
  <si>
    <t>&lt;17</t>
  </si>
  <si>
    <t>South Africa</t>
  </si>
  <si>
    <t>Asymptomatic</t>
  </si>
  <si>
    <t>Qatar</t>
  </si>
  <si>
    <t>Argentina</t>
  </si>
  <si>
    <t>% of deaths</t>
  </si>
  <si>
    <t>Iceland</t>
  </si>
  <si>
    <t>Colombia</t>
  </si>
  <si>
    <t>A Marzo 21</t>
  </si>
  <si>
    <t>CASOS</t>
  </si>
  <si>
    <t>MUERTES</t>
  </si>
  <si>
    <t>RECUPERADOS</t>
  </si>
  <si>
    <t>Algeria</t>
  </si>
  <si>
    <t>Mundo Hispano</t>
  </si>
  <si>
    <t>Casos</t>
  </si>
  <si>
    <t>Muertes</t>
  </si>
  <si>
    <t>Serios</t>
  </si>
  <si>
    <t>Recuperados</t>
  </si>
  <si>
    <t>Singapore</t>
  </si>
  <si>
    <t>Brasil</t>
  </si>
  <si>
    <t>Ukraine</t>
  </si>
  <si>
    <t>México</t>
  </si>
  <si>
    <t>Panamá</t>
  </si>
  <si>
    <t>2 times/day</t>
  </si>
  <si>
    <t>Costa Rica</t>
  </si>
  <si>
    <t>Uruguay</t>
  </si>
  <si>
    <t>Rep. Dominicana</t>
  </si>
  <si>
    <t>Honduras</t>
  </si>
  <si>
    <t>Croatia</t>
  </si>
  <si>
    <t>Cuba</t>
  </si>
  <si>
    <t>Bolivia</t>
  </si>
  <si>
    <t>Paraguay</t>
  </si>
  <si>
    <t>Guatemala</t>
  </si>
  <si>
    <t>El Salvador</t>
  </si>
  <si>
    <t>Nicaragua</t>
  </si>
  <si>
    <t>New Zealand</t>
  </si>
  <si>
    <t>Estonia</t>
  </si>
  <si>
    <t>Egypt</t>
  </si>
  <si>
    <t>Morocco</t>
  </si>
  <si>
    <t>At least 3</t>
  </si>
  <si>
    <t>Slovenia</t>
  </si>
  <si>
    <t>Iraq</t>
  </si>
  <si>
    <t>Hong Kong</t>
  </si>
  <si>
    <t>Moldova</t>
  </si>
  <si>
    <t>Daily (?)</t>
  </si>
  <si>
    <t>Lithuania</t>
  </si>
  <si>
    <t>Armenia</t>
  </si>
  <si>
    <t>Hungary</t>
  </si>
  <si>
    <t>Diamond Princess</t>
  </si>
  <si>
    <t>Bahrain</t>
  </si>
  <si>
    <t>Bosnia</t>
  </si>
  <si>
    <t>Cameroon</t>
  </si>
  <si>
    <t>Azerbaijan</t>
  </si>
  <si>
    <t>Belarus</t>
  </si>
  <si>
    <t>Kuwait</t>
  </si>
  <si>
    <t>North Macedonia</t>
  </si>
  <si>
    <t>Tunisia</t>
  </si>
  <si>
    <t>Kazakhstan</t>
  </si>
  <si>
    <t>Lebanon</t>
  </si>
  <si>
    <t>Latvia</t>
  </si>
  <si>
    <t>Bulgaria</t>
  </si>
  <si>
    <t>Andorra</t>
  </si>
  <si>
    <t>Slovakia</t>
  </si>
  <si>
    <t>Cyprus</t>
  </si>
  <si>
    <t>Taiwan</t>
  </si>
  <si>
    <t>Albania</t>
  </si>
  <si>
    <t>Afghanistan</t>
  </si>
  <si>
    <t>Burkina Faso</t>
  </si>
  <si>
    <t>Jordan</t>
  </si>
  <si>
    <t>Uzbekistan</t>
  </si>
  <si>
    <t>Oman</t>
  </si>
  <si>
    <t>San Marino</t>
  </si>
  <si>
    <t>Ivory Coast</t>
  </si>
  <si>
    <t>Vietnam</t>
  </si>
  <si>
    <t>Palestine</t>
  </si>
  <si>
    <t>Mauritius</t>
  </si>
  <si>
    <t>Malta</t>
  </si>
  <si>
    <t>Nigeria</t>
  </si>
  <si>
    <t>Senegal</t>
  </si>
  <si>
    <t>Montenegro</t>
  </si>
  <si>
    <t>At least 2</t>
  </si>
  <si>
    <t>Ghana</t>
  </si>
  <si>
    <t>Sri Lanka</t>
  </si>
  <si>
    <t>Venezuela</t>
  </si>
  <si>
    <t>Guernsey</t>
  </si>
  <si>
    <t>DR Congo</t>
  </si>
  <si>
    <t>Kyrgyzstan</t>
  </si>
  <si>
    <t>Kosovo</t>
  </si>
  <si>
    <t>Niger</t>
  </si>
  <si>
    <t>Kenya</t>
  </si>
  <si>
    <t>Brunei</t>
  </si>
  <si>
    <t>Isle of Man</t>
  </si>
  <si>
    <t>Jersey</t>
  </si>
  <si>
    <t>Guinea</t>
  </si>
  <si>
    <t>Cambodia</t>
  </si>
  <si>
    <t>Rwanda</t>
  </si>
  <si>
    <t>Trinidad and Tobago</t>
  </si>
  <si>
    <t>Gibraltar</t>
  </si>
  <si>
    <t>Northern Cyprus</t>
  </si>
  <si>
    <t>Bangladesh</t>
  </si>
  <si>
    <t>Liechtenstein</t>
  </si>
  <si>
    <t>Monaco</t>
  </si>
  <si>
    <t>Madagascar</t>
  </si>
  <si>
    <t>Aruba</t>
  </si>
  <si>
    <t>Djibouti</t>
  </si>
  <si>
    <t>Jamaica</t>
  </si>
  <si>
    <t>Barbados</t>
  </si>
  <si>
    <t>Uganda</t>
  </si>
  <si>
    <t>Mali</t>
  </si>
  <si>
    <t>Congo Republic</t>
  </si>
  <si>
    <t>Togo</t>
  </si>
  <si>
    <t>Ethiopia</t>
  </si>
  <si>
    <t>Macau</t>
  </si>
  <si>
    <t>French Polynesia</t>
  </si>
  <si>
    <t>Zambia</t>
  </si>
  <si>
    <t>Bermuda</t>
  </si>
  <si>
    <t>Cayman Islands</t>
  </si>
  <si>
    <t>Eritrea</t>
  </si>
  <si>
    <t>Bahamas</t>
  </si>
  <si>
    <t>Sint Maarten</t>
  </si>
  <si>
    <t>Guyana</t>
  </si>
  <si>
    <t>Gabon</t>
  </si>
  <si>
    <t>Myanmar</t>
  </si>
  <si>
    <t>Haiti</t>
  </si>
  <si>
    <t>Tanzania</t>
  </si>
  <si>
    <t>Syria</t>
  </si>
  <si>
    <t>Maldives</t>
  </si>
  <si>
    <t>Libya</t>
  </si>
  <si>
    <t>New Caledonia</t>
  </si>
  <si>
    <t>Guinea-Bissau</t>
  </si>
  <si>
    <t>Namibia</t>
  </si>
  <si>
    <t>Benin</t>
  </si>
  <si>
    <t>Equatorial Guinea</t>
  </si>
  <si>
    <t>Antigua and Barbuda</t>
  </si>
  <si>
    <t>Mongolia</t>
  </si>
  <si>
    <t>Saint Lucia</t>
  </si>
  <si>
    <t>Liberia</t>
  </si>
  <si>
    <t>Fiji</t>
  </si>
  <si>
    <t>Grenada</t>
  </si>
  <si>
    <t>Curaçao</t>
  </si>
  <si>
    <t>Laos</t>
  </si>
  <si>
    <t>Greenland</t>
  </si>
  <si>
    <t>Sudan</t>
  </si>
  <si>
    <t>Angola</t>
  </si>
  <si>
    <t>Suriname</t>
  </si>
  <si>
    <t>Seychelles</t>
  </si>
  <si>
    <t>Mozambique</t>
  </si>
  <si>
    <t>St. Kitts and Nevis</t>
  </si>
  <si>
    <t>Zimbabwe</t>
  </si>
  <si>
    <t>Eswatini</t>
  </si>
  <si>
    <t>Nepal</t>
  </si>
  <si>
    <t>Chad</t>
  </si>
  <si>
    <t>Central African Republic</t>
  </si>
  <si>
    <t>Cape Verde</t>
  </si>
  <si>
    <t>Vatican City</t>
  </si>
  <si>
    <t>Saint Vincent and the Grenadines</t>
  </si>
  <si>
    <t>Somalia</t>
  </si>
  <si>
    <t>Montserrat</t>
  </si>
  <si>
    <t>St. Barthélemy</t>
  </si>
  <si>
    <t>Mauritania</t>
  </si>
  <si>
    <t>Turks and Caicos Islands</t>
  </si>
  <si>
    <t>Bhutan</t>
  </si>
  <si>
    <t>Belize</t>
  </si>
  <si>
    <t>The Gambia</t>
  </si>
  <si>
    <t>Botswana</t>
  </si>
  <si>
    <t>Sierra Leone</t>
  </si>
  <si>
    <t>Malawi</t>
  </si>
  <si>
    <t>British Virgin Islands</t>
  </si>
  <si>
    <t>Anguilla</t>
  </si>
  <si>
    <t>Burundi</t>
  </si>
  <si>
    <t>Timor-Leste</t>
  </si>
  <si>
    <t>Papua New Guinea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</si>
</sst>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1">
    <font>
      <sz val="10.0"/>
      <color rgb="FF000000"/>
      <name val="Arial"/>
    </font>
    <font>
      <b/>
      <i/>
      <sz val="11.0"/>
      <color rgb="FF000000"/>
      <name val="Arial"/>
    </font>
    <font>
      <sz val="11.0"/>
      <color theme="1"/>
      <name val="Arial"/>
    </font>
    <font>
      <b/>
      <i/>
      <sz val="12.0"/>
      <color rgb="FF000000"/>
      <name val="Roboto"/>
    </font>
    <font>
      <b/>
      <sz val="13.0"/>
      <color rgb="FF000000"/>
      <name val="Roboto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000000"/>
      <name val="Docs-Roboto"/>
    </font>
    <font>
      <b/>
      <sz val="13.0"/>
      <color rgb="FFFF0000"/>
      <name val="Roboto"/>
    </font>
    <font>
      <b/>
      <sz val="13.0"/>
      <color rgb="FF6AA84F"/>
      <name val="Roboto"/>
    </font>
    <font>
      <b/>
      <sz val="13.0"/>
      <color rgb="FFE69138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FFFFFF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0A0A0A"/>
      <name val="Roboto"/>
    </font>
    <font>
      <b/>
      <sz val="11.0"/>
      <color rgb="FFFF0000"/>
      <name val="Roboto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999999"/>
      <name val="Arial"/>
    </font>
    <font>
      <color theme="1"/>
      <name val="Arial"/>
    </font>
    <font>
      <u/>
      <sz val="11.0"/>
      <color rgb="FF0A0A0A"/>
      <name val="Roboto"/>
    </font>
    <font>
      <u/>
      <sz val="11.0"/>
      <color rgb="FF0A0A0A"/>
      <name val="Roboto"/>
    </font>
    <font>
      <sz val="11.0"/>
      <color rgb="FFFFFFFF"/>
      <name val="Roboto"/>
    </font>
    <font>
      <u/>
      <sz val="11.0"/>
      <color rgb="FF0A0A0A"/>
      <name val="Roboto"/>
    </font>
    <font>
      <b/>
      <sz val="11.0"/>
      <color rgb="FF38761D"/>
      <name val="Roboto"/>
    </font>
    <font>
      <sz val="11.0"/>
      <color rgb="FF000000"/>
      <name val="Arial"/>
    </font>
    <font>
      <sz val="19.0"/>
      <color rgb="FF333333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FF00FF"/>
        <bgColor rgb="FFFF00FF"/>
      </patternFill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  <fill>
      <patternFill patternType="solid">
        <fgColor rgb="FFD9D9D9"/>
        <bgColor rgb="FFD9D9D9"/>
      </patternFill>
    </fill>
  </fills>
  <borders count="5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top"/>
    </xf>
    <xf borderId="0" fillId="2" fontId="2" numFmtId="0" xfId="0" applyFill="1" applyFont="1"/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2" numFmtId="0" xfId="0" applyFont="1"/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horizontal="left" readingOrder="0" vertical="bottom"/>
    </xf>
    <xf borderId="0" fillId="0" fontId="7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2" fontId="8" numFmtId="0" xfId="0" applyAlignment="1" applyFont="1">
      <alignment horizontal="left" readingOrder="0"/>
    </xf>
    <xf borderId="0" fillId="0" fontId="9" numFmtId="3" xfId="0" applyAlignment="1" applyFont="1" applyNumberFormat="1">
      <alignment horizontal="left" vertical="bottom"/>
    </xf>
    <xf borderId="0" fillId="0" fontId="10" numFmtId="3" xfId="0" applyAlignment="1" applyFont="1" applyNumberFormat="1">
      <alignment horizontal="left" vertical="bottom"/>
    </xf>
    <xf borderId="0" fillId="2" fontId="9" numFmtId="3" xfId="0" applyAlignment="1" applyFont="1" applyNumberFormat="1">
      <alignment horizontal="left"/>
    </xf>
    <xf borderId="0" fillId="0" fontId="11" numFmtId="3" xfId="0" applyAlignment="1" applyFont="1" applyNumberFormat="1">
      <alignment horizontal="center" vertical="bottom"/>
    </xf>
    <xf borderId="0" fillId="0" fontId="7" numFmtId="0" xfId="0" applyAlignment="1" applyFont="1">
      <alignment horizontal="left" readingOrder="0"/>
    </xf>
    <xf borderId="0" fillId="2" fontId="9" numFmtId="0" xfId="0" applyAlignment="1" applyFont="1">
      <alignment horizontal="left"/>
    </xf>
    <xf borderId="0" fillId="0" fontId="2" numFmtId="0" xfId="0" applyAlignment="1" applyFont="1">
      <alignment readingOrder="0"/>
    </xf>
    <xf borderId="1" fillId="3" fontId="7" numFmtId="0" xfId="0" applyAlignment="1" applyBorder="1" applyFill="1" applyFont="1">
      <alignment horizontal="left"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0" fillId="2" fontId="2" numFmtId="0" xfId="0" applyAlignment="1" applyFont="1">
      <alignment vertical="center"/>
    </xf>
    <xf borderId="0" fillId="2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1" fillId="4" fontId="12" numFmtId="0" xfId="0" applyAlignment="1" applyBorder="1" applyFill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4" fontId="12" numFmtId="3" xfId="0" applyAlignment="1" applyBorder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0" fontId="12" numFmtId="3" xfId="0" applyAlignment="1" applyBorder="1" applyFont="1" applyNumberFormat="1">
      <alignment horizontal="center" readingOrder="0" shrinkToFit="0" vertical="center" wrapText="1"/>
    </xf>
    <xf borderId="1" fillId="5" fontId="12" numFmtId="3" xfId="0" applyAlignment="1" applyBorder="1" applyFill="1" applyFont="1" applyNumberFormat="1">
      <alignment horizontal="center" readingOrder="0" shrinkToFit="0" vertical="center" wrapText="1"/>
    </xf>
    <xf borderId="1" fillId="6" fontId="12" numFmtId="3" xfId="0" applyAlignment="1" applyBorder="1" applyFill="1" applyFont="1" applyNumberFormat="1">
      <alignment horizontal="center" readingOrder="0" vertical="center"/>
    </xf>
    <xf borderId="1" fillId="7" fontId="12" numFmtId="3" xfId="0" applyAlignment="1" applyBorder="1" applyFill="1" applyFont="1" applyNumberFormat="1">
      <alignment horizontal="center" readingOrder="0" shrinkToFit="0" vertical="center" wrapText="1"/>
    </xf>
    <xf borderId="1" fillId="7" fontId="2" numFmtId="3" xfId="0" applyAlignment="1" applyBorder="1" applyFont="1" applyNumberFormat="1">
      <alignment horizontal="center" readingOrder="0" vertical="center"/>
    </xf>
    <xf borderId="1" fillId="2" fontId="2" numFmtId="10" xfId="0" applyAlignment="1" applyBorder="1" applyFont="1" applyNumberFormat="1">
      <alignment horizontal="center" readingOrder="0" vertical="center"/>
    </xf>
    <xf borderId="1" fillId="0" fontId="2" numFmtId="3" xfId="0" applyAlignment="1" applyBorder="1" applyFont="1" applyNumberFormat="1">
      <alignment horizontal="center" readingOrder="0" shrinkToFit="0" vertical="center" wrapText="1"/>
    </xf>
    <xf borderId="1" fillId="4" fontId="2" numFmtId="3" xfId="0" applyAlignment="1" applyBorder="1" applyFont="1" applyNumberFormat="1">
      <alignment horizontal="center" readingOrder="0" shrinkToFit="0" vertical="center" wrapText="1"/>
    </xf>
    <xf borderId="1" fillId="0" fontId="2" numFmtId="3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4" fontId="13" numFmtId="0" xfId="0" applyAlignment="1" applyBorder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horizontal="left" readingOrder="0" shrinkToFit="0" vertical="center" wrapText="1"/>
    </xf>
    <xf borderId="0" fillId="2" fontId="15" numFmtId="0" xfId="0" applyAlignment="1" applyFont="1">
      <alignment vertical="center"/>
    </xf>
    <xf borderId="1" fillId="3" fontId="12" numFmtId="3" xfId="0" applyAlignment="1" applyBorder="1" applyFont="1" applyNumberForma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readingOrder="0" shrinkToFit="0" vertical="center" wrapText="1"/>
    </xf>
    <xf borderId="0" fillId="2" fontId="2" numFmtId="0" xfId="0" applyAlignment="1" applyFont="1">
      <alignment vertical="center"/>
    </xf>
    <xf borderId="1" fillId="7" fontId="12" numFmtId="0" xfId="0" applyAlignment="1" applyBorder="1" applyFont="1">
      <alignment horizontal="center" readingOrder="0" shrinkToFit="0" vertical="center" wrapText="1"/>
    </xf>
    <xf borderId="0" fillId="8" fontId="2" numFmtId="0" xfId="0" applyAlignment="1" applyFill="1" applyFont="1">
      <alignment horizontal="center" vertical="center"/>
    </xf>
    <xf borderId="1" fillId="3" fontId="2" numFmtId="10" xfId="0" applyAlignment="1" applyBorder="1" applyFont="1" applyNumberForma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1" fillId="3" fontId="12" numFmtId="0" xfId="0" applyAlignment="1" applyBorder="1" applyFont="1">
      <alignment horizontal="center" readingOrder="0" shrinkToFit="0" vertical="center" wrapText="1"/>
    </xf>
    <xf borderId="1" fillId="0" fontId="12" numFmtId="3" xfId="0" applyAlignment="1" applyBorder="1" applyFont="1" applyNumberFormat="1">
      <alignment horizontal="center" readingOrder="0" vertical="center"/>
    </xf>
    <xf borderId="1" fillId="4" fontId="2" numFmtId="10" xfId="0" applyAlignment="1" applyBorder="1" applyFont="1" applyNumberFormat="1">
      <alignment horizontal="center" readingOrder="0" vertical="center"/>
    </xf>
    <xf borderId="1" fillId="4" fontId="1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0" fillId="9" fontId="2" numFmtId="0" xfId="0" applyAlignment="1" applyFill="1" applyFont="1">
      <alignment vertical="center"/>
    </xf>
    <xf borderId="1" fillId="4" fontId="2" numFmtId="0" xfId="0" applyAlignment="1" applyBorder="1" applyFont="1">
      <alignment horizontal="center" readingOrder="0" shrinkToFit="0" vertical="center" wrapText="1"/>
    </xf>
    <xf borderId="0" fillId="8" fontId="2" numFmtId="0" xfId="0" applyAlignment="1" applyFont="1">
      <alignment horizontal="center" vertical="center"/>
    </xf>
    <xf borderId="1" fillId="3" fontId="17" numFmtId="0" xfId="0" applyAlignment="1" applyBorder="1" applyFont="1">
      <alignment horizontal="center" readingOrder="0" shrinkToFit="0" vertical="center" wrapText="1"/>
    </xf>
    <xf borderId="0" fillId="10" fontId="2" numFmtId="0" xfId="0" applyAlignment="1" applyFill="1" applyFont="1">
      <alignment vertical="center"/>
    </xf>
    <xf borderId="0" fillId="2" fontId="2" numFmtId="0" xfId="0" applyAlignment="1" applyFont="1">
      <alignment horizontal="center" readingOrder="0" vertical="center"/>
    </xf>
    <xf borderId="1" fillId="3" fontId="2" numFmtId="3" xfId="0" applyAlignment="1" applyBorder="1" applyFont="1" applyNumberFormat="1">
      <alignment horizontal="center" readingOrder="0" shrinkToFit="0" vertical="center" wrapText="1"/>
    </xf>
    <xf borderId="0" fillId="8" fontId="2" numFmtId="0" xfId="0" applyAlignment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left" readingOrder="0" shrinkToFit="0" vertical="center" wrapText="1"/>
    </xf>
    <xf borderId="0" fillId="0" fontId="12" numFmtId="3" xfId="0" applyAlignment="1" applyFont="1" applyNumberForma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19" numFmtId="3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21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2" numFmtId="0" xfId="0" applyAlignment="1" applyFont="1">
      <alignment horizontal="left"/>
    </xf>
    <xf borderId="0" fillId="11" fontId="2" numFmtId="0" xfId="0" applyAlignment="1" applyFill="1" applyFont="1">
      <alignment vertical="center"/>
    </xf>
    <xf borderId="0" fillId="12" fontId="2" numFmtId="0" xfId="0" applyAlignment="1" applyFill="1" applyFont="1">
      <alignment vertical="center"/>
    </xf>
    <xf borderId="0" fillId="10" fontId="22" numFmtId="0" xfId="0" applyAlignment="1" applyFont="1">
      <alignment vertical="center"/>
    </xf>
    <xf borderId="0" fillId="2" fontId="23" numFmtId="0" xfId="0" applyFont="1"/>
    <xf borderId="1" fillId="4" fontId="2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0" fillId="3" fontId="7" numFmtId="0" xfId="0" applyAlignment="1" applyFont="1">
      <alignment horizontal="left" readingOrder="0" shrinkToFit="0" vertical="center" wrapText="1"/>
    </xf>
    <xf borderId="0" fillId="3" fontId="7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0" fontId="2" numFmtId="3" xfId="0" applyAlignment="1" applyFont="1" applyNumberFormat="1">
      <alignment horizontal="center" readingOrder="0" shrinkToFit="0" vertical="center" wrapText="1"/>
    </xf>
    <xf borderId="0" fillId="0" fontId="24" numFmtId="0" xfId="0" applyAlignment="1" applyFont="1">
      <alignment horizontal="center" readingOrder="0" shrinkToFit="0" vertical="center" wrapText="1"/>
    </xf>
    <xf borderId="0" fillId="2" fontId="22" numFmtId="0" xfId="0" applyAlignment="1" applyFont="1">
      <alignment vertical="center"/>
    </xf>
    <xf borderId="0" fillId="4" fontId="12" numFmtId="0" xfId="0" applyAlignment="1" applyFont="1">
      <alignment horizontal="left" readingOrder="0" shrinkToFit="0" vertical="center" wrapText="1"/>
    </xf>
    <xf borderId="0" fillId="4" fontId="12" numFmtId="3" xfId="0" applyAlignment="1" applyFont="1" applyNumberFormat="1">
      <alignment horizontal="center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4" fontId="2" numFmtId="3" xfId="0" applyAlignment="1" applyFont="1" applyNumberFormat="1">
      <alignment horizontal="center" readingOrder="0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0" fillId="4" fontId="25" numFmtId="0" xfId="0" applyAlignment="1" applyFont="1">
      <alignment horizontal="center" readingOrder="0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0" fillId="2" fontId="26" numFmtId="0" xfId="0" applyAlignment="1" applyFont="1">
      <alignment horizontal="left" readingOrder="0" shrinkToFit="0" vertical="center" wrapText="1"/>
    </xf>
    <xf borderId="0" fillId="2" fontId="26" numFmtId="3" xfId="0" applyAlignment="1" applyFont="1" applyNumberFormat="1">
      <alignment horizontal="center" readingOrder="0" shrinkToFit="0" vertical="center" wrapText="1"/>
    </xf>
    <xf borderId="0" fillId="3" fontId="27" numFmtId="0" xfId="0" applyAlignment="1" applyFont="1">
      <alignment horizontal="center" readingOrder="0" shrinkToFit="0" vertical="center" wrapText="1"/>
    </xf>
    <xf borderId="0" fillId="2" fontId="26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readingOrder="0" shrinkToFit="0" vertical="center" wrapText="1"/>
    </xf>
    <xf borderId="0" fillId="2" fontId="15" numFmtId="0" xfId="0" applyAlignment="1" applyFont="1">
      <alignment horizontal="center" shrinkToFit="0" vertical="center" wrapText="1"/>
    </xf>
    <xf borderId="0" fillId="2" fontId="26" numFmtId="0" xfId="0" applyAlignment="1" applyFont="1">
      <alignment horizontal="center"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10" fontId="2" numFmtId="0" xfId="0" applyAlignment="1" applyFont="1">
      <alignment vertical="center"/>
    </xf>
    <xf borderId="0" fillId="4" fontId="19" numFmtId="3" xfId="0" applyAlignment="1" applyFont="1" applyNumberFormat="1">
      <alignment horizontal="center" readingOrder="0" shrinkToFit="0" vertical="center" wrapText="1"/>
    </xf>
    <xf borderId="0" fillId="5" fontId="7" numFmtId="3" xfId="0" applyAlignment="1" applyFont="1" applyNumberFormat="1">
      <alignment horizontal="center" readingOrder="0" shrinkToFit="0" vertical="center" wrapText="1"/>
    </xf>
    <xf borderId="0" fillId="7" fontId="7" numFmtId="3" xfId="0" applyAlignment="1" applyFont="1" applyNumberFormat="1">
      <alignment horizontal="center" readingOrder="0" shrinkToFit="0" vertical="center" wrapText="1"/>
    </xf>
    <xf borderId="0" fillId="4" fontId="7" numFmtId="10" xfId="0" applyAlignment="1" applyFont="1" applyNumberFormat="1">
      <alignment horizontal="center" readingOrder="0" shrinkToFit="0" vertical="center" wrapText="1"/>
    </xf>
    <xf borderId="0" fillId="4" fontId="7" numFmtId="3" xfId="0" applyAlignment="1" applyFont="1" applyNumberFormat="1">
      <alignment horizontal="center" readingOrder="0" shrinkToFit="0" vertical="center" wrapText="1"/>
    </xf>
    <xf borderId="0" fillId="4" fontId="28" numFmtId="3" xfId="0" applyAlignment="1" applyFont="1" applyNumberFormat="1">
      <alignment horizontal="center" readingOrder="0" shrinkToFit="0" vertical="center" wrapText="1"/>
    </xf>
    <xf borderId="0" fillId="4" fontId="7" numFmtId="0" xfId="0" applyAlignment="1" applyFont="1">
      <alignment horizontal="center" shrinkToFit="0" vertical="center" wrapText="1"/>
    </xf>
    <xf borderId="0" fillId="0" fontId="19" numFmtId="3" xfId="0" applyAlignment="1" applyFont="1" applyNumberFormat="1">
      <alignment horizontal="center" readingOrder="0" shrinkToFit="0" vertical="center" wrapText="1"/>
    </xf>
    <xf borderId="0" fillId="3" fontId="7" numFmtId="0" xfId="0" applyAlignment="1" applyFont="1">
      <alignment shrinkToFit="0" wrapText="1"/>
    </xf>
    <xf borderId="0" fillId="3" fontId="7" numFmtId="0" xfId="0" applyAlignment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0" fillId="0" fontId="20" numFmtId="0" xfId="0" applyAlignment="1" applyFont="1">
      <alignment horizontal="center" shrinkToFit="0" vertical="center" wrapText="1"/>
    </xf>
    <xf borderId="0" fillId="10" fontId="29" numFmtId="0" xfId="0" applyAlignment="1" applyFont="1">
      <alignment vertical="center"/>
    </xf>
    <xf borderId="0" fillId="0" fontId="2" numFmtId="0" xfId="0" applyAlignment="1" applyFont="1">
      <alignment horizontal="center" shrinkToFit="0" vertical="center" wrapText="1"/>
    </xf>
    <xf borderId="0" fillId="13" fontId="2" numFmtId="0" xfId="0" applyAlignment="1" applyFill="1" applyFont="1">
      <alignment vertical="center"/>
    </xf>
    <xf borderId="0" fillId="14" fontId="2" numFmtId="0" xfId="0" applyAlignment="1" applyFill="1" applyFont="1">
      <alignment vertical="center"/>
    </xf>
    <xf borderId="0" fillId="2" fontId="30" numFmtId="0" xfId="0" applyAlignment="1" applyFont="1">
      <alignment horizontal="center" readingOrder="0"/>
    </xf>
    <xf borderId="0" fillId="11" fontId="22" numFmtId="0" xfId="0" applyAlignment="1" applyFont="1">
      <alignment vertical="center"/>
    </xf>
    <xf borderId="2" fillId="0" fontId="12" numFmtId="0" xfId="0" applyAlignment="1" applyBorder="1" applyFont="1">
      <alignment horizontal="center" readingOrder="0" vertical="center"/>
    </xf>
    <xf borderId="3" fillId="6" fontId="12" numFmtId="3" xfId="0" applyAlignment="1" applyBorder="1" applyFont="1" applyNumberFormat="1">
      <alignment horizontal="center" readingOrder="0" vertical="center"/>
    </xf>
    <xf borderId="4" fillId="0" fontId="12" numFmtId="0" xfId="0" applyAlignment="1" applyBorder="1" applyFont="1">
      <alignment horizontal="center" readingOrder="0" vertical="center"/>
    </xf>
    <xf borderId="3" fillId="7" fontId="2" numFmtId="3" xfId="0" applyAlignment="1" applyBorder="1" applyFont="1" applyNumberFormat="1">
      <alignment horizontal="center" readingOrder="0" vertical="center"/>
    </xf>
    <xf borderId="0" fillId="2" fontId="26" numFmtId="0" xfId="0" applyAlignment="1" applyFont="1">
      <alignment horizontal="left" readingOrder="0" vertical="center"/>
    </xf>
    <xf borderId="0" fillId="2" fontId="26" numFmtId="0" xfId="0" applyAlignment="1" applyFont="1">
      <alignment horizontal="center" readingOrder="0" vertical="center"/>
    </xf>
    <xf borderId="0" fillId="2" fontId="26" numFmtId="3" xfId="0" applyAlignment="1" applyFont="1" applyNumberFormat="1">
      <alignment horizontal="center" readingOrder="0" vertical="center"/>
    </xf>
    <xf borderId="0" fillId="2" fontId="15" numFmtId="3" xfId="0" applyAlignment="1" applyFont="1" applyNumberFormat="1">
      <alignment horizontal="center" readingOrder="0" vertical="center"/>
    </xf>
    <xf borderId="0" fillId="2" fontId="15" numFmtId="0" xfId="0" applyAlignment="1" applyFont="1">
      <alignment horizontal="center" readingOrder="0" vertical="center"/>
    </xf>
    <xf borderId="0" fillId="2" fontId="26" numFmtId="0" xfId="0" applyAlignment="1" applyFont="1">
      <alignment horizontal="center" readingOrder="0" vertical="center"/>
    </xf>
    <xf borderId="0" fillId="2" fontId="15" numFmtId="0" xfId="0" applyAlignment="1" applyFont="1">
      <alignment horizontal="center" vertical="center"/>
    </xf>
    <xf borderId="0" fillId="4" fontId="7" numFmtId="0" xfId="0" applyAlignment="1" applyFont="1">
      <alignment horizontal="left" readingOrder="0" vertical="center"/>
    </xf>
    <xf borderId="0" fillId="4" fontId="20" numFmtId="3" xfId="0" applyAlignment="1" applyFont="1" applyNumberFormat="1">
      <alignment horizontal="center" vertical="center"/>
    </xf>
    <xf borderId="0" fillId="6" fontId="7" numFmtId="3" xfId="0" applyAlignment="1" applyFont="1" applyNumberFormat="1">
      <alignment horizontal="center" readingOrder="0" vertical="center"/>
    </xf>
    <xf borderId="0" fillId="4" fontId="19" numFmtId="3" xfId="0" applyAlignment="1" applyFont="1" applyNumberFormat="1">
      <alignment horizontal="center" readingOrder="0" vertical="center"/>
    </xf>
    <xf borderId="0" fillId="7" fontId="7" numFmtId="3" xfId="0" applyAlignment="1" applyFont="1" applyNumberFormat="1">
      <alignment horizontal="center" readingOrder="0" vertical="center"/>
    </xf>
    <xf borderId="0" fillId="4" fontId="7" numFmtId="10" xfId="0" applyAlignment="1" applyFont="1" applyNumberFormat="1">
      <alignment horizontal="center" readingOrder="0" vertical="center"/>
    </xf>
    <xf borderId="0" fillId="4" fontId="7" numFmtId="3" xfId="0" applyAlignment="1" applyFont="1" applyNumberFormat="1">
      <alignment horizontal="center" readingOrder="0" vertical="center"/>
    </xf>
    <xf borderId="0" fillId="4" fontId="28" numFmtId="3" xfId="0" applyAlignment="1" applyFont="1" applyNumberFormat="1">
      <alignment horizontal="center" readingOrder="0" vertical="center"/>
    </xf>
    <xf borderId="0" fillId="4" fontId="2" numFmtId="0" xfId="0" applyAlignment="1" applyFont="1">
      <alignment horizontal="center" vertical="center"/>
    </xf>
    <xf borderId="0" fillId="4" fontId="19" numFmtId="0" xfId="0" applyAlignment="1" applyFont="1">
      <alignment horizontal="center" readingOrder="0" vertical="center"/>
    </xf>
    <xf borderId="0" fillId="2" fontId="23" numFmtId="0" xfId="0" applyAlignment="1" applyFont="1">
      <alignment vertical="bottom"/>
    </xf>
    <xf borderId="0" fillId="2" fontId="7" numFmtId="0" xfId="0" applyAlignment="1" applyFont="1">
      <alignment horizontal="center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vertical="center"/>
    </xf>
    <xf borderId="0" fillId="2" fontId="6" numFmtId="0" xfId="0" applyAlignment="1" applyFont="1">
      <alignment horizontal="center"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vertical="center"/>
    </xf>
    <xf borderId="0" fillId="2" fontId="23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2"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Australia-style 2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Canada-style 2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USA-style 2">
      <tableStyleElement dxfId="1" type="headerRow"/>
      <tableStyleElement dxfId="2" type="firstRowStripe"/>
      <tableStyleElement dxfId="3" type="secondRowStripe"/>
    </tableStyle>
    <tableStyle count="3" pivot="0" name="USA-style 3">
      <tableStyleElement dxfId="1" type="headerRow"/>
      <tableStyleElement dxfId="2" type="firstRowStripe"/>
      <tableStyleElement dxfId="3" type="secondRowStripe"/>
    </tableStyle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América Latina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  <tableStyle count="3" pivot="0" name="World-style 2">
      <tableStyleElement dxfId="1" type="headerRow"/>
      <tableStyleElement dxfId="2" type="firstRowStripe"/>
      <tableStyleElement dxfId="3" type="secondRowStripe"/>
    </tableStyle>
    <tableStyle count="3" pivot="0" name="World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chartsheet" Target="chartsheets/sheet2.xml"/><Relationship Id="rId10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cases per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World!$A$7:$A$205</c:f>
            </c:strRef>
          </c:cat>
          <c:val>
            <c:numRef>
              <c:f>World!$B$7:$B$205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t>Overall deaths by country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10D31"/>
              </a:solidFill>
            </c:spPr>
          </c:dPt>
          <c:dPt>
            <c:idx val="27"/>
            <c:spPr>
              <a:solidFill>
                <a:srgbClr val="291121"/>
              </a:solidFill>
            </c:spPr>
          </c:dPt>
          <c:dPt>
            <c:idx val="28"/>
            <c:spPr>
              <a:solidFill>
                <a:srgbClr val="FF1D32"/>
              </a:solidFill>
            </c:spPr>
          </c:dPt>
          <c:dPt>
            <c:idx val="29"/>
            <c:spPr>
              <a:solidFill>
                <a:srgbClr val="250D0A"/>
              </a:solidFill>
            </c:spPr>
          </c:dPt>
          <c:dPt>
            <c:idx val="30"/>
            <c:spPr>
              <a:solidFill>
                <a:srgbClr val="5F3D05"/>
              </a:solidFill>
            </c:spPr>
          </c:dPt>
          <c:dPt>
            <c:idx val="31"/>
            <c:spPr>
              <a:solidFill>
                <a:srgbClr val="0B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97E"/>
              </a:solidFill>
            </c:spPr>
          </c:dPt>
          <c:dPt>
            <c:idx val="35"/>
            <c:spPr>
              <a:solidFill>
                <a:srgbClr val="5D211C"/>
              </a:solidFill>
            </c:spPr>
          </c:dPt>
          <c:dPt>
            <c:idx val="36"/>
            <c:spPr>
              <a:solidFill>
                <a:srgbClr val="976108"/>
              </a:solidFill>
            </c:spPr>
          </c:dPt>
          <c:dPt>
            <c:idx val="37"/>
            <c:spPr>
              <a:solidFill>
                <a:srgbClr val="1195A1"/>
              </a:solidFill>
            </c:spPr>
          </c:dPt>
          <c:dPt>
            <c:idx val="38"/>
            <c:spPr>
              <a:solidFill>
                <a:srgbClr val="03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5CA"/>
              </a:solidFill>
            </c:spPr>
          </c:dPt>
          <c:dPt>
            <c:idx val="41"/>
            <c:spPr>
              <a:solidFill>
                <a:srgbClr val="9335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7CFDD"/>
              </a:solidFill>
            </c:spPr>
          </c:dPt>
          <c:dPt>
            <c:idx val="44"/>
            <c:spPr>
              <a:solidFill>
                <a:srgbClr val="034B13"/>
              </a:solidFill>
            </c:spPr>
          </c:dPt>
          <c:dPt>
            <c:idx val="45"/>
            <c:spPr>
              <a:solidFill>
                <a:srgbClr val="DF5FBC"/>
              </a:solidFill>
            </c:spPr>
          </c:dPt>
          <c:dPt>
            <c:idx val="46"/>
            <c:spPr>
              <a:solidFill>
                <a:srgbClr val="FFA216"/>
              </a:solidFill>
            </c:spPr>
          </c:dPt>
          <c:dPt>
            <c:idx val="47"/>
            <c:spPr>
              <a:solidFill>
                <a:srgbClr val="CB493E"/>
              </a:solidFill>
            </c:spPr>
          </c:dPt>
          <c:dPt>
            <c:idx val="48"/>
            <c:spPr>
              <a:solidFill>
                <a:srgbClr val="09AB0E"/>
              </a:solidFill>
            </c:spPr>
          </c:dPt>
          <c:dPt>
            <c:idx val="49"/>
            <c:spPr>
              <a:solidFill>
                <a:srgbClr val="1E061A"/>
              </a:solidFill>
            </c:spPr>
          </c:dPt>
          <c:dPt>
            <c:idx val="50"/>
            <c:spPr>
              <a:solidFill>
                <a:srgbClr val="055F5E"/>
              </a:solidFill>
            </c:spPr>
          </c:dPt>
          <c:dPt>
            <c:idx val="51"/>
            <c:spPr>
              <a:solidFill>
                <a:srgbClr val="1B79F0"/>
              </a:solidFill>
            </c:spPr>
          </c:dPt>
          <c:dPt>
            <c:idx val="52"/>
            <c:spPr>
              <a:solidFill>
                <a:srgbClr val="FFCB63"/>
              </a:solidFill>
            </c:spPr>
          </c:dPt>
          <c:dPt>
            <c:idx val="53"/>
            <c:spPr>
              <a:solidFill>
                <a:srgbClr val="035B4F"/>
              </a:solidFill>
            </c:spPr>
          </c:dPt>
          <c:dPt>
            <c:idx val="54"/>
            <c:spPr>
              <a:solidFill>
                <a:srgbClr val="41CF12"/>
              </a:solidFill>
            </c:spPr>
          </c:dPt>
          <c:dPt>
            <c:idx val="55"/>
            <c:spPr>
              <a:solidFill>
                <a:srgbClr val="233F56"/>
              </a:solidFill>
            </c:spPr>
          </c:dPt>
          <c:dPt>
            <c:idx val="56"/>
            <c:spPr>
              <a:solidFill>
                <a:srgbClr val="0773AA"/>
              </a:solidFill>
            </c:spPr>
          </c:dPt>
          <c:dPt>
            <c:idx val="57"/>
            <c:spPr>
              <a:solidFill>
                <a:srgbClr val="599323"/>
              </a:solidFill>
            </c:spPr>
          </c:dPt>
          <c:dPt>
            <c:idx val="58"/>
            <c:spPr>
              <a:solidFill>
                <a:srgbClr val="FFF7AF"/>
              </a:solidFill>
            </c:spPr>
          </c:dPt>
          <c:dPt>
            <c:idx val="59"/>
            <c:spPr>
              <a:solidFill>
                <a:srgbClr val="3B6F60"/>
              </a:solidFill>
            </c:spPr>
          </c:dPt>
          <c:dPt>
            <c:idx val="60"/>
            <c:spPr>
              <a:solidFill>
                <a:srgbClr val="79F315"/>
              </a:solidFill>
            </c:spPr>
          </c:dPt>
          <c:dPt>
            <c:idx val="61"/>
            <c:spPr>
              <a:solidFill>
                <a:srgbClr val="2B7793"/>
              </a:solidFill>
            </c:spPr>
          </c:dPt>
          <c:dPt>
            <c:idx val="62"/>
            <c:spPr>
              <a:solidFill>
                <a:srgbClr val="0787F5"/>
              </a:solidFill>
            </c:spPr>
          </c:dPt>
          <c:dPt>
            <c:idx val="63"/>
            <c:spPr>
              <a:solidFill>
                <a:srgbClr val="95AF57"/>
              </a:solidFill>
            </c:spPr>
          </c:dPt>
          <c:dPt>
            <c:idx val="64"/>
            <c:spPr>
              <a:solidFill>
                <a:srgbClr val="FF23FB"/>
              </a:solidFill>
            </c:spPr>
          </c:dPt>
          <c:dPt>
            <c:idx val="65"/>
            <c:spPr>
              <a:solidFill>
                <a:srgbClr val="718371"/>
              </a:solidFill>
            </c:spPr>
          </c:dPt>
          <c:dPt>
            <c:idx val="66"/>
            <c:spPr>
              <a:solidFill>
                <a:srgbClr val="B21918"/>
              </a:solidFill>
            </c:spPr>
          </c:dPt>
          <c:dPt>
            <c:idx val="67"/>
            <c:spPr>
              <a:solidFill>
                <a:srgbClr val="2FAFD0"/>
              </a:solidFill>
            </c:spPr>
          </c:dPt>
          <c:dPt>
            <c:idx val="68"/>
            <c:spPr>
              <a:solidFill>
                <a:srgbClr val="099B40"/>
              </a:solidFill>
            </c:spPr>
          </c:dPt>
          <c:dPt>
            <c:idx val="69"/>
            <c:spPr>
              <a:solidFill>
                <a:srgbClr val="D3C78B"/>
              </a:solidFill>
            </c:spPr>
          </c:dPt>
          <c:dPt>
            <c:idx val="70"/>
            <c:spPr>
              <a:solidFill>
                <a:srgbClr val="FF4F47"/>
              </a:solidFill>
            </c:spPr>
          </c:dPt>
          <c:dPt>
            <c:idx val="71"/>
            <c:spPr>
              <a:solidFill>
                <a:srgbClr val="A99782"/>
              </a:solidFill>
            </c:spPr>
          </c:dPt>
          <c:dPt>
            <c:idx val="72"/>
            <c:spPr>
              <a:solidFill>
                <a:srgbClr val="EA3D1C"/>
              </a:solidFill>
            </c:spPr>
          </c:dPt>
          <c:dPt>
            <c:idx val="73"/>
            <c:spPr>
              <a:solidFill>
                <a:srgbClr val="36EB0C"/>
              </a:solidFill>
            </c:spPr>
          </c:dPt>
          <c:dPt>
            <c:idx val="74"/>
            <c:spPr>
              <a:solidFill>
                <a:srgbClr val="09AF8C"/>
              </a:solidFill>
            </c:spPr>
          </c:dPt>
          <c:dPt>
            <c:idx val="75"/>
            <c:spPr>
              <a:solidFill>
                <a:srgbClr val="0FE3BE"/>
              </a:solidFill>
            </c:spPr>
          </c:dPt>
          <c:dPt>
            <c:idx val="76"/>
            <c:spPr>
              <a:solidFill>
                <a:srgbClr val="FF7B93"/>
              </a:solidFill>
            </c:spPr>
          </c:dPt>
          <c:dPt>
            <c:idx val="77"/>
            <c:spPr>
              <a:solidFill>
                <a:srgbClr val="E1AB93"/>
              </a:solidFill>
            </c:spPr>
          </c:dPt>
          <c:dPt>
            <c:idx val="78"/>
            <c:spPr>
              <a:solidFill>
                <a:srgbClr val="23611F"/>
              </a:solidFill>
            </c:spPr>
          </c:dPt>
          <c:dPt>
            <c:idx val="79"/>
            <c:spPr>
              <a:solidFill>
                <a:srgbClr val="3F2349"/>
              </a:solidFill>
            </c:spPr>
          </c:dPt>
          <c:dPt>
            <c:idx val="80"/>
            <c:spPr>
              <a:solidFill>
                <a:srgbClr val="0BC3D7"/>
              </a:solidFill>
            </c:spPr>
          </c:dPt>
          <c:dPt>
            <c:idx val="81"/>
            <c:spPr>
              <a:solidFill>
                <a:srgbClr val="4DFBF2"/>
              </a:solidFill>
            </c:spPr>
          </c:dPt>
          <c:dPt>
            <c:idx val="82"/>
            <c:spPr>
              <a:solidFill>
                <a:srgbClr val="FFA7E0"/>
              </a:solidFill>
            </c:spPr>
          </c:dPt>
          <c:dPt>
            <c:idx val="83"/>
            <c:spPr>
              <a:solidFill>
                <a:srgbClr val="19BFA4"/>
              </a:solidFill>
            </c:spPr>
          </c:dPt>
          <c:dPt>
            <c:idx val="84"/>
            <c:spPr>
              <a:solidFill>
                <a:srgbClr val="5E8522"/>
              </a:solidFill>
            </c:spPr>
          </c:dPt>
          <c:dPt>
            <c:idx val="85"/>
            <c:spPr>
              <a:solidFill>
                <a:srgbClr val="435B85"/>
              </a:solidFill>
            </c:spPr>
          </c:dPt>
          <c:dPt>
            <c:idx val="86"/>
            <c:spPr>
              <a:solidFill>
                <a:srgbClr val="0DD522"/>
              </a:solidFill>
            </c:spPr>
          </c:dPt>
          <c:dPt>
            <c:idx val="87"/>
            <c:spPr>
              <a:solidFill>
                <a:srgbClr val="8B1725"/>
              </a:solidFill>
            </c:spPr>
          </c:dPt>
          <c:dPt>
            <c:idx val="88"/>
            <c:spPr>
              <a:solidFill>
                <a:srgbClr val="FFD62C"/>
              </a:solidFill>
            </c:spPr>
          </c:dPt>
          <c:dPt>
            <c:idx val="89"/>
            <c:spPr>
              <a:solidFill>
                <a:srgbClr val="4FD3B5"/>
              </a:solidFill>
            </c:spPr>
          </c:dPt>
          <c:dPt>
            <c:idx val="90"/>
            <c:spPr>
              <a:solidFill>
                <a:srgbClr val="97AB26"/>
              </a:solidFill>
            </c:spPr>
          </c:dPt>
          <c:dPt>
            <c:idx val="91"/>
            <c:spPr>
              <a:solidFill>
                <a:srgbClr val="4B93C2"/>
              </a:solidFill>
            </c:spPr>
          </c:dPt>
          <c:dPt>
            <c:idx val="92"/>
            <c:spPr>
              <a:solidFill>
                <a:srgbClr val="0DEE6E"/>
              </a:solidFill>
            </c:spPr>
          </c:dPt>
          <c:dPt>
            <c:idx val="93"/>
            <c:spPr>
              <a:solidFill>
                <a:srgbClr val="C63359"/>
              </a:solidFill>
            </c:spPr>
          </c:dPt>
          <c:dPt>
            <c:idx val="94"/>
            <c:spPr>
              <a:solidFill>
                <a:srgbClr val="FFFE78"/>
              </a:solidFill>
            </c:spPr>
          </c:dPt>
          <c:dPt>
            <c:idx val="95"/>
            <c:spPr>
              <a:solidFill>
                <a:srgbClr val="87E7C7"/>
              </a:solidFill>
            </c:spPr>
          </c:dPt>
          <c:dPt>
            <c:idx val="96"/>
            <c:spPr>
              <a:solidFill>
                <a:srgbClr val="CFCF29"/>
              </a:solidFill>
            </c:spPr>
          </c:dPt>
          <c:dPt>
            <c:idx val="97"/>
            <c:spPr>
              <a:solidFill>
                <a:srgbClr val="4FCBFF"/>
              </a:solidFill>
            </c:spPr>
          </c:dPt>
          <c:dPt>
            <c:idx val="98"/>
            <c:spPr>
              <a:solidFill>
                <a:srgbClr val="0FFEB9"/>
              </a:solidFill>
            </c:spPr>
          </c:dPt>
          <c:dPt>
            <c:idx val="99"/>
            <c:spPr>
              <a:solidFill>
                <a:srgbClr val="024B8D"/>
              </a:solidFill>
            </c:spPr>
          </c:dPt>
          <c:dPt>
            <c:idx val="100"/>
            <c:spPr>
              <a:solidFill>
                <a:srgbClr val="FF2EC4"/>
              </a:solidFill>
            </c:spPr>
          </c:dPt>
          <c:dPt>
            <c:idx val="101"/>
            <c:spPr>
              <a:solidFill>
                <a:srgbClr val="BFFBD8"/>
              </a:solidFill>
            </c:spPr>
          </c:dPt>
          <c:dPt>
            <c:idx val="102"/>
            <c:spPr>
              <a:solidFill>
                <a:srgbClr val="06F32C"/>
              </a:solidFill>
            </c:spPr>
          </c:dPt>
          <c:dPt>
            <c:idx val="103"/>
            <c:spPr>
              <a:solidFill>
                <a:srgbClr val="55063B"/>
              </a:solidFill>
            </c:spPr>
          </c:dPt>
          <c:dPt>
            <c:idx val="104"/>
            <c:spPr>
              <a:solidFill>
                <a:srgbClr val="0F1704"/>
              </a:solidFill>
            </c:spPr>
          </c:dPt>
          <c:dPt>
            <c:idx val="105"/>
            <c:spPr>
              <a:solidFill>
                <a:srgbClr val="3F67C0"/>
              </a:solidFill>
            </c:spPr>
          </c:dPt>
          <c:dPt>
            <c:idx val="106"/>
            <c:spPr>
              <a:solidFill>
                <a:srgbClr val="FF5710"/>
              </a:solidFill>
            </c:spPr>
          </c:dPt>
          <c:dPt>
            <c:idx val="107"/>
            <c:spPr>
              <a:solidFill>
                <a:srgbClr val="F60FE9"/>
              </a:solidFill>
            </c:spPr>
          </c:dPt>
          <c:dPt>
            <c:idx val="108"/>
            <c:spPr>
              <a:solidFill>
                <a:srgbClr val="3F192F"/>
              </a:solidFill>
            </c:spPr>
          </c:dPt>
          <c:dPt>
            <c:idx val="109"/>
            <c:spPr>
              <a:solidFill>
                <a:srgbClr val="5F3E78"/>
              </a:solidFill>
            </c:spPr>
          </c:dPt>
          <c:dPt>
            <c:idx val="110"/>
            <c:spPr>
              <a:solidFill>
                <a:srgbClr val="13274F"/>
              </a:solidFill>
            </c:spPr>
          </c:dPt>
          <c:dPt>
            <c:idx val="111"/>
            <c:spPr>
              <a:solidFill>
                <a:srgbClr val="7E7FF4"/>
              </a:solidFill>
            </c:spPr>
          </c:dPt>
          <c:dPt>
            <c:idx val="112"/>
            <c:spPr>
              <a:solidFill>
                <a:srgbClr val="FF855D"/>
              </a:solidFill>
            </c:spPr>
          </c:dPt>
          <c:dPt>
            <c:idx val="113"/>
            <c:spPr>
              <a:solidFill>
                <a:srgbClr val="2F21FA"/>
              </a:solidFill>
            </c:spPr>
          </c:dPt>
          <c:dPt>
            <c:idx val="114"/>
            <c:spPr>
              <a:solidFill>
                <a:srgbClr val="773D33"/>
              </a:solidFill>
            </c:spPr>
          </c:dPt>
          <c:dPt>
            <c:idx val="115"/>
            <c:spPr>
              <a:solidFill>
                <a:srgbClr val="6677B4"/>
              </a:solidFill>
            </c:spPr>
          </c:dPt>
          <c:dPt>
            <c:idx val="116"/>
            <c:spPr>
              <a:solidFill>
                <a:srgbClr val="123F9B"/>
              </a:solidFill>
            </c:spPr>
          </c:dPt>
          <c:dPt>
            <c:idx val="117"/>
            <c:spPr>
              <a:solidFill>
                <a:srgbClr val="BB9C27"/>
              </a:solidFill>
            </c:spPr>
          </c:dPt>
          <c:dPt>
            <c:idx val="118"/>
            <c:spPr>
              <a:solidFill>
                <a:srgbClr val="FFADA9"/>
              </a:solidFill>
            </c:spPr>
          </c:dPt>
          <c:dPt>
            <c:idx val="119"/>
            <c:spPr>
              <a:solidFill>
                <a:srgbClr val="67370B"/>
              </a:solidFill>
            </c:spPr>
          </c:dPt>
          <c:dPt>
            <c:idx val="120"/>
            <c:spPr>
              <a:solidFill>
                <a:srgbClr val="B36136"/>
              </a:solidFill>
            </c:spPr>
          </c:dPt>
          <c:dPt>
            <c:idx val="121"/>
            <c:spPr>
              <a:solidFill>
                <a:srgbClr val="6CAFF1"/>
              </a:solidFill>
            </c:spPr>
          </c:dPt>
          <c:dPt>
            <c:idx val="122"/>
            <c:spPr>
              <a:solidFill>
                <a:srgbClr val="134FE6"/>
              </a:solidFill>
            </c:spPr>
          </c:dPt>
          <c:dPt>
            <c:idx val="123"/>
            <c:spPr>
              <a:solidFill>
                <a:srgbClr val="F6B65B"/>
              </a:solidFill>
            </c:spPr>
          </c:dPt>
          <c:dPt>
            <c:idx val="124"/>
            <c:spPr>
              <a:solidFill>
                <a:srgbClr val="FFDDF5"/>
              </a:solidFill>
            </c:spPr>
          </c:dPt>
          <c:dPt>
            <c:idx val="125"/>
            <c:spPr>
              <a:solidFill>
                <a:srgbClr val="9E4B1C"/>
              </a:solidFill>
            </c:spPr>
          </c:dPt>
          <c:dPt>
            <c:idx val="126"/>
            <c:spPr>
              <a:solidFill>
                <a:srgbClr val="EB8739"/>
              </a:solidFill>
            </c:spPr>
          </c:dPt>
          <c:dPt>
            <c:idx val="127"/>
            <c:spPr>
              <a:solidFill>
                <a:srgbClr val="6EE72E"/>
              </a:solidFill>
            </c:spPr>
          </c:dPt>
          <c:dPt>
            <c:idx val="128"/>
            <c:spPr>
              <a:solidFill>
                <a:srgbClr val="166631"/>
              </a:solidFill>
            </c:spPr>
          </c:dPt>
          <c:dPt>
            <c:idx val="129"/>
            <c:spPr>
              <a:solidFill>
                <a:srgbClr val="33CC8F"/>
              </a:solidFill>
            </c:spPr>
          </c:dPt>
          <c:dPt>
            <c:idx val="130"/>
            <c:spPr>
              <a:solidFill>
                <a:srgbClr val="FF0741"/>
              </a:solidFill>
            </c:spPr>
          </c:dPt>
          <c:dPt>
            <c:idx val="131"/>
            <c:spPr>
              <a:solidFill>
                <a:srgbClr val="D65F2D"/>
              </a:solidFill>
            </c:spPr>
          </c:dPt>
          <c:dPt>
            <c:idx val="132"/>
            <c:spPr>
              <a:solidFill>
                <a:srgbClr val="23AB3D"/>
              </a:solidFill>
            </c:spPr>
          </c:dPt>
          <c:dPt>
            <c:idx val="133"/>
            <c:spPr>
              <a:solidFill>
                <a:srgbClr val="751D6A"/>
              </a:solidFill>
            </c:spPr>
          </c:dPt>
          <c:dPt>
            <c:idx val="134"/>
            <c:spPr>
              <a:solidFill>
                <a:srgbClr val="17767D"/>
              </a:solidFill>
            </c:spPr>
          </c:dPt>
          <c:dPt>
            <c:idx val="135"/>
            <c:spPr>
              <a:solidFill>
                <a:srgbClr val="72E6C2"/>
              </a:solidFill>
            </c:spPr>
          </c:dPt>
          <c:dPt>
            <c:idx val="136"/>
            <c:spPr>
              <a:solidFill>
                <a:srgbClr val="FF378D"/>
              </a:solidFill>
            </c:spPr>
          </c:dPt>
          <c:dPt>
            <c:idx val="137"/>
            <c:spPr>
              <a:solidFill>
                <a:srgbClr val="0B733E"/>
              </a:solidFill>
            </c:spPr>
          </c:dPt>
          <c:dPt>
            <c:idx val="138"/>
            <c:spPr>
              <a:solidFill>
                <a:srgbClr val="5BCF40"/>
              </a:solidFill>
            </c:spPr>
          </c:dPt>
          <c:dPt>
            <c:idx val="139"/>
            <c:spPr>
              <a:solidFill>
                <a:srgbClr val="7F55A7"/>
              </a:solidFill>
            </c:spPr>
          </c:dPt>
          <c:dPt>
            <c:idx val="140"/>
            <c:spPr>
              <a:solidFill>
                <a:srgbClr val="178EC8"/>
              </a:solidFill>
            </c:spPr>
          </c:dPt>
          <c:dPt>
            <c:idx val="141"/>
            <c:spPr>
              <a:solidFill>
                <a:srgbClr val="AF04F6"/>
              </a:solidFill>
            </c:spPr>
          </c:dPt>
          <c:dPt>
            <c:idx val="142"/>
            <c:spPr>
              <a:solidFill>
                <a:srgbClr val="FF5EDA"/>
              </a:solidFill>
            </c:spPr>
          </c:dPt>
          <c:dPt>
            <c:idx val="143"/>
            <c:spPr>
              <a:solidFill>
                <a:srgbClr val="43864F"/>
              </a:solidFill>
            </c:spPr>
          </c:dPt>
          <c:dPt>
            <c:idx val="144"/>
            <c:spPr>
              <a:solidFill>
                <a:srgbClr val="93F343"/>
              </a:solidFill>
            </c:spPr>
          </c:dPt>
          <c:dPt>
            <c:idx val="145"/>
            <c:spPr>
              <a:solidFill>
                <a:srgbClr val="858DE3"/>
              </a:solidFill>
            </c:spPr>
          </c:dPt>
          <c:dPt>
            <c:idx val="146"/>
            <c:spPr>
              <a:solidFill>
                <a:srgbClr val="1A9F13"/>
              </a:solidFill>
            </c:spPr>
          </c:dPt>
          <c:dPt>
            <c:idx val="147"/>
            <c:spPr>
              <a:solidFill>
                <a:srgbClr val="EB1F29"/>
              </a:solidFill>
            </c:spPr>
          </c:dPt>
          <c:dPt>
            <c:idx val="148"/>
            <c:spPr>
              <a:solidFill>
                <a:srgbClr val="FF8F26"/>
              </a:solidFill>
            </c:spPr>
          </c:dPt>
          <c:dPt>
            <c:idx val="149"/>
            <c:spPr>
              <a:solidFill>
                <a:srgbClr val="7A9A60"/>
              </a:solidFill>
            </c:spPr>
          </c:dPt>
          <c:dPt>
            <c:idx val="150"/>
            <c:spPr>
              <a:solidFill>
                <a:srgbClr val="CC1947"/>
              </a:solidFill>
            </c:spPr>
          </c:dPt>
          <c:dPt>
            <c:idx val="151"/>
            <c:spPr>
              <a:solidFill>
                <a:srgbClr val="8DC720"/>
              </a:solidFill>
            </c:spPr>
          </c:dPt>
          <c:dPt>
            <c:idx val="152"/>
            <c:spPr>
              <a:solidFill>
                <a:srgbClr val="1BB75F"/>
              </a:solidFill>
            </c:spPr>
          </c:dPt>
          <c:dPt>
            <c:idx val="153"/>
            <c:spPr>
              <a:solidFill>
                <a:srgbClr val="27355D"/>
              </a:solidFill>
            </c:spPr>
          </c:dPt>
          <c:dPt>
            <c:idx val="154"/>
            <c:spPr>
              <a:solidFill>
                <a:srgbClr val="FFB772"/>
              </a:solidFill>
            </c:spPr>
          </c:dPt>
          <c:dPt>
            <c:idx val="155"/>
            <c:spPr>
              <a:solidFill>
                <a:srgbClr val="B2AE72"/>
              </a:solidFill>
            </c:spPr>
          </c:dPt>
          <c:dPt>
            <c:idx val="156"/>
            <c:spPr>
              <a:solidFill>
                <a:srgbClr val="043D4A"/>
              </a:solidFill>
            </c:spPr>
          </c:dPt>
          <c:dPt>
            <c:idx val="157"/>
            <c:spPr>
              <a:solidFill>
                <a:srgbClr val="8FFF5D"/>
              </a:solidFill>
            </c:spPr>
          </c:dPt>
          <c:dPt>
            <c:idx val="158"/>
            <c:spPr>
              <a:solidFill>
                <a:srgbClr val="1AC7AA"/>
              </a:solidFill>
            </c:spPr>
          </c:dPt>
          <c:dPt>
            <c:idx val="159"/>
            <c:spPr>
              <a:solidFill>
                <a:srgbClr val="634F91"/>
              </a:solidFill>
            </c:spPr>
          </c:dPt>
          <c:dPt>
            <c:idx val="160"/>
            <c:spPr>
              <a:solidFill>
                <a:srgbClr val="FFE7BE"/>
              </a:solidFill>
            </c:spPr>
          </c:dPt>
          <c:dPt>
            <c:idx val="161"/>
            <c:spPr>
              <a:solidFill>
                <a:srgbClr val="EBC283"/>
              </a:solidFill>
            </c:spPr>
          </c:dPt>
          <c:dPt>
            <c:idx val="162"/>
            <c:spPr>
              <a:solidFill>
                <a:srgbClr val="3D614D"/>
              </a:solidFill>
            </c:spPr>
          </c:dPt>
          <c:dPt>
            <c:idx val="163"/>
            <c:spPr>
              <a:solidFill>
                <a:srgbClr val="963699"/>
              </a:solidFill>
            </c:spPr>
          </c:dPt>
          <c:dPt>
            <c:idx val="164"/>
            <c:spPr>
              <a:solidFill>
                <a:srgbClr val="1BDFF5"/>
              </a:solidFill>
            </c:spPr>
          </c:dPt>
          <c:dPt>
            <c:idx val="165"/>
            <c:spPr>
              <a:solidFill>
                <a:srgbClr val="A36DC4"/>
              </a:solidFill>
            </c:spPr>
          </c:dPt>
          <c:dPt>
            <c:idx val="166"/>
            <c:spPr>
              <a:solidFill>
                <a:srgbClr val="FF0C0A"/>
              </a:solidFill>
            </c:spPr>
          </c:dPt>
          <c:dPt>
            <c:idx val="167"/>
            <c:spPr>
              <a:solidFill>
                <a:srgbClr val="23D694"/>
              </a:solidFill>
            </c:spPr>
          </c:dPt>
          <c:dPt>
            <c:idx val="168"/>
            <c:spPr>
              <a:solidFill>
                <a:srgbClr val="768750"/>
              </a:solidFill>
            </c:spPr>
          </c:dPt>
          <c:dPt>
            <c:idx val="169"/>
            <c:spPr>
              <a:solidFill>
                <a:srgbClr val="9E6ED6"/>
              </a:solidFill>
            </c:spPr>
          </c:dPt>
          <c:dPt>
            <c:idx val="170"/>
            <c:spPr>
              <a:solidFill>
                <a:srgbClr val="1FEF40"/>
              </a:solidFill>
            </c:spPr>
          </c:dPt>
          <c:dPt>
            <c:idx val="171"/>
            <c:spPr>
              <a:solidFill>
                <a:srgbClr val="DF87F8"/>
              </a:solidFill>
            </c:spPr>
          </c:dPt>
          <c:dPt>
            <c:idx val="172"/>
            <c:spPr>
              <a:solidFill>
                <a:srgbClr val="FF3F57"/>
              </a:solidFill>
            </c:spPr>
          </c:dPt>
          <c:dPt>
            <c:idx val="173"/>
            <c:spPr>
              <a:solidFill>
                <a:srgbClr val="5AE7A5"/>
              </a:solidFill>
            </c:spPr>
          </c:dPt>
          <c:dPt>
            <c:idx val="174"/>
            <c:spPr>
              <a:solidFill>
                <a:srgbClr val="AEAB54"/>
              </a:solidFill>
            </c:spPr>
          </c:dPt>
          <c:dPt>
            <c:idx val="175"/>
            <c:spPr>
              <a:solidFill>
                <a:srgbClr val="A7A712"/>
              </a:solidFill>
            </c:spPr>
          </c:dPt>
          <c:dPt>
            <c:idx val="176"/>
            <c:spPr>
              <a:solidFill>
                <a:srgbClr val="1F0B8C"/>
              </a:solidFill>
            </c:spPr>
          </c:dPt>
          <c:dPt>
            <c:idx val="177"/>
            <c:spPr>
              <a:solidFill>
                <a:srgbClr val="1B9F2B"/>
              </a:solidFill>
            </c:spPr>
          </c:dPt>
          <c:dPt>
            <c:idx val="178"/>
            <c:spPr>
              <a:solidFill>
                <a:srgbClr val="FF6BA3"/>
              </a:solidFill>
            </c:spPr>
          </c:dPt>
          <c:dPt>
            <c:idx val="179"/>
            <c:spPr>
              <a:solidFill>
                <a:srgbClr val="92FBB6"/>
              </a:solidFill>
            </c:spPr>
          </c:dPt>
          <c:dPt>
            <c:idx val="180"/>
            <c:spPr>
              <a:solidFill>
                <a:srgbClr val="E7CF57"/>
              </a:solidFill>
            </c:spPr>
          </c:dPt>
          <c:dPt>
            <c:idx val="181"/>
            <c:spPr>
              <a:solidFill>
                <a:srgbClr val="A7DF4F"/>
              </a:solidFill>
            </c:spPr>
          </c:dPt>
          <c:dPt>
            <c:idx val="182"/>
            <c:spPr>
              <a:solidFill>
                <a:srgbClr val="1F1FD7"/>
              </a:solidFill>
            </c:spPr>
          </c:dPt>
          <c:dPt>
            <c:idx val="183"/>
            <c:spPr>
              <a:solidFill>
                <a:srgbClr val="57B75F"/>
              </a:solidFill>
            </c:spPr>
          </c:dPt>
          <c:dPt>
            <c:idx val="184"/>
            <c:spPr>
              <a:solidFill>
                <a:srgbClr val="FF8FEF"/>
              </a:solidFill>
            </c:spPr>
          </c:dPt>
          <c:dPt>
            <c:idx val="185"/>
            <c:spPr>
              <a:solidFill>
                <a:srgbClr val="C70FC7"/>
              </a:solidFill>
            </c:spPr>
          </c:dPt>
          <c:dPt>
            <c:idx val="186"/>
            <c:spPr>
              <a:solidFill>
                <a:srgbClr val="24F55A"/>
              </a:solidFill>
            </c:spPr>
          </c:dPt>
          <c:dPt>
            <c:idx val="187"/>
            <c:spPr>
              <a:solidFill>
                <a:srgbClr val="AF178C"/>
              </a:solidFill>
            </c:spPr>
          </c:dPt>
          <c:dPt>
            <c:idx val="188"/>
            <c:spPr>
              <a:solidFill>
                <a:srgbClr val="232B22"/>
              </a:solidFill>
            </c:spPr>
          </c:dPt>
          <c:dPt>
            <c:idx val="189"/>
            <c:spPr>
              <a:solidFill>
                <a:srgbClr val="97D793"/>
              </a:solidFill>
            </c:spPr>
          </c:dPt>
          <c:dPt>
            <c:idx val="190"/>
            <c:spPr>
              <a:solidFill>
                <a:srgbClr val="FFBB3B"/>
              </a:solidFill>
            </c:spPr>
          </c:dPt>
          <c:dPt>
            <c:idx val="191"/>
            <c:spPr>
              <a:solidFill>
                <a:srgbClr val="FF23D8"/>
              </a:solidFill>
            </c:spPr>
          </c:dPt>
          <c:dPt>
            <c:idx val="192"/>
            <c:spPr>
              <a:solidFill>
                <a:srgbClr val="5D195E"/>
              </a:solidFill>
            </c:spPr>
          </c:dPt>
          <c:dPt>
            <c:idx val="193"/>
            <c:spPr>
              <a:solidFill>
                <a:srgbClr val="B757C8"/>
              </a:solidFill>
            </c:spPr>
          </c:dPt>
          <c:dPt>
            <c:idx val="194"/>
            <c:spPr>
              <a:solidFill>
                <a:srgbClr val="233F6E"/>
              </a:solidFill>
            </c:spPr>
          </c:dPt>
          <c:dPt>
            <c:idx val="195"/>
            <c:spPr>
              <a:solidFill>
                <a:srgbClr val="D3EFC6"/>
              </a:solidFill>
            </c:spPr>
          </c:dPt>
          <c:dPt>
            <c:idx val="196"/>
            <c:spPr>
              <a:solidFill>
                <a:srgbClr val="FFEF87"/>
              </a:solidFill>
            </c:spPr>
          </c:dPt>
          <c:dPt>
            <c:idx val="197"/>
            <c:spPr>
              <a:solidFill>
                <a:srgbClr val="3737E9"/>
              </a:solidFill>
            </c:spPr>
          </c:dPt>
          <c:dPt>
            <c:idx val="198"/>
            <c:spPr>
              <a:solidFill>
                <a:srgbClr val="953D61"/>
              </a:solidFill>
            </c:spPr>
          </c:dPt>
          <c:dPt>
            <c:idx val="199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World!$A$7:$A$205</c:f>
            </c:strRef>
          </c:cat>
          <c:val>
            <c:numRef>
              <c:f>World!$D$7:$D$206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L6:L208" displayName="Table_10" id="10">
  <tableColumns count="1">
    <tableColumn name="Cases" id="1"/>
  </tableColumns>
  <tableStyleInfo name="World-style" showColumnStripes="0" showFirstColumn="1" showLastColumn="1" showRowStripes="1"/>
</table>
</file>

<file path=xl/tables/table10.xml><?xml version="1.0" encoding="utf-8"?>
<table xmlns="http://schemas.openxmlformats.org/spreadsheetml/2006/main" ref="L5:M20" displayName="Table_4" id="4">
  <tableColumns count="2">
    <tableColumn name="Cases" id="1"/>
    <tableColumn name="Deaths" id="2"/>
  </tableColumns>
  <tableStyleInfo name="Canada-style 2" showColumnStripes="0" showFirstColumn="1" showLastColumn="1" showRowStripes="1"/>
</table>
</file>

<file path=xl/tables/table11.xml><?xml version="1.0" encoding="utf-8"?>
<table xmlns="http://schemas.openxmlformats.org/spreadsheetml/2006/main" headerRowCount="0" ref="A5:G16" displayName="Table_8" id="8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ref="A5:E24" displayName="Table_9" id="9">
  <tableColumns count="5">
    <tableColumn name="Mundo Hispano" id="1"/>
    <tableColumn name="Casos" id="2"/>
    <tableColumn name="Muertes" id="3"/>
    <tableColumn name="Serios" id="4"/>
    <tableColumn name="Recuperados" id="5"/>
  </tableColumns>
  <tableStyleInfo name="América Latina-style" showColumnStripes="0" showFirstColumn="1" showLastColumn="1" showRowStripes="1"/>
</table>
</file>

<file path=xl/tables/table2.xml><?xml version="1.0" encoding="utf-8"?>
<table xmlns="http://schemas.openxmlformats.org/spreadsheetml/2006/main" ref="A6:I208" displayName="Table_11" id="11">
  <tableColumns count="9">
    <tableColumn name="LOCATION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World-style 2" showColumnStripes="0" showFirstColumn="1" showLastColumn="1" showRowStripes="1"/>
</table>
</file>

<file path=xl/tables/table3.xml><?xml version="1.0" encoding="utf-8"?>
<table xmlns="http://schemas.openxmlformats.org/spreadsheetml/2006/main" ref="M6:M208" displayName="Table_12" id="12">
  <tableColumns count="1">
    <tableColumn name="Deaths" id="1"/>
  </tableColumns>
  <tableStyleInfo name="World-style 3" showColumnStripes="0" showFirstColumn="1" showLastColumn="1" showRowStripes="1"/>
</table>
</file>

<file path=xl/tables/table4.xml><?xml version="1.0" encoding="utf-8"?>
<table xmlns="http://schemas.openxmlformats.org/spreadsheetml/2006/main" ref="M5:M6" displayName="Table_5" id="5">
  <tableColumns count="1">
    <tableColumn name="Deaths" id="1"/>
  </tableColumns>
  <tableStyleInfo name="USA-style" showColumnStripes="0" showFirstColumn="1" showLastColumn="1" showRowStripes="1"/>
</table>
</file>

<file path=xl/tables/table5.xml><?xml version="1.0" encoding="utf-8"?>
<table xmlns="http://schemas.openxmlformats.org/spreadsheetml/2006/main" ref="A5:I68" displayName="Table_6" id="6">
  <tableColumns count="9">
    <tableColumn name="UNITED STATES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USA-style 2" showColumnStripes="0" showFirstColumn="1" showLastColumn="1" showRowStripes="1"/>
</table>
</file>

<file path=xl/tables/table6.xml><?xml version="1.0" encoding="utf-8"?>
<table xmlns="http://schemas.openxmlformats.org/spreadsheetml/2006/main" ref="L5:L6" displayName="Table_7" id="7">
  <tableColumns count="1">
    <tableColumn name="Cases" id="1"/>
  </tableColumns>
  <tableStyleInfo name="USA-style 3" showColumnStripes="0" showFirstColumn="1" showLastColumn="1" showRowStripes="1"/>
</table>
</file>

<file path=xl/tables/table7.xml><?xml version="1.0" encoding="utf-8"?>
<table xmlns="http://schemas.openxmlformats.org/spreadsheetml/2006/main" ref="A5:I18" displayName="Table_1" id="1">
  <tableColumns count="9">
    <tableColumn name="AUSTRALI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Australia-style" showColumnStripes="0" showFirstColumn="1" showLastColumn="1" showRowStripes="1"/>
</table>
</file>

<file path=xl/tables/table8.xml><?xml version="1.0" encoding="utf-8"?>
<table xmlns="http://schemas.openxmlformats.org/spreadsheetml/2006/main" ref="L5:M18" displayName="Table_2" id="2">
  <tableColumns count="2">
    <tableColumn name="Cases" id="1"/>
    <tableColumn name="Deaths" id="2"/>
  </tableColumns>
  <tableStyleInfo name="Australia-style 2" showColumnStripes="0" showFirstColumn="1" showLastColumn="1" showRowStripes="1"/>
</table>
</file>

<file path=xl/tables/table9.xml><?xml version="1.0" encoding="utf-8"?>
<table xmlns="http://schemas.openxmlformats.org/spreadsheetml/2006/main" ref="A5:I20" displayName="Table_3" id="3">
  <tableColumns count="9">
    <tableColumn name="CANADA" id="1"/>
    <tableColumn name="Cases" id="2"/>
    <tableColumn name="New cases" id="3"/>
    <tableColumn name="Deaths" id="4"/>
    <tableColumn name="New deaths" id="5"/>
    <tableColumn name="Death rate" id="6"/>
    <tableColumn name="Serious &amp; Critical" id="7"/>
    <tableColumn name="Recovered" id="8"/>
    <tableColumn name="Links" id="9"/>
  </tableColumns>
  <tableStyleInfo name="Canad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9.xml"/><Relationship Id="rId5" Type="http://schemas.openxmlformats.org/officeDocument/2006/relationships/table" Target="../tables/table10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13.0"/>
    <col customWidth="1" min="3" max="3" width="8.43"/>
    <col customWidth="1" min="4" max="4" width="9.0"/>
    <col customWidth="1" min="5" max="5" width="9.43"/>
    <col customWidth="1" min="6" max="6" width="8.71"/>
    <col customWidth="1" min="7" max="7" width="9.71"/>
    <col customWidth="1" min="8" max="8" width="11.57"/>
    <col customWidth="1" min="9" max="9" width="10.0"/>
    <col customWidth="1" min="10" max="10" width="0.71"/>
    <col customWidth="1" min="12" max="12" width="13.0"/>
    <col customWidth="1" min="13" max="13" width="9.0"/>
  </cols>
  <sheetData>
    <row r="1">
      <c r="A1" s="3" t="s">
        <v>0</v>
      </c>
      <c r="B1" s="4"/>
      <c r="C1" s="4"/>
      <c r="D1" s="4"/>
      <c r="E1" s="6"/>
      <c r="F1" s="6"/>
      <c r="G1" s="6"/>
      <c r="H1" s="7"/>
      <c r="I1" s="9"/>
      <c r="J1" s="2"/>
      <c r="K1" s="10"/>
      <c r="L1" s="4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"/>
      <c r="B2" s="4"/>
      <c r="C2" s="4"/>
      <c r="D2" s="4"/>
      <c r="E2" s="6"/>
      <c r="F2" s="6"/>
      <c r="G2" s="6"/>
      <c r="H2" s="7"/>
      <c r="I2" s="9"/>
      <c r="J2" s="2"/>
      <c r="K2" s="11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 t="s">
        <v>1</v>
      </c>
      <c r="B3" s="12" t="s">
        <v>2</v>
      </c>
      <c r="C3" s="6" t="s">
        <v>3</v>
      </c>
      <c r="E3" s="8" t="s">
        <v>4</v>
      </c>
      <c r="H3" s="7"/>
      <c r="I3" s="9"/>
      <c r="J3" s="2"/>
      <c r="K3" s="11"/>
      <c r="L3" s="12" t="s">
        <v>2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3">
        <f>SUM(B207, B208)</f>
        <v>1276464</v>
      </c>
      <c r="B4" s="15">
        <f>SUM(D207, D208)</f>
        <v>69543</v>
      </c>
      <c r="C4" s="14">
        <f>SUM(H207, H208)</f>
        <v>262387</v>
      </c>
      <c r="E4" s="16">
        <f>MINUS(A4,B4 + C4)</f>
        <v>944534</v>
      </c>
      <c r="F4" s="16"/>
      <c r="G4" s="6"/>
      <c r="H4" s="7"/>
      <c r="I4" s="9"/>
      <c r="J4" s="2"/>
      <c r="K4" s="11"/>
      <c r="L4" s="18">
        <f>SUM(N207, N208)</f>
        <v>0</v>
      </c>
      <c r="N4" s="19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7"/>
      <c r="B5" s="9"/>
      <c r="C5" s="9"/>
      <c r="D5" s="9"/>
      <c r="E5" s="7"/>
      <c r="F5" s="7"/>
      <c r="G5" s="7"/>
      <c r="H5" s="7"/>
      <c r="I5" s="9"/>
      <c r="J5" s="2"/>
      <c r="K5" s="11"/>
      <c r="L5" s="9"/>
      <c r="M5" s="9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0.0" customHeight="1">
      <c r="A6" s="22" t="s">
        <v>7</v>
      </c>
      <c r="B6" s="24" t="s">
        <v>6</v>
      </c>
      <c r="C6" s="23" t="s">
        <v>9</v>
      </c>
      <c r="D6" s="24" t="s">
        <v>10</v>
      </c>
      <c r="E6" s="25" t="s">
        <v>11</v>
      </c>
      <c r="F6" s="25" t="s">
        <v>12</v>
      </c>
      <c r="G6" s="25" t="s">
        <v>13</v>
      </c>
      <c r="H6" s="27" t="s">
        <v>14</v>
      </c>
      <c r="I6" s="24" t="s">
        <v>15</v>
      </c>
      <c r="J6" s="28"/>
      <c r="K6" s="29"/>
      <c r="L6" s="24" t="s">
        <v>6</v>
      </c>
      <c r="M6" s="24" t="s">
        <v>10</v>
      </c>
      <c r="N6" s="30"/>
      <c r="O6" s="31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30.0" customHeight="1">
      <c r="A7" s="33" t="s">
        <v>18</v>
      </c>
      <c r="B7" s="36">
        <f>USA!A3</f>
        <v>335781</v>
      </c>
      <c r="C7" s="39">
        <f t="shared" ref="C7:C190" si="1">MINUS(B7,L7)</f>
        <v>24603</v>
      </c>
      <c r="D7" s="36">
        <f>USA!B3</f>
        <v>9595</v>
      </c>
      <c r="E7" s="41">
        <f t="shared" ref="E7:E206" si="2">MINUS(D7, M7)</f>
        <v>793</v>
      </c>
      <c r="F7" s="42">
        <f t="shared" ref="F7:F205" si="3">DIVIDE(D7, B7)</f>
        <v>0.02857517251</v>
      </c>
      <c r="G7" s="45">
        <f>USA!G66</f>
        <v>5750</v>
      </c>
      <c r="H7" s="45">
        <f>USA!C3</f>
        <v>12936</v>
      </c>
      <c r="I7" s="52" t="str">
        <f>HYPERLINK("https://bnonews.com/index.php/2019/12/tracking-coronavirus-u-s-data/","Source")</f>
        <v>Source</v>
      </c>
      <c r="J7" s="54"/>
      <c r="K7" s="56"/>
      <c r="L7" s="36">
        <v>311178.0</v>
      </c>
      <c r="M7" s="58">
        <v>8802.0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30.0" customHeight="1">
      <c r="A8" s="33" t="s">
        <v>21</v>
      </c>
      <c r="B8" s="36">
        <v>130854.0</v>
      </c>
      <c r="C8" s="39">
        <f t="shared" si="1"/>
        <v>4686</v>
      </c>
      <c r="D8" s="60">
        <v>12518.0</v>
      </c>
      <c r="E8" s="41">
        <f t="shared" si="2"/>
        <v>571</v>
      </c>
      <c r="F8" s="61">
        <f t="shared" si="3"/>
        <v>0.09566386966</v>
      </c>
      <c r="G8" s="45">
        <v>6861.0</v>
      </c>
      <c r="H8" s="45">
        <v>38080.0</v>
      </c>
      <c r="I8" s="52" t="str">
        <f>HYPERLINK("https://twitter.com/SaludPublicaEs/status/1246733306978320385","Source")</f>
        <v>Source</v>
      </c>
      <c r="J8" s="64"/>
      <c r="K8" s="66"/>
      <c r="L8" s="36">
        <v>126168.0</v>
      </c>
      <c r="M8" s="60">
        <v>11947.0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30.0" customHeight="1">
      <c r="A9" s="33" t="s">
        <v>24</v>
      </c>
      <c r="B9" s="36">
        <v>128948.0</v>
      </c>
      <c r="C9" s="39">
        <f t="shared" si="1"/>
        <v>4316</v>
      </c>
      <c r="D9" s="36">
        <v>15887.0</v>
      </c>
      <c r="E9" s="41">
        <f t="shared" si="2"/>
        <v>525</v>
      </c>
      <c r="F9" s="61">
        <f t="shared" si="3"/>
        <v>0.1232047027</v>
      </c>
      <c r="G9" s="45">
        <v>3977.0</v>
      </c>
      <c r="H9" s="45">
        <v>21815.0</v>
      </c>
      <c r="I9" s="52" t="str">
        <f>HYPERLINK("https://pbs.twimg.com/media/EUxaZpJXgAEe4M7?format=jpg&amp;name=medium","Source")</f>
        <v>Source</v>
      </c>
      <c r="J9" s="68"/>
      <c r="K9" s="66"/>
      <c r="L9" s="36">
        <v>124632.0</v>
      </c>
      <c r="M9" s="36">
        <v>15362.0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30.0" customHeight="1">
      <c r="A10" s="33" t="s">
        <v>29</v>
      </c>
      <c r="B10" s="60">
        <v>100103.0</v>
      </c>
      <c r="C10" s="39">
        <f t="shared" si="1"/>
        <v>3729</v>
      </c>
      <c r="D10" s="36">
        <v>1559.0</v>
      </c>
      <c r="E10" s="41">
        <f t="shared" si="2"/>
        <v>113</v>
      </c>
      <c r="F10" s="42">
        <f t="shared" si="3"/>
        <v>0.01557395882</v>
      </c>
      <c r="G10" s="45">
        <v>2447.0</v>
      </c>
      <c r="H10" s="45">
        <v>36270.0</v>
      </c>
      <c r="I10" s="52" t="str">
        <f>HYPERLINK("https://dts-nachrichtenagentur.de/corona-fallzahlen","Source")</f>
        <v>Source</v>
      </c>
      <c r="J10" s="64"/>
      <c r="K10" s="66"/>
      <c r="L10" s="60">
        <v>96374.0</v>
      </c>
      <c r="M10" s="36">
        <v>1446.0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30.0" customHeight="1">
      <c r="A11" s="33" t="s">
        <v>34</v>
      </c>
      <c r="B11" s="36">
        <v>92839.0</v>
      </c>
      <c r="C11" s="39">
        <f t="shared" si="1"/>
        <v>6407</v>
      </c>
      <c r="D11" s="36">
        <v>8078.0</v>
      </c>
      <c r="E11" s="41">
        <f t="shared" si="2"/>
        <v>518</v>
      </c>
      <c r="F11" s="61">
        <f t="shared" si="3"/>
        <v>0.08701084673</v>
      </c>
      <c r="G11" s="45">
        <v>6978.0</v>
      </c>
      <c r="H11" s="45">
        <v>16183.0</v>
      </c>
      <c r="I11" s="52" t="str">
        <f>HYPERLINK("https://news.trust.org/item/20200405184225-ehm17","Source")</f>
        <v>Source</v>
      </c>
      <c r="J11" s="28"/>
      <c r="K11" s="71" t="s">
        <v>25</v>
      </c>
      <c r="L11" s="36">
        <v>86432.0</v>
      </c>
      <c r="M11" s="36">
        <v>7560.0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30.0" customHeight="1">
      <c r="A12" s="33" t="s">
        <v>37</v>
      </c>
      <c r="B12" s="36">
        <f>China!A3</f>
        <v>83423</v>
      </c>
      <c r="C12" s="39">
        <f t="shared" si="1"/>
        <v>74</v>
      </c>
      <c r="D12" s="36">
        <f>China!B3</f>
        <v>3329</v>
      </c>
      <c r="E12" s="41">
        <f t="shared" si="2"/>
        <v>3</v>
      </c>
      <c r="F12" s="42">
        <f t="shared" si="3"/>
        <v>0.03990506215</v>
      </c>
      <c r="G12" s="45">
        <f>China!D15</f>
        <v>295</v>
      </c>
      <c r="H12" s="45">
        <f>China!D3</f>
        <v>77196</v>
      </c>
      <c r="I12" s="52" t="str">
        <f>HYPERLINK("https://bnonews.com/index.php/2020/03/tracking-coronavirus-china-data/","Source")</f>
        <v>Source</v>
      </c>
      <c r="J12" s="68"/>
      <c r="K12" s="71" t="s">
        <v>25</v>
      </c>
      <c r="L12" s="36">
        <v>83349.0</v>
      </c>
      <c r="M12" s="36">
        <v>3326.0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30.0" customHeight="1">
      <c r="A13" s="33" t="s">
        <v>43</v>
      </c>
      <c r="B13" s="36">
        <v>58226.0</v>
      </c>
      <c r="C13" s="39">
        <f t="shared" si="1"/>
        <v>2483</v>
      </c>
      <c r="D13" s="36">
        <v>3603.0</v>
      </c>
      <c r="E13" s="41">
        <f t="shared" si="2"/>
        <v>151</v>
      </c>
      <c r="F13" s="42">
        <f t="shared" si="3"/>
        <v>0.0618795727</v>
      </c>
      <c r="G13" s="45">
        <v>4057.0</v>
      </c>
      <c r="H13" s="45">
        <v>22011.0</v>
      </c>
      <c r="I13" s="52" t="str">
        <f>HYPERLINK("https://twitter.com/AbasAslani/status/1246736055400837126","Source")</f>
        <v>Source</v>
      </c>
      <c r="J13" s="68"/>
      <c r="K13" s="71" t="s">
        <v>25</v>
      </c>
      <c r="L13" s="36">
        <v>55743.0</v>
      </c>
      <c r="M13" s="36">
        <v>3452.0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30.0" customHeight="1">
      <c r="A14" s="33" t="s">
        <v>47</v>
      </c>
      <c r="B14" s="36">
        <v>47806.0</v>
      </c>
      <c r="C14" s="39">
        <f t="shared" si="1"/>
        <v>5903</v>
      </c>
      <c r="D14" s="36">
        <v>4934.0</v>
      </c>
      <c r="E14" s="41">
        <f t="shared" si="2"/>
        <v>621</v>
      </c>
      <c r="F14" s="61">
        <f t="shared" si="3"/>
        <v>0.1032088022</v>
      </c>
      <c r="G14" s="75" t="s">
        <v>23</v>
      </c>
      <c r="H14" s="75">
        <v>135.0</v>
      </c>
      <c r="I14" s="52" t="str">
        <f>HYPERLINK("https://twitter.com/DHSCgovuk/status/1246791324231176193","Source")</f>
        <v>Source</v>
      </c>
      <c r="J14" s="68"/>
      <c r="K14" s="66"/>
      <c r="L14" s="36">
        <v>41903.0</v>
      </c>
      <c r="M14" s="36">
        <v>4313.0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27.75" customHeight="1">
      <c r="A15" s="33" t="s">
        <v>50</v>
      </c>
      <c r="B15" s="36">
        <v>27069.0</v>
      </c>
      <c r="C15" s="39">
        <f t="shared" si="1"/>
        <v>3135</v>
      </c>
      <c r="D15" s="58">
        <v>574.0</v>
      </c>
      <c r="E15" s="41">
        <f t="shared" si="2"/>
        <v>73</v>
      </c>
      <c r="F15" s="61">
        <f t="shared" si="3"/>
        <v>0.02120506853</v>
      </c>
      <c r="G15" s="45">
        <v>1381.0</v>
      </c>
      <c r="H15" s="45">
        <v>1042.0</v>
      </c>
      <c r="I15" s="52" t="str">
        <f>HYPERLINK("https://covid19.saglik.gov.tr/","Source")</f>
        <v>Source</v>
      </c>
      <c r="J15" s="28"/>
      <c r="K15" s="71" t="s">
        <v>25</v>
      </c>
      <c r="L15" s="36">
        <v>23934.0</v>
      </c>
      <c r="M15" s="58">
        <v>501.0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30.0" customHeight="1">
      <c r="A16" s="33" t="s">
        <v>55</v>
      </c>
      <c r="B16" s="36">
        <v>21065.0</v>
      </c>
      <c r="C16" s="39">
        <f t="shared" si="1"/>
        <v>787</v>
      </c>
      <c r="D16" s="58">
        <v>715.0</v>
      </c>
      <c r="E16" s="41">
        <f t="shared" si="2"/>
        <v>49</v>
      </c>
      <c r="F16" s="42">
        <f t="shared" si="3"/>
        <v>0.03394255875</v>
      </c>
      <c r="G16" s="75" t="s">
        <v>23</v>
      </c>
      <c r="H16" s="45">
        <v>7298.0</v>
      </c>
      <c r="I16" s="52" t="str">
        <f>HYPERLINK("https://www.24heures.ch/monde/direct-nouveau-cas-coronavirus-suisse/story/24581768","Source")</f>
        <v>Source</v>
      </c>
      <c r="J16" s="64"/>
      <c r="K16" s="66"/>
      <c r="L16" s="36">
        <v>20278.0</v>
      </c>
      <c r="M16" s="58">
        <v>666.0</v>
      </c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30.0" customHeight="1">
      <c r="A17" s="33" t="s">
        <v>58</v>
      </c>
      <c r="B17" s="36">
        <v>19691.0</v>
      </c>
      <c r="C17" s="39">
        <f t="shared" si="1"/>
        <v>1260</v>
      </c>
      <c r="D17" s="36">
        <v>1447.0</v>
      </c>
      <c r="E17" s="41">
        <f t="shared" si="2"/>
        <v>164</v>
      </c>
      <c r="F17" s="42">
        <f t="shared" si="3"/>
        <v>0.07348534864</v>
      </c>
      <c r="G17" s="45">
        <v>1261.0</v>
      </c>
      <c r="H17" s="45">
        <v>3751.0</v>
      </c>
      <c r="I17" s="52" t="str">
        <f>HYPERLINK("https://www.info-coronavirus.be/nl/news/1260-nieuwe-besmettingen-met-coronavirus-covid-19/","Source")</f>
        <v>Source</v>
      </c>
      <c r="J17" s="68"/>
      <c r="K17" s="71" t="s">
        <v>25</v>
      </c>
      <c r="L17" s="36">
        <v>18431.0</v>
      </c>
      <c r="M17" s="36">
        <v>1283.0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30.0" customHeight="1">
      <c r="A18" s="33" t="s">
        <v>61</v>
      </c>
      <c r="B18" s="36">
        <v>17851.0</v>
      </c>
      <c r="C18" s="39">
        <f t="shared" si="1"/>
        <v>1224</v>
      </c>
      <c r="D18" s="60">
        <v>1766.0</v>
      </c>
      <c r="E18" s="41">
        <f t="shared" si="2"/>
        <v>115</v>
      </c>
      <c r="F18" s="42">
        <f t="shared" si="3"/>
        <v>0.09893003193</v>
      </c>
      <c r="G18" s="45">
        <v>1200.0</v>
      </c>
      <c r="H18" s="75">
        <v>32.0</v>
      </c>
      <c r="I18" s="52" t="str">
        <f>HYPERLINK("https://www.rivm.nl/nieuws/actuele-informatie-over-coronavirus","Source")</f>
        <v>Source</v>
      </c>
      <c r="J18" s="68"/>
      <c r="K18" s="71" t="s">
        <v>25</v>
      </c>
      <c r="L18" s="36">
        <v>16627.0</v>
      </c>
      <c r="M18" s="60">
        <v>1651.0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30.0" customHeight="1">
      <c r="A19" s="33" t="s">
        <v>63</v>
      </c>
      <c r="B19" s="36">
        <f>Canada!A3</f>
        <v>15512</v>
      </c>
      <c r="C19" s="39">
        <f t="shared" si="1"/>
        <v>1509</v>
      </c>
      <c r="D19" s="36">
        <f>Canada!B3</f>
        <v>280</v>
      </c>
      <c r="E19" s="41">
        <f t="shared" si="2"/>
        <v>47</v>
      </c>
      <c r="F19" s="42">
        <f t="shared" si="3"/>
        <v>0.01805054152</v>
      </c>
      <c r="G19" s="45">
        <f>Canada!G20</f>
        <v>89</v>
      </c>
      <c r="H19" s="45">
        <f>Canada!C3</f>
        <v>2859</v>
      </c>
      <c r="I19" s="52" t="str">
        <f>HYPERLINK("https://bnonews.com/index.php/2019/12/tracking-coronavirus-canada-data/","Source")</f>
        <v>Source</v>
      </c>
      <c r="J19" s="28"/>
      <c r="K19" s="66"/>
      <c r="L19" s="58">
        <v>14003.0</v>
      </c>
      <c r="M19" s="58">
        <v>233.0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30.0" customHeight="1">
      <c r="A20" s="33" t="s">
        <v>67</v>
      </c>
      <c r="B20" s="36">
        <v>11963.0</v>
      </c>
      <c r="C20" s="39">
        <f t="shared" si="1"/>
        <v>374</v>
      </c>
      <c r="D20" s="58">
        <v>204.0</v>
      </c>
      <c r="E20" s="41">
        <f t="shared" si="2"/>
        <v>18</v>
      </c>
      <c r="F20" s="61">
        <f t="shared" si="3"/>
        <v>0.01705257878</v>
      </c>
      <c r="G20" s="75">
        <v>244.0</v>
      </c>
      <c r="H20" s="45">
        <v>2998.0</v>
      </c>
      <c r="I20" s="52" t="str">
        <f>HYPERLINK("https://info.gesundheitsministerium.at/","Source")</f>
        <v>Source</v>
      </c>
      <c r="J20" s="28"/>
      <c r="K20" s="71" t="s">
        <v>68</v>
      </c>
      <c r="L20" s="36">
        <v>11589.0</v>
      </c>
      <c r="M20" s="58">
        <v>186.0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30.0" customHeight="1">
      <c r="A21" s="33" t="s">
        <v>69</v>
      </c>
      <c r="B21" s="36">
        <v>11281.0</v>
      </c>
      <c r="C21" s="39">
        <f t="shared" si="1"/>
        <v>1003</v>
      </c>
      <c r="D21" s="58">
        <v>487.0</v>
      </c>
      <c r="E21" s="41">
        <f t="shared" si="2"/>
        <v>56</v>
      </c>
      <c r="F21" s="42">
        <f t="shared" si="3"/>
        <v>0.04316993174</v>
      </c>
      <c r="G21" s="75">
        <v>148.0</v>
      </c>
      <c r="H21" s="75">
        <v>1.0</v>
      </c>
      <c r="I21" s="52" t="str">
        <f>HYPERLINK("https://twitter.com/minsaude/status/1246526718707408898","Source")</f>
        <v>Source</v>
      </c>
      <c r="J21" s="64"/>
      <c r="K21" s="66"/>
      <c r="L21" s="36">
        <v>10278.0</v>
      </c>
      <c r="M21" s="58">
        <v>431.0</v>
      </c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30.0" customHeight="1">
      <c r="A22" s="33" t="s">
        <v>72</v>
      </c>
      <c r="B22" s="36">
        <v>11278.0</v>
      </c>
      <c r="C22" s="39">
        <f t="shared" si="1"/>
        <v>754</v>
      </c>
      <c r="D22" s="58">
        <v>295.0</v>
      </c>
      <c r="E22" s="41">
        <f t="shared" si="2"/>
        <v>29</v>
      </c>
      <c r="F22" s="61">
        <f t="shared" si="3"/>
        <v>0.02615712006</v>
      </c>
      <c r="G22" s="75">
        <v>251.0</v>
      </c>
      <c r="H22" s="75">
        <v>75.0</v>
      </c>
      <c r="I22" s="52" t="str">
        <f>HYPERLINK("https://covid19.min-saude.pt/ponto-de-situacao-atual-em-portugal/","Source")</f>
        <v>Source</v>
      </c>
      <c r="J22" s="68"/>
      <c r="K22" s="71" t="s">
        <v>25</v>
      </c>
      <c r="L22" s="36">
        <v>10524.0</v>
      </c>
      <c r="M22" s="58">
        <v>266.0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30.0" customHeight="1">
      <c r="A23" s="33" t="s">
        <v>75</v>
      </c>
      <c r="B23" s="36">
        <v>10284.0</v>
      </c>
      <c r="C23" s="39">
        <f t="shared" si="1"/>
        <v>47</v>
      </c>
      <c r="D23" s="58">
        <v>186.0</v>
      </c>
      <c r="E23" s="41">
        <f t="shared" si="2"/>
        <v>3</v>
      </c>
      <c r="F23" s="61">
        <f t="shared" si="3"/>
        <v>0.01808634772</v>
      </c>
      <c r="G23" s="75" t="s">
        <v>23</v>
      </c>
      <c r="H23" s="45">
        <v>6463.0</v>
      </c>
      <c r="I23" s="52" t="str">
        <f>HYPERLINK("http://ncov.mohw.go.kr/tcmBoardView.do?brdId=&amp;brdGubun=&amp;dataGubun=&amp;ncvContSeq=353916&amp;contSeq=353916&amp;board_id=&amp;gubun=ALL","Source")</f>
        <v>Source</v>
      </c>
      <c r="J23" s="68"/>
      <c r="K23" s="71" t="s">
        <v>25</v>
      </c>
      <c r="L23" s="36">
        <v>10237.0</v>
      </c>
      <c r="M23" s="58">
        <v>183.0</v>
      </c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30.0" customHeight="1">
      <c r="A24" s="33" t="s">
        <v>77</v>
      </c>
      <c r="B24" s="36">
        <v>8430.0</v>
      </c>
      <c r="C24" s="39">
        <f t="shared" si="1"/>
        <v>841</v>
      </c>
      <c r="D24" s="58">
        <v>49.0</v>
      </c>
      <c r="E24" s="41">
        <f t="shared" si="2"/>
        <v>6</v>
      </c>
      <c r="F24" s="42">
        <f t="shared" si="3"/>
        <v>0.00581257414</v>
      </c>
      <c r="G24" s="75">
        <v>139.0</v>
      </c>
      <c r="H24" s="75">
        <v>546.0</v>
      </c>
      <c r="I24" s="52" t="str">
        <f>HYPERLINK("https://www.ynetnews.com/article/HRZF8HGYS","Source")</f>
        <v>Source</v>
      </c>
      <c r="J24" s="68"/>
      <c r="K24" s="71" t="s">
        <v>52</v>
      </c>
      <c r="L24" s="36">
        <v>7589.0</v>
      </c>
      <c r="M24" s="58">
        <v>43.0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30.0" customHeight="1">
      <c r="A25" s="33" t="s">
        <v>80</v>
      </c>
      <c r="B25" s="36">
        <v>6830.0</v>
      </c>
      <c r="C25" s="39">
        <f t="shared" si="1"/>
        <v>387</v>
      </c>
      <c r="D25" s="58">
        <v>401.0</v>
      </c>
      <c r="E25" s="41">
        <f t="shared" si="2"/>
        <v>28</v>
      </c>
      <c r="F25" s="61">
        <f t="shared" si="3"/>
        <v>0.05871156662</v>
      </c>
      <c r="G25" s="75">
        <v>429.0</v>
      </c>
      <c r="H25" s="75" t="s">
        <v>23</v>
      </c>
      <c r="I25" s="52" t="str">
        <f>HYPERLINK("https://experience.arcgis.com/experience/09f821667ce64bf7be6f9f87457ed9aa","Source")</f>
        <v>Source</v>
      </c>
      <c r="J25" s="68"/>
      <c r="K25" s="71" t="s">
        <v>25</v>
      </c>
      <c r="L25" s="36">
        <v>6443.0</v>
      </c>
      <c r="M25" s="58">
        <v>373.0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30.0" customHeight="1">
      <c r="A26" s="33" t="s">
        <v>83</v>
      </c>
      <c r="B26" s="36">
        <f>Australia!A3</f>
        <v>5687</v>
      </c>
      <c r="C26" s="39">
        <f t="shared" si="1"/>
        <v>137</v>
      </c>
      <c r="D26" s="36">
        <f>Australia!B3</f>
        <v>35</v>
      </c>
      <c r="E26" s="41">
        <f t="shared" si="2"/>
        <v>5</v>
      </c>
      <c r="F26" s="61">
        <f t="shared" si="3"/>
        <v>0.006154387199</v>
      </c>
      <c r="G26" s="45">
        <f>Australia!G17</f>
        <v>76</v>
      </c>
      <c r="H26" s="45">
        <f>Australia!C3</f>
        <v>757</v>
      </c>
      <c r="I26" s="52" t="str">
        <f>HYPERLINK("https://bnonews.com/index.php/2019/12/tracking-coronavirus-australia-data/","Source")</f>
        <v>Source</v>
      </c>
      <c r="J26" s="28"/>
      <c r="K26" s="66"/>
      <c r="L26" s="58">
        <v>5550.0</v>
      </c>
      <c r="M26" s="58">
        <v>30.0</v>
      </c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30.0" customHeight="1">
      <c r="A27" s="33" t="s">
        <v>88</v>
      </c>
      <c r="B27" s="36">
        <v>5687.0</v>
      </c>
      <c r="C27" s="39">
        <f t="shared" si="1"/>
        <v>137</v>
      </c>
      <c r="D27" s="58">
        <v>71.0</v>
      </c>
      <c r="E27" s="41">
        <f t="shared" si="2"/>
        <v>9</v>
      </c>
      <c r="F27" s="42">
        <f t="shared" si="3"/>
        <v>0.01248461403</v>
      </c>
      <c r="G27" s="75">
        <v>89.0</v>
      </c>
      <c r="H27" s="75" t="s">
        <v>23</v>
      </c>
      <c r="I27" s="52" t="str">
        <f>HYPERLINK("https://www.vg.no/spesial/2020/corona/","Source")</f>
        <v>Source</v>
      </c>
      <c r="J27" s="64"/>
      <c r="K27" s="29"/>
      <c r="L27" s="36">
        <v>5550.0</v>
      </c>
      <c r="M27" s="58">
        <v>62.0</v>
      </c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30.0" customHeight="1">
      <c r="A28" s="33" t="s">
        <v>90</v>
      </c>
      <c r="B28" s="36">
        <v>5389.0</v>
      </c>
      <c r="C28" s="39">
        <f t="shared" si="1"/>
        <v>658</v>
      </c>
      <c r="D28" s="58">
        <v>45.0</v>
      </c>
      <c r="E28" s="41">
        <f t="shared" si="2"/>
        <v>2</v>
      </c>
      <c r="F28" s="42">
        <f t="shared" si="3"/>
        <v>0.008350343292</v>
      </c>
      <c r="G28" s="75" t="s">
        <v>23</v>
      </c>
      <c r="H28" s="75">
        <v>355.0</v>
      </c>
      <c r="I28" s="52" t="str">
        <f>HYPERLINK("https://xn--80aesfpebagmfblc0a.xn--p1ai/#operational-data","Source")</f>
        <v>Source</v>
      </c>
      <c r="J28" s="68"/>
      <c r="K28" s="69" t="s">
        <v>25</v>
      </c>
      <c r="L28" s="36">
        <v>4731.0</v>
      </c>
      <c r="M28" s="58">
        <v>43.0</v>
      </c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30.0" customHeight="1">
      <c r="A29" s="33" t="s">
        <v>93</v>
      </c>
      <c r="B29" s="36">
        <v>4994.0</v>
      </c>
      <c r="C29" s="39">
        <f t="shared" si="1"/>
        <v>390</v>
      </c>
      <c r="D29" s="58">
        <v>158.0</v>
      </c>
      <c r="E29" s="41">
        <f t="shared" si="2"/>
        <v>21</v>
      </c>
      <c r="F29" s="42">
        <f t="shared" si="3"/>
        <v>0.03163796556</v>
      </c>
      <c r="G29" s="75">
        <v>25.0</v>
      </c>
      <c r="H29" s="75" t="s">
        <v>23</v>
      </c>
      <c r="I29" s="52" t="str">
        <f>HYPERLINK("https://www.gov.ie/en/news/7e0924-latest-updates-on-covid-19-coronavirus/","Source")</f>
        <v>Source</v>
      </c>
      <c r="J29" s="93"/>
      <c r="K29" s="69" t="s">
        <v>25</v>
      </c>
      <c r="L29" s="36">
        <v>4604.0</v>
      </c>
      <c r="M29" s="58">
        <v>137.0</v>
      </c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30.0" customHeight="1">
      <c r="A30" s="33" t="s">
        <v>97</v>
      </c>
      <c r="B30" s="36">
        <v>4550.0</v>
      </c>
      <c r="C30" s="39">
        <f t="shared" si="1"/>
        <v>292</v>
      </c>
      <c r="D30" s="58">
        <v>179.0</v>
      </c>
      <c r="E30" s="41">
        <f t="shared" si="2"/>
        <v>18</v>
      </c>
      <c r="F30" s="42">
        <f t="shared" si="3"/>
        <v>0.03934065934</v>
      </c>
      <c r="G30" s="75">
        <v>153.0</v>
      </c>
      <c r="H30" s="75">
        <v>3.0</v>
      </c>
      <c r="I30" s="52" t="str">
        <f>HYPERLINK("https://www.sst.dk/da/corona/tal-og-overvaagning","Source")</f>
        <v>Source</v>
      </c>
      <c r="J30" s="68"/>
      <c r="K30" s="69" t="s">
        <v>25</v>
      </c>
      <c r="L30" s="36">
        <v>4258.0</v>
      </c>
      <c r="M30" s="58">
        <v>161.0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30.0" customHeight="1">
      <c r="A31" s="33" t="s">
        <v>100</v>
      </c>
      <c r="B31" s="36">
        <v>4543.0</v>
      </c>
      <c r="C31" s="39">
        <f t="shared" si="1"/>
        <v>181</v>
      </c>
      <c r="D31" s="58">
        <v>67.0</v>
      </c>
      <c r="E31" s="41">
        <f t="shared" si="2"/>
        <v>8</v>
      </c>
      <c r="F31" s="61">
        <f t="shared" si="3"/>
        <v>0.0147479639</v>
      </c>
      <c r="G31" s="75">
        <v>87.0</v>
      </c>
      <c r="H31" s="75">
        <v>96.0</v>
      </c>
      <c r="I31" s="52" t="str">
        <f>HYPERLINK("https://onemocneni-aktualne.mzcr.cz/covid-19","Source")</f>
        <v>Source</v>
      </c>
      <c r="J31" s="64"/>
      <c r="K31" s="69" t="s">
        <v>103</v>
      </c>
      <c r="L31" s="36">
        <v>4362.0</v>
      </c>
      <c r="M31" s="58">
        <v>59.0</v>
      </c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30.0" customHeight="1">
      <c r="A32" s="33" t="s">
        <v>104</v>
      </c>
      <c r="B32" s="36">
        <v>4471.0</v>
      </c>
      <c r="C32" s="39">
        <f t="shared" si="1"/>
        <v>310</v>
      </c>
      <c r="D32" s="58">
        <v>34.0</v>
      </c>
      <c r="E32" s="41">
        <f t="shared" si="2"/>
        <v>7</v>
      </c>
      <c r="F32" s="61">
        <f t="shared" si="3"/>
        <v>0.007604562738</v>
      </c>
      <c r="G32" s="75">
        <v>142.0</v>
      </c>
      <c r="H32" s="75">
        <v>335.0</v>
      </c>
      <c r="I32" s="52" t="str">
        <f>HYPERLINK("https://twitter.com/ministeriosalud/status/1246822878412234754","Source")</f>
        <v>Source</v>
      </c>
      <c r="J32" s="68"/>
      <c r="K32" s="69" t="s">
        <v>25</v>
      </c>
      <c r="L32" s="36">
        <v>4161.0</v>
      </c>
      <c r="M32" s="58">
        <v>27.0</v>
      </c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27.75" customHeight="1">
      <c r="A33" s="33" t="s">
        <v>107</v>
      </c>
      <c r="B33" s="36">
        <v>4102.0</v>
      </c>
      <c r="C33" s="39">
        <f t="shared" si="1"/>
        <v>475</v>
      </c>
      <c r="D33" s="58">
        <v>94.0</v>
      </c>
      <c r="E33" s="41">
        <f t="shared" si="2"/>
        <v>15</v>
      </c>
      <c r="F33" s="61">
        <f t="shared" si="3"/>
        <v>0.0229156509</v>
      </c>
      <c r="G33" s="75" t="s">
        <v>23</v>
      </c>
      <c r="H33" s="75">
        <v>207.0</v>
      </c>
      <c r="I33" s="52" t="str">
        <f>HYPERLINK("https://twitter.com/MZ_GOV_PL/status/1246823086172897281","Source")</f>
        <v>Source</v>
      </c>
      <c r="J33" s="28"/>
      <c r="K33" s="69" t="s">
        <v>52</v>
      </c>
      <c r="L33" s="36">
        <v>3627.0</v>
      </c>
      <c r="M33" s="58">
        <v>79.0</v>
      </c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30.0" customHeight="1">
      <c r="A34" s="33" t="s">
        <v>111</v>
      </c>
      <c r="B34" s="36">
        <v>3864.0</v>
      </c>
      <c r="C34" s="39">
        <f t="shared" si="1"/>
        <v>251</v>
      </c>
      <c r="D34" s="58">
        <v>151.0</v>
      </c>
      <c r="E34" s="41">
        <f t="shared" si="2"/>
        <v>5</v>
      </c>
      <c r="F34" s="42">
        <f t="shared" si="3"/>
        <v>0.03907867495</v>
      </c>
      <c r="G34" s="75">
        <v>119.0</v>
      </c>
      <c r="H34" s="75">
        <v>374.0</v>
      </c>
      <c r="I34" s="52" t="str">
        <f>HYPERLINK("http://www.ms.ro/2020/04/05/deces-149-151/","Source")</f>
        <v>Source</v>
      </c>
      <c r="J34" s="68"/>
      <c r="K34" s="69" t="s">
        <v>114</v>
      </c>
      <c r="L34" s="36">
        <v>3613.0</v>
      </c>
      <c r="M34" s="58">
        <v>146.0</v>
      </c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30.0" customHeight="1">
      <c r="A35" s="33" t="s">
        <v>116</v>
      </c>
      <c r="B35" s="36">
        <v>3858.0</v>
      </c>
      <c r="C35" s="39">
        <f t="shared" si="1"/>
        <v>361</v>
      </c>
      <c r="D35" s="58">
        <v>93.0</v>
      </c>
      <c r="E35" s="41">
        <f t="shared" si="2"/>
        <v>9</v>
      </c>
      <c r="F35" s="61">
        <f t="shared" si="3"/>
        <v>0.02410575428</v>
      </c>
      <c r="G35" s="75">
        <v>60.0</v>
      </c>
      <c r="H35" s="75">
        <v>514.0</v>
      </c>
      <c r="I35" s="52" t="str">
        <f>HYPERLINK("https://www3.nhk.or.jp/news/html/20200404/k10012368271000.html?utm_int=word_contents_list-items_006&amp;word_result=%E6%96%B0%E5%9E%8B%E3%82%B3%E3%83%AD%E3%83%8A%E3%82%A6%E3%82%A4%E3%83%AB%E3%82%B9","Source")</f>
        <v>Source</v>
      </c>
      <c r="J35" s="93"/>
      <c r="K35" s="29"/>
      <c r="L35" s="36">
        <v>3497.0</v>
      </c>
      <c r="M35" s="58">
        <v>84.0</v>
      </c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30.0" customHeight="1">
      <c r="A36" s="33" t="s">
        <v>119</v>
      </c>
      <c r="B36" s="36">
        <v>3662.0</v>
      </c>
      <c r="C36" s="39">
        <f t="shared" si="1"/>
        <v>179</v>
      </c>
      <c r="D36" s="58">
        <v>61.0</v>
      </c>
      <c r="E36" s="41">
        <f t="shared" si="2"/>
        <v>4</v>
      </c>
      <c r="F36" s="61">
        <f t="shared" si="3"/>
        <v>0.01665756417</v>
      </c>
      <c r="G36" s="75">
        <v>99.0</v>
      </c>
      <c r="H36" s="75">
        <v>1005.0</v>
      </c>
      <c r="I36" s="52" t="str">
        <f>HYPERLINK("https://twitter.com/KKMPutrajaya/status/1246725228287451140","Source")</f>
        <v>Source</v>
      </c>
      <c r="J36" s="68"/>
      <c r="K36" s="69" t="s">
        <v>25</v>
      </c>
      <c r="L36" s="36">
        <v>3483.0</v>
      </c>
      <c r="M36" s="58">
        <v>57.0</v>
      </c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30.0" customHeight="1">
      <c r="A37" s="33" t="s">
        <v>124</v>
      </c>
      <c r="B37" s="36">
        <v>3646.0</v>
      </c>
      <c r="C37" s="39">
        <f t="shared" si="1"/>
        <v>181</v>
      </c>
      <c r="D37" s="58">
        <v>180.0</v>
      </c>
      <c r="E37" s="41">
        <f t="shared" si="2"/>
        <v>8</v>
      </c>
      <c r="F37" s="42">
        <f t="shared" si="3"/>
        <v>0.0493691717</v>
      </c>
      <c r="G37" s="75">
        <v>128.0</v>
      </c>
      <c r="H37" s="75">
        <v>100.0</v>
      </c>
      <c r="I37" s="52" t="str">
        <f>HYPERLINK("https://twitter.com/Salud_Ec/status/1246831328861061120","Source")</f>
        <v>Source</v>
      </c>
      <c r="J37" s="64"/>
      <c r="K37" s="69" t="s">
        <v>126</v>
      </c>
      <c r="L37" s="36">
        <v>3465.0</v>
      </c>
      <c r="M37" s="58">
        <v>172.0</v>
      </c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30.0" customHeight="1">
      <c r="A38" s="33" t="s">
        <v>127</v>
      </c>
      <c r="B38" s="36">
        <v>3578.0</v>
      </c>
      <c r="C38" s="39">
        <f t="shared" si="1"/>
        <v>502</v>
      </c>
      <c r="D38" s="58">
        <v>89.0</v>
      </c>
      <c r="E38" s="41">
        <f t="shared" si="2"/>
        <v>12</v>
      </c>
      <c r="F38" s="61">
        <f t="shared" si="3"/>
        <v>0.02487423141</v>
      </c>
      <c r="G38" s="75" t="s">
        <v>23</v>
      </c>
      <c r="H38" s="75">
        <v>280.0</v>
      </c>
      <c r="I38" s="52" t="str">
        <f>HYPERLINK("https://www.indiatoday.in/coronavirus","Source")</f>
        <v>Source</v>
      </c>
      <c r="J38" s="64"/>
      <c r="K38" s="29"/>
      <c r="L38" s="36">
        <v>3076.0</v>
      </c>
      <c r="M38" s="58">
        <v>77.0</v>
      </c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30.0" customHeight="1">
      <c r="A39" s="33" t="s">
        <v>130</v>
      </c>
      <c r="B39" s="36">
        <v>3246.0</v>
      </c>
      <c r="C39" s="39">
        <f t="shared" si="1"/>
        <v>152</v>
      </c>
      <c r="D39" s="58">
        <v>152.0</v>
      </c>
      <c r="E39" s="41">
        <f t="shared" si="2"/>
        <v>8</v>
      </c>
      <c r="F39" s="42">
        <f t="shared" si="3"/>
        <v>0.04682686383</v>
      </c>
      <c r="G39" s="75" t="s">
        <v>23</v>
      </c>
      <c r="H39" s="75">
        <v>64.0</v>
      </c>
      <c r="I39" s="96" t="str">
        <f>HYPERLINK("https://www.doh.gov.ph/2019-nCoV","Source")</f>
        <v>Source</v>
      </c>
      <c r="J39" s="68"/>
      <c r="K39" s="69" t="s">
        <v>25</v>
      </c>
      <c r="L39" s="36">
        <v>3094.0</v>
      </c>
      <c r="M39" s="58">
        <v>144.0</v>
      </c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30.0" customHeight="1">
      <c r="A40" s="33" t="s">
        <v>133</v>
      </c>
      <c r="B40" s="36">
        <v>3156.0</v>
      </c>
      <c r="C40" s="39">
        <f t="shared" si="1"/>
        <v>432</v>
      </c>
      <c r="D40" s="58">
        <v>47.0</v>
      </c>
      <c r="E40" s="41">
        <f t="shared" si="2"/>
        <v>7</v>
      </c>
      <c r="F40" s="42">
        <f t="shared" si="3"/>
        <v>0.01489226869</v>
      </c>
      <c r="G40" s="75">
        <v>18.0</v>
      </c>
      <c r="H40" s="75">
        <v>170.0</v>
      </c>
      <c r="I40" s="52" t="str">
        <f>HYPERLINK("https://www.dawn.com/live-blog/","Source")</f>
        <v>Source</v>
      </c>
      <c r="J40" s="64"/>
      <c r="K40" s="69" t="s">
        <v>136</v>
      </c>
      <c r="L40" s="36">
        <v>2724.0</v>
      </c>
      <c r="M40" s="58">
        <v>40.0</v>
      </c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30.0" customHeight="1">
      <c r="A41" s="33" t="s">
        <v>137</v>
      </c>
      <c r="B41" s="36">
        <v>2804.0</v>
      </c>
      <c r="C41" s="39">
        <f t="shared" si="1"/>
        <v>75</v>
      </c>
      <c r="D41" s="58">
        <v>36.0</v>
      </c>
      <c r="E41" s="41">
        <f t="shared" si="2"/>
        <v>5</v>
      </c>
      <c r="F41" s="42">
        <f t="shared" si="3"/>
        <v>0.01283880171</v>
      </c>
      <c r="G41" s="75">
        <v>35.0</v>
      </c>
      <c r="H41" s="75">
        <v>241.0</v>
      </c>
      <c r="I41" s="96" t="str">
        <f>HYPERLINK("https://gouvernement.lu/fr/dossiers.gouv_msan+fr+dossiers+2020+corona-virus.html","Source")</f>
        <v>Source</v>
      </c>
      <c r="J41" s="28"/>
      <c r="K41" s="69" t="s">
        <v>25</v>
      </c>
      <c r="L41" s="36">
        <v>2729.0</v>
      </c>
      <c r="M41" s="58">
        <v>31.0</v>
      </c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30.0" customHeight="1">
      <c r="A42" s="33" t="s">
        <v>139</v>
      </c>
      <c r="B42" s="36">
        <v>2402.0</v>
      </c>
      <c r="C42" s="39">
        <f t="shared" si="1"/>
        <v>223</v>
      </c>
      <c r="D42" s="58">
        <v>34.0</v>
      </c>
      <c r="E42" s="41">
        <f t="shared" si="2"/>
        <v>5</v>
      </c>
      <c r="F42" s="42">
        <f t="shared" si="3"/>
        <v>0.01415487094</v>
      </c>
      <c r="G42" s="75" t="s">
        <v>23</v>
      </c>
      <c r="H42" s="75">
        <v>488.0</v>
      </c>
      <c r="I42" s="52" t="str">
        <f>HYPERLINK("https://twitter.com/Riy_Breaking/status/1246884023512772610","Source")</f>
        <v>Source</v>
      </c>
      <c r="J42" s="68"/>
      <c r="K42" s="69" t="s">
        <v>25</v>
      </c>
      <c r="L42" s="36">
        <v>2179.0</v>
      </c>
      <c r="M42" s="58">
        <v>29.0</v>
      </c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30.0" customHeight="1">
      <c r="A43" s="33" t="s">
        <v>141</v>
      </c>
      <c r="B43" s="36">
        <v>2281.0</v>
      </c>
      <c r="C43" s="39">
        <f t="shared" si="1"/>
        <v>535</v>
      </c>
      <c r="D43" s="58">
        <v>83.0</v>
      </c>
      <c r="E43" s="41">
        <f t="shared" si="2"/>
        <v>10</v>
      </c>
      <c r="F43" s="61">
        <f t="shared" si="3"/>
        <v>0.03638754932</v>
      </c>
      <c r="G43" s="75">
        <v>81.0</v>
      </c>
      <c r="H43" s="75">
        <v>989.0</v>
      </c>
      <c r="I43" s="96" t="str">
        <f>HYPERLINK("https://www.gob.pe/institucion/minsa/noticias/111888-minsa-casos-confirmados-por-coronavirus-covid-19-ascienden-a-2281-en-el-peru-comunicado-n-55","Source")</f>
        <v>Source</v>
      </c>
      <c r="J43" s="68"/>
      <c r="K43" s="29"/>
      <c r="L43" s="36">
        <v>1746.0</v>
      </c>
      <c r="M43" s="58">
        <v>73.0</v>
      </c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30.0" customHeight="1">
      <c r="A44" s="33" t="s">
        <v>144</v>
      </c>
      <c r="B44" s="36">
        <v>2273.0</v>
      </c>
      <c r="C44" s="39">
        <f t="shared" si="1"/>
        <v>181</v>
      </c>
      <c r="D44" s="58">
        <v>198.0</v>
      </c>
      <c r="E44" s="41">
        <f t="shared" si="2"/>
        <v>7</v>
      </c>
      <c r="F44" s="61">
        <f t="shared" si="3"/>
        <v>0.08710954685</v>
      </c>
      <c r="G44" s="75" t="s">
        <v>23</v>
      </c>
      <c r="H44" s="75">
        <v>150.0</v>
      </c>
      <c r="I44" s="52" t="str">
        <f>HYPERLINK("https://news.trust.org/item/20200404105855-fcvms","Source")</f>
        <v>Source</v>
      </c>
      <c r="J44" s="68"/>
      <c r="K44" s="69" t="s">
        <v>25</v>
      </c>
      <c r="L44" s="36">
        <v>2092.0</v>
      </c>
      <c r="M44" s="58">
        <v>191.0</v>
      </c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30.0" customHeight="1">
      <c r="A45" s="33" t="s">
        <v>147</v>
      </c>
      <c r="B45" s="36">
        <v>2169.0</v>
      </c>
      <c r="C45" s="39">
        <f t="shared" si="1"/>
        <v>102</v>
      </c>
      <c r="D45" s="58">
        <v>23.0</v>
      </c>
      <c r="E45" s="41">
        <f t="shared" si="2"/>
        <v>3</v>
      </c>
      <c r="F45" s="61">
        <f t="shared" si="3"/>
        <v>0.01060396496</v>
      </c>
      <c r="G45" s="75">
        <v>12.0</v>
      </c>
      <c r="H45" s="75">
        <v>674.0</v>
      </c>
      <c r="I45" s="52" t="str">
        <f>HYPERLINK("https://www.thaienquirer.com/10626/thailand-confirms-102-new-cases-of-coronavirus-3-more-fatalities/","Source")</f>
        <v>Source</v>
      </c>
      <c r="J45" s="68"/>
      <c r="K45" s="69" t="s">
        <v>25</v>
      </c>
      <c r="L45" s="36">
        <v>2067.0</v>
      </c>
      <c r="M45" s="58">
        <v>20.0</v>
      </c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27.75" customHeight="1">
      <c r="A46" s="33" t="s">
        <v>149</v>
      </c>
      <c r="B46" s="36">
        <v>1988.0</v>
      </c>
      <c r="C46" s="39">
        <f t="shared" si="1"/>
        <v>187</v>
      </c>
      <c r="D46" s="58">
        <v>54.0</v>
      </c>
      <c r="E46" s="41">
        <f t="shared" si="2"/>
        <v>8</v>
      </c>
      <c r="F46" s="61">
        <f t="shared" si="3"/>
        <v>0.02716297787</v>
      </c>
      <c r="G46" s="75">
        <v>75.0</v>
      </c>
      <c r="H46" s="75">
        <v>13.0</v>
      </c>
      <c r="I46" s="96" t="str">
        <f>HYPERLINK("https://www.tvn-2.com/nacionales/coronavirus-en-panama_0_5549445053.html","Source")</f>
        <v>Source</v>
      </c>
      <c r="J46" s="68"/>
      <c r="K46" s="69" t="s">
        <v>25</v>
      </c>
      <c r="L46" s="36">
        <v>1801.0</v>
      </c>
      <c r="M46" s="58">
        <v>46.0</v>
      </c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30.0" customHeight="1">
      <c r="A47" s="33" t="s">
        <v>154</v>
      </c>
      <c r="B47" s="36">
        <v>1927.0</v>
      </c>
      <c r="C47" s="39">
        <f t="shared" si="1"/>
        <v>45</v>
      </c>
      <c r="D47" s="58">
        <v>28.0</v>
      </c>
      <c r="E47" s="41">
        <f t="shared" si="2"/>
        <v>8</v>
      </c>
      <c r="F47" s="42">
        <f t="shared" si="3"/>
        <v>0.01453035807</v>
      </c>
      <c r="G47" s="75">
        <v>65.0</v>
      </c>
      <c r="H47" s="75">
        <v>10.0</v>
      </c>
      <c r="I47" s="52" t="str">
        <f>HYPERLINK("https://yle.fi/uutiset/3-11212596","Source")</f>
        <v>Source</v>
      </c>
      <c r="J47" s="68"/>
      <c r="K47" s="69" t="s">
        <v>157</v>
      </c>
      <c r="L47" s="36">
        <v>1882.0</v>
      </c>
      <c r="M47" s="58">
        <v>20.0</v>
      </c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27.75" customHeight="1">
      <c r="A48" s="33" t="s">
        <v>159</v>
      </c>
      <c r="B48" s="36">
        <v>1908.0</v>
      </c>
      <c r="C48" s="39">
        <f t="shared" si="1"/>
        <v>284</v>
      </c>
      <c r="D48" s="58">
        <v>51.0</v>
      </c>
      <c r="E48" s="41">
        <f t="shared" si="2"/>
        <v>7</v>
      </c>
      <c r="F48" s="42">
        <f t="shared" si="3"/>
        <v>0.02672955975</v>
      </c>
      <c r="G48" s="75">
        <v>49.0</v>
      </c>
      <c r="H48" s="75" t="s">
        <v>23</v>
      </c>
      <c r="I48" s="52" t="str">
        <f>HYPERLINK("http://www.politika.rs/scc/clanak/451545/Jos-pet-osoba-preminulo-od-koronavirusa-148-novozarazenih","Source")</f>
        <v>Source</v>
      </c>
      <c r="J48" s="68"/>
      <c r="K48" s="69" t="s">
        <v>25</v>
      </c>
      <c r="L48" s="36">
        <v>1624.0</v>
      </c>
      <c r="M48" s="58">
        <v>44.0</v>
      </c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30.0" customHeight="1">
      <c r="A49" s="33" t="s">
        <v>161</v>
      </c>
      <c r="B49" s="36">
        <v>2143.0</v>
      </c>
      <c r="C49" s="39">
        <f t="shared" si="1"/>
        <v>253</v>
      </c>
      <c r="D49" s="58">
        <v>94.0</v>
      </c>
      <c r="E49" s="41">
        <f t="shared" si="2"/>
        <v>15</v>
      </c>
      <c r="F49" s="42">
        <f t="shared" si="3"/>
        <v>0.04386374242</v>
      </c>
      <c r="G49" s="75">
        <v>17.0</v>
      </c>
      <c r="H49" s="75">
        <v>35.0</v>
      </c>
      <c r="I49" s="96" t="str">
        <f>HYPERLINK("https://twitter.com/HLGatell/status/1246611865851113474","Source")</f>
        <v>Source</v>
      </c>
      <c r="J49" s="68"/>
      <c r="K49" s="69" t="s">
        <v>25</v>
      </c>
      <c r="L49" s="36">
        <v>1890.0</v>
      </c>
      <c r="M49" s="58">
        <v>79.0</v>
      </c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30.0" customHeight="1">
      <c r="A50" s="33" t="s">
        <v>164</v>
      </c>
      <c r="B50" s="36">
        <v>1799.0</v>
      </c>
      <c r="C50" s="39">
        <f t="shared" si="1"/>
        <v>294</v>
      </c>
      <c r="D50" s="58">
        <v>10.0</v>
      </c>
      <c r="E50" s="41">
        <f t="shared" si="2"/>
        <v>0</v>
      </c>
      <c r="F50" s="61">
        <f t="shared" si="3"/>
        <v>0.005558643691</v>
      </c>
      <c r="G50" s="75" t="s">
        <v>23</v>
      </c>
      <c r="H50" s="75">
        <v>144.0</v>
      </c>
      <c r="I50" s="52" t="str">
        <f>HYPERLINK("https://twitter.com/DHA_Dubai/status/1246869623468941318","Source")</f>
        <v>Source</v>
      </c>
      <c r="J50" s="68"/>
      <c r="K50" s="29"/>
      <c r="L50" s="36">
        <v>1505.0</v>
      </c>
      <c r="M50" s="58">
        <v>10.0</v>
      </c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30.0" customHeight="1">
      <c r="A51" s="33" t="s">
        <v>167</v>
      </c>
      <c r="B51" s="36">
        <v>1745.0</v>
      </c>
      <c r="C51" s="39">
        <f t="shared" si="1"/>
        <v>167</v>
      </c>
      <c r="D51" s="58">
        <v>82.0</v>
      </c>
      <c r="E51" s="41">
        <f t="shared" si="2"/>
        <v>5</v>
      </c>
      <c r="F51" s="61">
        <f t="shared" si="3"/>
        <v>0.04699140401</v>
      </c>
      <c r="G51" s="75" t="s">
        <v>23</v>
      </c>
      <c r="H51" s="75">
        <v>17.0</v>
      </c>
      <c r="I51" s="52" t="str">
        <f>HYPERLINK("https://twitter.com/SaludPublicaRD/status/1246810963736739840","Source")</f>
        <v>Source</v>
      </c>
      <c r="J51" s="119"/>
      <c r="K51" s="69" t="s">
        <v>25</v>
      </c>
      <c r="L51" s="36">
        <v>1578.0</v>
      </c>
      <c r="M51" s="58">
        <v>77.0</v>
      </c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30.0" customHeight="1">
      <c r="A52" s="33" t="s">
        <v>171</v>
      </c>
      <c r="B52" s="36">
        <v>1735.0</v>
      </c>
      <c r="C52" s="39">
        <f t="shared" si="1"/>
        <v>62</v>
      </c>
      <c r="D52" s="58">
        <v>73.0</v>
      </c>
      <c r="E52" s="41">
        <f t="shared" si="2"/>
        <v>5</v>
      </c>
      <c r="F52" s="61">
        <f t="shared" si="3"/>
        <v>0.04207492795</v>
      </c>
      <c r="G52" s="75">
        <v>93.0</v>
      </c>
      <c r="H52" s="75">
        <v>52.0</v>
      </c>
      <c r="I52" s="52" t="str">
        <f>HYPERLINK("https://www.moh.gov.gr/articles/ministry/grafeio-typoy/press-releases/7040-anakoinwsh-gia-thn-ekseliksh-ths-nosoy-covid-19-sth-xwra-mas","Source")</f>
        <v>Source</v>
      </c>
      <c r="J52" s="68"/>
      <c r="K52" s="69" t="s">
        <v>25</v>
      </c>
      <c r="L52" s="36">
        <v>1673.0</v>
      </c>
      <c r="M52" s="58">
        <v>68.0</v>
      </c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27.75" customHeight="1">
      <c r="A53" s="33" t="s">
        <v>175</v>
      </c>
      <c r="B53" s="36">
        <v>1655.0</v>
      </c>
      <c r="C53" s="39">
        <f t="shared" si="1"/>
        <v>70</v>
      </c>
      <c r="D53" s="58">
        <v>11.0</v>
      </c>
      <c r="E53" s="41">
        <f t="shared" si="2"/>
        <v>2</v>
      </c>
      <c r="F53" s="61">
        <f t="shared" si="3"/>
        <v>0.00664652568</v>
      </c>
      <c r="G53" s="75">
        <v>4.0</v>
      </c>
      <c r="H53" s="75">
        <v>45.0</v>
      </c>
      <c r="I53" s="52" t="str">
        <f>HYPERLINK("https://www.health24.com/Medical/Infectious-diseases/Coronavirus/coronavirus-in-sa-all-the-confirmed-cases-20200312","Source")</f>
        <v>Source</v>
      </c>
      <c r="J53" s="68"/>
      <c r="K53" s="69" t="s">
        <v>25</v>
      </c>
      <c r="L53" s="36">
        <v>1585.0</v>
      </c>
      <c r="M53" s="58">
        <v>9.0</v>
      </c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30.0" customHeight="1">
      <c r="A54" s="33" t="s">
        <v>177</v>
      </c>
      <c r="B54" s="36">
        <v>1604.0</v>
      </c>
      <c r="C54" s="39">
        <f t="shared" si="1"/>
        <v>279</v>
      </c>
      <c r="D54" s="58">
        <v>4.0</v>
      </c>
      <c r="E54" s="41">
        <f t="shared" si="2"/>
        <v>1</v>
      </c>
      <c r="F54" s="42">
        <f t="shared" si="3"/>
        <v>0.002493765586</v>
      </c>
      <c r="G54" s="75" t="s">
        <v>23</v>
      </c>
      <c r="H54" s="75">
        <v>123.0</v>
      </c>
      <c r="I54" s="52" t="str">
        <f>HYPERLINK("https://twitter.com/MOPHQatar/status/1246857650438123520","Source")</f>
        <v>Source</v>
      </c>
      <c r="J54" s="68"/>
      <c r="K54" s="29"/>
      <c r="L54" s="36">
        <v>1325.0</v>
      </c>
      <c r="M54" s="58">
        <v>3.0</v>
      </c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27.75" customHeight="1">
      <c r="A55" s="33" t="s">
        <v>178</v>
      </c>
      <c r="B55" s="36">
        <v>1554.0</v>
      </c>
      <c r="C55" s="39">
        <f t="shared" si="1"/>
        <v>103</v>
      </c>
      <c r="D55" s="58">
        <v>47.0</v>
      </c>
      <c r="E55" s="41">
        <f t="shared" si="2"/>
        <v>4</v>
      </c>
      <c r="F55" s="42">
        <f t="shared" si="3"/>
        <v>0.03024453024</v>
      </c>
      <c r="G55" s="75" t="s">
        <v>23</v>
      </c>
      <c r="H55" s="75">
        <v>266.0</v>
      </c>
      <c r="I55" s="96" t="str">
        <f>HYPERLINK("https://www.clarin.com/politica/coronavirus-argentina-confirman-nuevo-muerto-44-victimas-fatales-pais_0_Vgtu4_tBt.html","Source")</f>
        <v>Source</v>
      </c>
      <c r="J55" s="28"/>
      <c r="K55" s="29"/>
      <c r="L55" s="36">
        <v>1451.0</v>
      </c>
      <c r="M55" s="58">
        <v>43.0</v>
      </c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30.0" customHeight="1">
      <c r="A56" s="33" t="s">
        <v>180</v>
      </c>
      <c r="B56" s="36">
        <v>1486.0</v>
      </c>
      <c r="C56" s="39">
        <f t="shared" si="1"/>
        <v>69</v>
      </c>
      <c r="D56" s="58">
        <v>4.0</v>
      </c>
      <c r="E56" s="41">
        <f t="shared" si="2"/>
        <v>0</v>
      </c>
      <c r="F56" s="42">
        <f t="shared" si="3"/>
        <v>0.00269179004</v>
      </c>
      <c r="G56" s="75">
        <v>12.0</v>
      </c>
      <c r="H56" s="75">
        <v>428.0</v>
      </c>
      <c r="I56" s="52" t="str">
        <f>HYPERLINK("https://www.covid.is/tolulegar-upplysingar","Source")</f>
        <v>Source</v>
      </c>
      <c r="J56" s="132"/>
      <c r="K56" s="69" t="s">
        <v>25</v>
      </c>
      <c r="L56" s="36">
        <v>1417.0</v>
      </c>
      <c r="M56" s="58">
        <v>4.0</v>
      </c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27.75" customHeight="1">
      <c r="A57" s="33" t="s">
        <v>181</v>
      </c>
      <c r="B57" s="36">
        <v>1485.0</v>
      </c>
      <c r="C57" s="39">
        <f t="shared" si="1"/>
        <v>79</v>
      </c>
      <c r="D57" s="58">
        <v>35.0</v>
      </c>
      <c r="E57" s="41">
        <f t="shared" si="2"/>
        <v>3</v>
      </c>
      <c r="F57" s="42">
        <f t="shared" si="3"/>
        <v>0.02356902357</v>
      </c>
      <c r="G57" s="75" t="s">
        <v>23</v>
      </c>
      <c r="H57" s="75">
        <v>88.0</v>
      </c>
      <c r="I57" s="96" t="str">
        <f>HYPERLINK("https://coronaviruscolombia.gov.co/Covid19/index.html","Source")</f>
        <v>Source</v>
      </c>
      <c r="J57" s="28"/>
      <c r="K57" s="29"/>
      <c r="L57" s="36">
        <v>1406.0</v>
      </c>
      <c r="M57" s="58">
        <v>32.0</v>
      </c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30.0" customHeight="1">
      <c r="A58" s="33" t="s">
        <v>186</v>
      </c>
      <c r="B58" s="36">
        <v>1320.0</v>
      </c>
      <c r="C58" s="39">
        <f t="shared" si="1"/>
        <v>69</v>
      </c>
      <c r="D58" s="58">
        <v>152.0</v>
      </c>
      <c r="E58" s="41">
        <f t="shared" si="2"/>
        <v>22</v>
      </c>
      <c r="F58" s="42">
        <f t="shared" si="3"/>
        <v>0.1151515152</v>
      </c>
      <c r="G58" s="75" t="s">
        <v>23</v>
      </c>
      <c r="H58" s="75">
        <v>61.0</v>
      </c>
      <c r="I58" s="52" t="str">
        <f>HYPERLINK("http://www.aps.dz/algerie/103719-coronavirus-80-nouveaux-cas-confirmes-et-25-nouveaux-deces-en-algerie","Source")</f>
        <v>Source</v>
      </c>
      <c r="J58" s="68"/>
      <c r="K58" s="69" t="s">
        <v>25</v>
      </c>
      <c r="L58" s="36">
        <v>1251.0</v>
      </c>
      <c r="M58" s="58">
        <v>130.0</v>
      </c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30.0" customHeight="1">
      <c r="A59" s="33" t="s">
        <v>192</v>
      </c>
      <c r="B59" s="36">
        <v>1309.0</v>
      </c>
      <c r="C59" s="39">
        <f t="shared" si="1"/>
        <v>120</v>
      </c>
      <c r="D59" s="58">
        <v>6.0</v>
      </c>
      <c r="E59" s="41">
        <f t="shared" si="2"/>
        <v>0</v>
      </c>
      <c r="F59" s="42">
        <f t="shared" si="3"/>
        <v>0.004583651642</v>
      </c>
      <c r="G59" s="75">
        <v>25.0</v>
      </c>
      <c r="H59" s="75">
        <v>320.0</v>
      </c>
      <c r="I59" s="52" t="str">
        <f>HYPERLINK("https://www.moh.gov.sg/news-highlights/details/23-more-cases-discharged-120-new-cases-of-covid-19-infection-confirmed","Source")</f>
        <v>Source</v>
      </c>
      <c r="J59" s="68"/>
      <c r="K59" s="29"/>
      <c r="L59" s="36">
        <v>1189.0</v>
      </c>
      <c r="M59" s="58">
        <v>6.0</v>
      </c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30.0" customHeight="1">
      <c r="A60" s="33" t="s">
        <v>194</v>
      </c>
      <c r="B60" s="36">
        <v>1308.0</v>
      </c>
      <c r="C60" s="39">
        <f t="shared" si="1"/>
        <v>212</v>
      </c>
      <c r="D60" s="58">
        <v>37.0</v>
      </c>
      <c r="E60" s="41">
        <f t="shared" si="2"/>
        <v>9</v>
      </c>
      <c r="F60" s="61">
        <f t="shared" si="3"/>
        <v>0.02828746177</v>
      </c>
      <c r="G60" s="75" t="s">
        <v>23</v>
      </c>
      <c r="H60" s="75">
        <v>28.0</v>
      </c>
      <c r="I60" s="52" t="str">
        <f>HYPERLINK("https://t.me/s/COVID19_Ukraine","Source")</f>
        <v>Source</v>
      </c>
      <c r="J60" s="68"/>
      <c r="K60" s="69" t="s">
        <v>197</v>
      </c>
      <c r="L60" s="36">
        <v>1096.0</v>
      </c>
      <c r="M60" s="58">
        <v>28.0</v>
      </c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30.0" customHeight="1">
      <c r="A61" s="33" t="s">
        <v>202</v>
      </c>
      <c r="B61" s="36">
        <v>1182.0</v>
      </c>
      <c r="C61" s="39">
        <f t="shared" si="1"/>
        <v>56</v>
      </c>
      <c r="D61" s="58">
        <v>15.0</v>
      </c>
      <c r="E61" s="41">
        <f t="shared" si="2"/>
        <v>3</v>
      </c>
      <c r="F61" s="42">
        <f t="shared" si="3"/>
        <v>0.01269035533</v>
      </c>
      <c r="G61" s="75">
        <v>39.0</v>
      </c>
      <c r="H61" s="75">
        <v>125.0</v>
      </c>
      <c r="I61" s="52" t="str">
        <f>HYPERLINK("https://www.koronavirus.hr/najnovije/ukupno-dosad-1182-osobe-zarazene-koronavirusom/35","Source")</f>
        <v>Source</v>
      </c>
      <c r="J61" s="93"/>
      <c r="K61" s="29"/>
      <c r="L61" s="36">
        <v>1126.0</v>
      </c>
      <c r="M61" s="58">
        <v>12.0</v>
      </c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30.0" customHeight="1">
      <c r="A62" s="33" t="s">
        <v>209</v>
      </c>
      <c r="B62" s="36">
        <v>1106.0</v>
      </c>
      <c r="C62" s="39">
        <f t="shared" si="1"/>
        <v>67</v>
      </c>
      <c r="D62" s="58">
        <v>1.0</v>
      </c>
      <c r="E62" s="41">
        <f t="shared" si="2"/>
        <v>0</v>
      </c>
      <c r="F62" s="42">
        <f t="shared" si="3"/>
        <v>0.000904159132</v>
      </c>
      <c r="G62" s="75">
        <v>1.0</v>
      </c>
      <c r="H62" s="75">
        <v>127.0</v>
      </c>
      <c r="I62" s="52" t="str">
        <f>HYPERLINK("https://www.nzherald.co.nz/nz/news/article.cfm?c_id=1&amp;objectid=12322752","Source")</f>
        <v>Source</v>
      </c>
      <c r="J62" s="28"/>
      <c r="K62" s="29"/>
      <c r="L62" s="36">
        <v>1039.0</v>
      </c>
      <c r="M62" s="58">
        <v>1.0</v>
      </c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30.0" customHeight="1">
      <c r="A63" s="33" t="s">
        <v>210</v>
      </c>
      <c r="B63" s="36">
        <v>1097.0</v>
      </c>
      <c r="C63" s="39">
        <f t="shared" si="1"/>
        <v>79</v>
      </c>
      <c r="D63" s="58">
        <v>15.0</v>
      </c>
      <c r="E63" s="41">
        <f t="shared" si="2"/>
        <v>2</v>
      </c>
      <c r="F63" s="42">
        <f t="shared" si="3"/>
        <v>0.01367365542</v>
      </c>
      <c r="G63" s="75">
        <v>20.0</v>
      </c>
      <c r="H63" s="75">
        <v>59.0</v>
      </c>
      <c r="I63" s="96" t="str">
        <f>HYPERLINK("https://www.terviseamet.ee/et/uudised/oopaevaga-lisandus-103-positiivset-testi","Source")</f>
        <v>Source</v>
      </c>
      <c r="J63" s="68"/>
      <c r="K63" s="69" t="s">
        <v>25</v>
      </c>
      <c r="L63" s="36">
        <v>1018.0</v>
      </c>
      <c r="M63" s="58">
        <v>13.0</v>
      </c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30.0" customHeight="1">
      <c r="A64" s="33" t="s">
        <v>211</v>
      </c>
      <c r="B64" s="36">
        <v>1070.0</v>
      </c>
      <c r="C64" s="39">
        <f t="shared" si="1"/>
        <v>0</v>
      </c>
      <c r="D64" s="58">
        <v>71.0</v>
      </c>
      <c r="E64" s="41">
        <f t="shared" si="2"/>
        <v>0</v>
      </c>
      <c r="F64" s="61">
        <f t="shared" si="3"/>
        <v>0.06635514019</v>
      </c>
      <c r="G64" s="75" t="s">
        <v>23</v>
      </c>
      <c r="H64" s="75">
        <v>241.0</v>
      </c>
      <c r="I64" s="96" t="str">
        <f>HYPERLINK("https://www.facebook.com/EgyMohpSpokes/photos/a.353628178307691/1140076929662808/?type=3&amp;__xts__%5B0%5D=68.ARATfyW_bo9w1rRgNakRE983T4Z00AZuBubHyPy3IMukFTG4svvXMWsq3DA7r8X7dl2tVPzAhDdLkSXC2ADT5BTVUBcv-c_Kmi2b8CtCW5-NFliiHeRJsZ4rW41ujYiGd5rbwY_NpmM70SKSguA4"&amp;"eNuCgJLjaUGXWYzYod1UFIU4GXD0NmVMlnTZ468mcSqtmg3JjKVJWH5nuDH6fGYdz7bJ6eaMrCKrkiMXofvBObv82Zg-hMNj-MbBt5zdkWf0cwAUvgyRHA6lGx6DGzt-Dq2ga47KF7KbxHG98MMW31adJCB1moF6TREaHjJfuneIQiZOLEwYbfu0GkLOmry85G3Kwg&amp;__tn__=-R","Source")</f>
        <v>Source</v>
      </c>
      <c r="J64" s="28"/>
      <c r="K64" s="69" t="s">
        <v>25</v>
      </c>
      <c r="L64" s="36">
        <v>1070.0</v>
      </c>
      <c r="M64" s="58">
        <v>71.0</v>
      </c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30.0" customHeight="1">
      <c r="A65" s="33" t="s">
        <v>212</v>
      </c>
      <c r="B65" s="36">
        <v>1021.0</v>
      </c>
      <c r="C65" s="39">
        <f t="shared" si="1"/>
        <v>138</v>
      </c>
      <c r="D65" s="58">
        <v>70.0</v>
      </c>
      <c r="E65" s="41">
        <f t="shared" si="2"/>
        <v>12</v>
      </c>
      <c r="F65" s="61">
        <f t="shared" si="3"/>
        <v>0.06856023506</v>
      </c>
      <c r="G65" s="75" t="s">
        <v>23</v>
      </c>
      <c r="H65" s="75">
        <v>76.0</v>
      </c>
      <c r="I65" s="52" t="str">
        <f>HYPERLINK("http://www.covidmaroc.ma/Pages/AccueilAR.aspx","Source")</f>
        <v>Source</v>
      </c>
      <c r="J65" s="68"/>
      <c r="K65" s="69" t="s">
        <v>213</v>
      </c>
      <c r="L65" s="58">
        <v>883.0</v>
      </c>
      <c r="M65" s="58">
        <v>58.0</v>
      </c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27.75" customHeight="1">
      <c r="A66" s="33" t="s">
        <v>214</v>
      </c>
      <c r="B66" s="58">
        <v>977.0</v>
      </c>
      <c r="C66" s="39">
        <f t="shared" si="1"/>
        <v>0</v>
      </c>
      <c r="D66" s="58">
        <v>22.0</v>
      </c>
      <c r="E66" s="41">
        <f t="shared" si="2"/>
        <v>0</v>
      </c>
      <c r="F66" s="61">
        <f t="shared" si="3"/>
        <v>0.02251791198</v>
      </c>
      <c r="G66" s="75">
        <v>31.0</v>
      </c>
      <c r="H66" s="75">
        <v>79.0</v>
      </c>
      <c r="I66" s="52" t="str">
        <f>HYPERLINK("https://www.gov.si/en/topics/coronavirus-disease-covid-19/","Source")</f>
        <v>Source</v>
      </c>
      <c r="J66" s="134"/>
      <c r="K66" s="29"/>
      <c r="L66" s="58">
        <v>977.0</v>
      </c>
      <c r="M66" s="58">
        <v>22.0</v>
      </c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30.0" customHeight="1">
      <c r="A67" s="33" t="s">
        <v>215</v>
      </c>
      <c r="B67" s="58">
        <v>961.0</v>
      </c>
      <c r="C67" s="39">
        <f t="shared" si="1"/>
        <v>83</v>
      </c>
      <c r="D67" s="58">
        <v>61.0</v>
      </c>
      <c r="E67" s="41">
        <f t="shared" si="2"/>
        <v>5</v>
      </c>
      <c r="F67" s="61">
        <f t="shared" si="3"/>
        <v>0.06347554631</v>
      </c>
      <c r="G67" s="75" t="s">
        <v>23</v>
      </c>
      <c r="H67" s="75">
        <v>279.0</v>
      </c>
      <c r="I67" s="52" t="str">
        <f>HYPERLINK("https://www.facebook.com/MOH.GOV.IQ/videos/206988560587452/?__xts__[0]=68.ARAH4xeeVWE9u8IIFqTsDAj-6E2WvsCktZnGHYVvGmX2VAeHb5PO1vDIdpwwuU177Zmia_nXjww8lMeF6zIPJqSpfzNCE_i54KkgQ4xr7aYcTP-fhDHCViMXvIKxavTyma91s129ajr9AqwxB0_kzbqmnsTJCuQtLOU_ENBVYU5wmjM27FT60"&amp;"UL9FgqCJc0k-Mw72Qm45IXlAj46I1A611QBdk98z0bXAvVzu3tqD6Co2oRssPmE0NSSug6zK6Qu0zE9LWF1ogjHW7dgpjRYnTpR1j9JZpcecsgTCtNkhGxNLtNxJMuORTrNADDd44Zequ-LBX3gXz92ihLsWHMfnMczus3Cj8W7YA4&amp;__tn__=-R","Source")</f>
        <v>Source</v>
      </c>
      <c r="J67" s="68"/>
      <c r="K67" s="69" t="s">
        <v>25</v>
      </c>
      <c r="L67" s="58">
        <v>878.0</v>
      </c>
      <c r="M67" s="58">
        <v>56.0</v>
      </c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30.0" customHeight="1">
      <c r="A68" s="33" t="s">
        <v>216</v>
      </c>
      <c r="B68" s="58">
        <v>891.0</v>
      </c>
      <c r="C68" s="39">
        <f t="shared" si="1"/>
        <v>28</v>
      </c>
      <c r="D68" s="58">
        <v>4.0</v>
      </c>
      <c r="E68" s="41">
        <f t="shared" si="2"/>
        <v>0</v>
      </c>
      <c r="F68" s="61">
        <f t="shared" si="3"/>
        <v>0.004489337823</v>
      </c>
      <c r="G68" s="75" t="s">
        <v>23</v>
      </c>
      <c r="H68" s="75">
        <v>206.0</v>
      </c>
      <c r="I68" s="96" t="str">
        <f>HYPERLINK("https://chp-dashboard.geodata.gov.hk/covid-19/en.html","Source")</f>
        <v>Source</v>
      </c>
      <c r="J68" s="68"/>
      <c r="K68" s="69" t="s">
        <v>25</v>
      </c>
      <c r="L68" s="58">
        <v>863.0</v>
      </c>
      <c r="M68" s="58">
        <v>4.0</v>
      </c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27.75" customHeight="1">
      <c r="A69" s="33" t="s">
        <v>217</v>
      </c>
      <c r="B69" s="58">
        <v>864.0</v>
      </c>
      <c r="C69" s="39">
        <f t="shared" si="1"/>
        <v>112</v>
      </c>
      <c r="D69" s="58">
        <v>15.0</v>
      </c>
      <c r="E69" s="41">
        <f t="shared" si="2"/>
        <v>3</v>
      </c>
      <c r="F69" s="61">
        <f t="shared" si="3"/>
        <v>0.01736111111</v>
      </c>
      <c r="G69" s="75" t="s">
        <v>23</v>
      </c>
      <c r="H69" s="75">
        <v>30.0</v>
      </c>
      <c r="I69" s="52" t="str">
        <f>HYPERLINK("https://gismoldova.maps.arcgis.com/apps/opsdashboard/index.html#/d274da857ed345efa66e1fbc959b021b","Source")</f>
        <v>Source</v>
      </c>
      <c r="J69" s="68"/>
      <c r="K69" s="69" t="s">
        <v>218</v>
      </c>
      <c r="L69" s="58">
        <v>752.0</v>
      </c>
      <c r="M69" s="58">
        <v>12.0</v>
      </c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30.0" customHeight="1">
      <c r="A70" s="33" t="s">
        <v>219</v>
      </c>
      <c r="B70" s="58">
        <v>811.0</v>
      </c>
      <c r="C70" s="39">
        <f t="shared" si="1"/>
        <v>40</v>
      </c>
      <c r="D70" s="58">
        <v>13.0</v>
      </c>
      <c r="E70" s="41">
        <f t="shared" si="2"/>
        <v>4</v>
      </c>
      <c r="F70" s="42">
        <f t="shared" si="3"/>
        <v>0.01602959309</v>
      </c>
      <c r="G70" s="75" t="s">
        <v>23</v>
      </c>
      <c r="H70" s="75">
        <v>7.0</v>
      </c>
      <c r="I70" s="52" t="str">
        <f>HYPERLINK("http://sam.lrv.lt/koronavirusas","Source")</f>
        <v>Source</v>
      </c>
      <c r="J70" s="93"/>
      <c r="K70" s="69" t="s">
        <v>25</v>
      </c>
      <c r="L70" s="58">
        <v>771.0</v>
      </c>
      <c r="M70" s="58">
        <v>9.0</v>
      </c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30.0" customHeight="1">
      <c r="A71" s="33" t="s">
        <v>220</v>
      </c>
      <c r="B71" s="58">
        <v>770.0</v>
      </c>
      <c r="C71" s="39">
        <f t="shared" si="1"/>
        <v>0</v>
      </c>
      <c r="D71" s="58">
        <v>7.0</v>
      </c>
      <c r="E71" s="41">
        <f t="shared" si="2"/>
        <v>0</v>
      </c>
      <c r="F71" s="61">
        <f t="shared" si="3"/>
        <v>0.009090909091</v>
      </c>
      <c r="G71" s="75">
        <v>25.0</v>
      </c>
      <c r="H71" s="75">
        <v>43.0</v>
      </c>
      <c r="I71" s="52" t="str">
        <f>HYPERLINK("https://news.am/eng/news/570421.html","Source")</f>
        <v>Source</v>
      </c>
      <c r="J71" s="28"/>
      <c r="K71" s="29"/>
      <c r="L71" s="58">
        <v>770.0</v>
      </c>
      <c r="M71" s="58">
        <v>7.0</v>
      </c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30.0" customHeight="1">
      <c r="A72" s="33" t="s">
        <v>221</v>
      </c>
      <c r="B72" s="58">
        <v>733.0</v>
      </c>
      <c r="C72" s="39">
        <f t="shared" si="1"/>
        <v>55</v>
      </c>
      <c r="D72" s="58">
        <v>34.0</v>
      </c>
      <c r="E72" s="41">
        <f t="shared" si="2"/>
        <v>2</v>
      </c>
      <c r="F72" s="42">
        <f t="shared" si="3"/>
        <v>0.04638472033</v>
      </c>
      <c r="G72" s="75">
        <v>23.0</v>
      </c>
      <c r="H72" s="75">
        <v>66.0</v>
      </c>
      <c r="I72" s="52" t="str">
        <f>HYPERLINK("https://koronavirus.gov.hu/cikkek/733-fore-nott-beazonositott-fertozottek-szama-es-elhunyt-2-idos-beteg","Source")</f>
        <v>Source</v>
      </c>
      <c r="J72" s="68"/>
      <c r="K72" s="69" t="s">
        <v>25</v>
      </c>
      <c r="L72" s="58">
        <v>678.0</v>
      </c>
      <c r="M72" s="58">
        <v>32.0</v>
      </c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30.0" customHeight="1">
      <c r="A73" s="33" t="s">
        <v>222</v>
      </c>
      <c r="B73" s="58">
        <v>712.0</v>
      </c>
      <c r="C73" s="39">
        <f t="shared" si="1"/>
        <v>0</v>
      </c>
      <c r="D73" s="58">
        <v>11.0</v>
      </c>
      <c r="E73" s="41">
        <f t="shared" si="2"/>
        <v>0</v>
      </c>
      <c r="F73" s="61">
        <f t="shared" si="3"/>
        <v>0.0154494382</v>
      </c>
      <c r="G73" s="75">
        <v>9.0</v>
      </c>
      <c r="H73" s="75">
        <v>619.0</v>
      </c>
      <c r="I73" s="52" t="str">
        <f>HYPERLINK("https://www3.nhk.or.jp/news/html/20200401/k10012361701000.html?utm_int=word_contents_list-items_032&amp;word_result=%E6%96%B0%E5%9E%8B%E3%82%B3%E3%83%AD%E3%83%8A%E3%82%A6%E3%82%A4%E3%83%AB%E3%82%B9","Source")</f>
        <v>Source</v>
      </c>
      <c r="J73" s="28"/>
      <c r="K73" s="29"/>
      <c r="L73" s="58">
        <v>712.0</v>
      </c>
      <c r="M73" s="58">
        <v>11.0</v>
      </c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30.0" customHeight="1">
      <c r="A74" s="33" t="s">
        <v>223</v>
      </c>
      <c r="B74" s="58">
        <v>700.0</v>
      </c>
      <c r="C74" s="39">
        <f t="shared" si="1"/>
        <v>12</v>
      </c>
      <c r="D74" s="58">
        <v>4.0</v>
      </c>
      <c r="E74" s="41">
        <f t="shared" si="2"/>
        <v>0</v>
      </c>
      <c r="F74" s="42">
        <f t="shared" si="3"/>
        <v>0.005714285714</v>
      </c>
      <c r="G74" s="75">
        <v>3.0</v>
      </c>
      <c r="H74" s="75">
        <v>431.0</v>
      </c>
      <c r="I74" s="52" t="str">
        <f>HYPERLINK("https://www.moh.gov.bh/COVID19","Source")</f>
        <v>Source</v>
      </c>
      <c r="J74" s="93"/>
      <c r="K74" s="69" t="s">
        <v>25</v>
      </c>
      <c r="L74" s="58">
        <v>688.0</v>
      </c>
      <c r="M74" s="58">
        <v>4.0</v>
      </c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27.75" customHeight="1">
      <c r="A75" s="33" t="s">
        <v>224</v>
      </c>
      <c r="B75" s="58">
        <v>654.0</v>
      </c>
      <c r="C75" s="39">
        <f t="shared" si="1"/>
        <v>37</v>
      </c>
      <c r="D75" s="58">
        <v>23.0</v>
      </c>
      <c r="E75" s="41">
        <f t="shared" si="2"/>
        <v>2</v>
      </c>
      <c r="F75" s="42">
        <f t="shared" si="3"/>
        <v>0.03516819572</v>
      </c>
      <c r="G75" s="75" t="s">
        <v>23</v>
      </c>
      <c r="H75" s="75">
        <v>30.0</v>
      </c>
      <c r="I75" s="52" t="str">
        <f>HYPERLINK("https://www.klix.ba/vijesti/bih/prvi-slucaj-koronavirusa-u-livnu-zarazen-pripadnik-oruzanih-snaga-bih/200404074","Source")</f>
        <v>Source</v>
      </c>
      <c r="J75" s="68"/>
      <c r="K75" s="29"/>
      <c r="L75" s="58">
        <v>617.0</v>
      </c>
      <c r="M75" s="58">
        <v>21.0</v>
      </c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27.75" customHeight="1">
      <c r="A76" s="33" t="s">
        <v>225</v>
      </c>
      <c r="B76" s="58">
        <v>650.0</v>
      </c>
      <c r="C76" s="39">
        <f t="shared" si="1"/>
        <v>141</v>
      </c>
      <c r="D76" s="58">
        <v>8.0</v>
      </c>
      <c r="E76" s="41">
        <f t="shared" si="2"/>
        <v>0</v>
      </c>
      <c r="F76" s="42">
        <f t="shared" si="3"/>
        <v>0.01230769231</v>
      </c>
      <c r="G76" s="75" t="s">
        <v>23</v>
      </c>
      <c r="H76" s="75">
        <v>17.0</v>
      </c>
      <c r="I76" s="52" t="str">
        <f>HYPERLINK("https://twitter.com/DrManaouda/status/1246148956259864580","Source")</f>
        <v>Source</v>
      </c>
      <c r="J76" s="68"/>
      <c r="K76" s="69" t="s">
        <v>25</v>
      </c>
      <c r="L76" s="58">
        <v>509.0</v>
      </c>
      <c r="M76" s="58">
        <v>8.0</v>
      </c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30.0" customHeight="1">
      <c r="A77" s="33" t="s">
        <v>226</v>
      </c>
      <c r="B77" s="58">
        <v>584.0</v>
      </c>
      <c r="C77" s="39">
        <f t="shared" si="1"/>
        <v>63</v>
      </c>
      <c r="D77" s="58">
        <v>7.0</v>
      </c>
      <c r="E77" s="41">
        <f t="shared" si="2"/>
        <v>2</v>
      </c>
      <c r="F77" s="42">
        <f t="shared" si="3"/>
        <v>0.01198630137</v>
      </c>
      <c r="G77" s="75">
        <v>40.0</v>
      </c>
      <c r="H77" s="75">
        <v>32.0</v>
      </c>
      <c r="I77" s="52" t="str">
        <f>HYPERLINK("https://koronavirusinfo.az/az","Source")</f>
        <v>Source</v>
      </c>
      <c r="J77" s="93"/>
      <c r="K77" s="29"/>
      <c r="L77" s="58">
        <v>521.0</v>
      </c>
      <c r="M77" s="58">
        <v>5.0</v>
      </c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30.0" customHeight="1">
      <c r="A78" s="33" t="s">
        <v>227</v>
      </c>
      <c r="B78" s="58">
        <v>562.0</v>
      </c>
      <c r="C78" s="39">
        <f t="shared" si="1"/>
        <v>122</v>
      </c>
      <c r="D78" s="58">
        <v>8.0</v>
      </c>
      <c r="E78" s="41">
        <f t="shared" si="2"/>
        <v>3</v>
      </c>
      <c r="F78" s="42">
        <f t="shared" si="3"/>
        <v>0.01423487544</v>
      </c>
      <c r="G78" s="75">
        <v>16.0</v>
      </c>
      <c r="H78" s="75">
        <v>52.0</v>
      </c>
      <c r="I78" s="52" t="str">
        <f>HYPERLINK("https://people.onliner.by/2020/04/05/koronavirus-74","Source")</f>
        <v>Source</v>
      </c>
      <c r="J78" s="68"/>
      <c r="K78" s="29"/>
      <c r="L78" s="58">
        <v>440.0</v>
      </c>
      <c r="M78" s="58">
        <v>5.0</v>
      </c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30.0" customHeight="1">
      <c r="A79" s="33" t="s">
        <v>228</v>
      </c>
      <c r="B79" s="58">
        <v>556.0</v>
      </c>
      <c r="C79" s="39">
        <f t="shared" si="1"/>
        <v>77</v>
      </c>
      <c r="D79" s="58">
        <v>1.0</v>
      </c>
      <c r="E79" s="41">
        <f t="shared" si="2"/>
        <v>0</v>
      </c>
      <c r="F79" s="42">
        <f t="shared" si="3"/>
        <v>0.001798561151</v>
      </c>
      <c r="G79" s="75">
        <v>17.0</v>
      </c>
      <c r="H79" s="75">
        <v>99.0</v>
      </c>
      <c r="I79" s="52" t="str">
        <f>HYPERLINK("https://twitter.com/KUWAIT_MOH/status/1246727565500350464","Source")</f>
        <v>Source</v>
      </c>
      <c r="J79" s="68"/>
      <c r="K79" s="69" t="s">
        <v>25</v>
      </c>
      <c r="L79" s="58">
        <v>479.0</v>
      </c>
      <c r="M79" s="58">
        <v>1.0</v>
      </c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30.0" customHeight="1">
      <c r="A80" s="33" t="s">
        <v>229</v>
      </c>
      <c r="B80" s="58">
        <v>555.0</v>
      </c>
      <c r="C80" s="39">
        <f t="shared" si="1"/>
        <v>72</v>
      </c>
      <c r="D80" s="58">
        <v>18.0</v>
      </c>
      <c r="E80" s="41">
        <f t="shared" si="2"/>
        <v>1</v>
      </c>
      <c r="F80" s="61">
        <f t="shared" si="3"/>
        <v>0.03243243243</v>
      </c>
      <c r="G80" s="75" t="s">
        <v>23</v>
      </c>
      <c r="H80" s="75">
        <v>23.0</v>
      </c>
      <c r="I80" s="52" t="str">
        <f>HYPERLINK("https://twitter.com/ZdravstvoMK/status/1246433518990905345","Source")</f>
        <v>Source</v>
      </c>
      <c r="J80" s="68"/>
      <c r="K80" s="69" t="s">
        <v>25</v>
      </c>
      <c r="L80" s="58">
        <v>483.0</v>
      </c>
      <c r="M80" s="58">
        <v>17.0</v>
      </c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30.0" customHeight="1">
      <c r="A81" s="33" t="s">
        <v>230</v>
      </c>
      <c r="B81" s="58">
        <v>553.0</v>
      </c>
      <c r="C81" s="39">
        <f t="shared" si="1"/>
        <v>0</v>
      </c>
      <c r="D81" s="58">
        <v>19.0</v>
      </c>
      <c r="E81" s="41">
        <f t="shared" si="2"/>
        <v>0</v>
      </c>
      <c r="F81" s="42">
        <f t="shared" si="3"/>
        <v>0.03435804702</v>
      </c>
      <c r="G81" s="75" t="s">
        <v>23</v>
      </c>
      <c r="H81" s="75">
        <v>5.0</v>
      </c>
      <c r="I81" s="52" t="str">
        <f>HYPERLINK("https://www.facebook.com/santetunisie.rns.tn/photos/a.724855064220267/3001919383180479/?type=3&amp;theater","Source")</f>
        <v>Source</v>
      </c>
      <c r="J81" s="28"/>
      <c r="K81" s="29"/>
      <c r="L81" s="58">
        <v>553.0</v>
      </c>
      <c r="M81" s="58">
        <v>19.0</v>
      </c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30.0" customHeight="1">
      <c r="A82" s="33" t="s">
        <v>231</v>
      </c>
      <c r="B82" s="58">
        <v>551.0</v>
      </c>
      <c r="C82" s="39">
        <f t="shared" si="1"/>
        <v>26</v>
      </c>
      <c r="D82" s="58">
        <v>6.0</v>
      </c>
      <c r="E82" s="41">
        <f t="shared" si="2"/>
        <v>1</v>
      </c>
      <c r="F82" s="61">
        <f t="shared" si="3"/>
        <v>0.0108892922</v>
      </c>
      <c r="G82" s="75" t="s">
        <v>23</v>
      </c>
      <c r="H82" s="75">
        <v>36.0</v>
      </c>
      <c r="I82" s="52" t="str">
        <f>HYPERLINK("https://www.facebook.com/MinzdravRK/posts/1448824998628691?__tn__=-R","Source")</f>
        <v>Source</v>
      </c>
      <c r="J82" s="28"/>
      <c r="K82" s="69" t="s">
        <v>25</v>
      </c>
      <c r="L82" s="58">
        <v>525.0</v>
      </c>
      <c r="M82" s="58">
        <v>5.0</v>
      </c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30.0" customHeight="1">
      <c r="A83" s="33" t="s">
        <v>232</v>
      </c>
      <c r="B83" s="58">
        <v>527.0</v>
      </c>
      <c r="C83" s="39">
        <f t="shared" si="1"/>
        <v>7</v>
      </c>
      <c r="D83" s="58">
        <v>18.0</v>
      </c>
      <c r="E83" s="41">
        <f t="shared" si="2"/>
        <v>1</v>
      </c>
      <c r="F83" s="61">
        <f t="shared" si="3"/>
        <v>0.03415559772</v>
      </c>
      <c r="G83" s="75">
        <v>42.0</v>
      </c>
      <c r="H83" s="75">
        <v>35.0</v>
      </c>
      <c r="I83" s="52" t="str">
        <f>HYPERLINK("https://maps.moph.gov.lb/portal/apps/opsdashboard/index.html?fbclid=IwAR16xBrtR1w9HaYhO1_aHHOR2zyN1W5p_vezLF_lV3jTqgjphMy95ttgEHw#/d19be998323548278e088076d46d24f8","Source")</f>
        <v>Source</v>
      </c>
      <c r="J83" s="68"/>
      <c r="K83" s="29"/>
      <c r="L83" s="58">
        <v>520.0</v>
      </c>
      <c r="M83" s="58">
        <v>17.0</v>
      </c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30.0" customHeight="1">
      <c r="A84" s="33" t="s">
        <v>233</v>
      </c>
      <c r="B84" s="58">
        <v>509.0</v>
      </c>
      <c r="C84" s="39">
        <f t="shared" si="1"/>
        <v>0</v>
      </c>
      <c r="D84" s="58">
        <v>0.0</v>
      </c>
      <c r="E84" s="41">
        <f t="shared" si="2"/>
        <v>0</v>
      </c>
      <c r="F84" s="42">
        <f t="shared" si="3"/>
        <v>0</v>
      </c>
      <c r="G84" s="75">
        <v>3.0</v>
      </c>
      <c r="H84" s="75" t="s">
        <v>23</v>
      </c>
      <c r="I84" s="52" t="str">
        <f>HYPERLINK("https://twitter.com/SPKCentrs/status/1246336649174409217","Source")</f>
        <v>Source</v>
      </c>
      <c r="J84" s="28"/>
      <c r="K84" s="29"/>
      <c r="L84" s="58">
        <v>509.0</v>
      </c>
      <c r="M84" s="58">
        <v>0.0</v>
      </c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30.0" customHeight="1">
      <c r="A85" s="33" t="s">
        <v>234</v>
      </c>
      <c r="B85" s="58">
        <v>503.0</v>
      </c>
      <c r="C85" s="39">
        <f t="shared" si="1"/>
        <v>0</v>
      </c>
      <c r="D85" s="58">
        <v>17.0</v>
      </c>
      <c r="E85" s="41">
        <f t="shared" si="2"/>
        <v>0</v>
      </c>
      <c r="F85" s="42">
        <f t="shared" si="3"/>
        <v>0.0337972167</v>
      </c>
      <c r="G85" s="75">
        <v>26.0</v>
      </c>
      <c r="H85" s="75">
        <v>34.0</v>
      </c>
      <c r="I85" s="52" t="str">
        <f>HYPERLINK("http://www.mh.government.bg/bg/novini/aktualno/503-sa-potvrdenite-sluchai-na-covid-19-u-nas/","Source")</f>
        <v>Source</v>
      </c>
      <c r="J85" s="28"/>
      <c r="K85" s="29"/>
      <c r="L85" s="58">
        <v>503.0</v>
      </c>
      <c r="M85" s="58">
        <v>17.0</v>
      </c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30.0" customHeight="1">
      <c r="A86" s="33" t="s">
        <v>235</v>
      </c>
      <c r="B86" s="58">
        <v>501.0</v>
      </c>
      <c r="C86" s="39">
        <f t="shared" si="1"/>
        <v>35</v>
      </c>
      <c r="D86" s="58">
        <v>18.0</v>
      </c>
      <c r="E86" s="41">
        <f t="shared" si="2"/>
        <v>1</v>
      </c>
      <c r="F86" s="42">
        <f t="shared" si="3"/>
        <v>0.03592814371</v>
      </c>
      <c r="G86" s="75" t="s">
        <v>23</v>
      </c>
      <c r="H86" s="75">
        <v>26.0</v>
      </c>
      <c r="I86" s="52" t="str">
        <f>HYPERLINK("https://www.govern.ad/coronavirus","Source")</f>
        <v>Source</v>
      </c>
      <c r="J86" s="68"/>
      <c r="K86" s="29"/>
      <c r="L86" s="58">
        <v>466.0</v>
      </c>
      <c r="M86" s="58">
        <v>17.0</v>
      </c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30.0" customHeight="1">
      <c r="A87" s="33" t="s">
        <v>236</v>
      </c>
      <c r="B87" s="58">
        <v>485.0</v>
      </c>
      <c r="C87" s="39">
        <f t="shared" si="1"/>
        <v>14</v>
      </c>
      <c r="D87" s="58">
        <v>0.0</v>
      </c>
      <c r="E87" s="41">
        <f t="shared" si="2"/>
        <v>0</v>
      </c>
      <c r="F87" s="42">
        <f t="shared" si="3"/>
        <v>0</v>
      </c>
      <c r="G87" s="75" t="s">
        <v>23</v>
      </c>
      <c r="H87" s="75">
        <v>8.0</v>
      </c>
      <c r="I87" s="52" t="str">
        <f>HYPERLINK("https://ezdravie.nczisk.sk/sk?category=COVID","Source")</f>
        <v>Source</v>
      </c>
      <c r="J87" s="135"/>
      <c r="K87" s="29"/>
      <c r="L87" s="58">
        <v>471.0</v>
      </c>
      <c r="M87" s="58">
        <v>0.0</v>
      </c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30.0" customHeight="1">
      <c r="A88" s="33" t="s">
        <v>198</v>
      </c>
      <c r="B88" s="58">
        <v>454.0</v>
      </c>
      <c r="C88" s="39">
        <f t="shared" si="1"/>
        <v>38</v>
      </c>
      <c r="D88" s="58">
        <v>2.0</v>
      </c>
      <c r="E88" s="41">
        <f t="shared" si="2"/>
        <v>0</v>
      </c>
      <c r="F88" s="42">
        <f t="shared" si="3"/>
        <v>0.004405286344</v>
      </c>
      <c r="G88" s="75" t="s">
        <v>23</v>
      </c>
      <c r="H88" s="75">
        <v>16.0</v>
      </c>
      <c r="I88" s="52" t="str">
        <f>HYPERLINK("https://www.ministeriodesalud.go.cr/index.php/centro-de-prensa/noticias/741-noticias-2020/1600-semana-cierra-con-16-personas-recuperadas-por-covid-19","Source")</f>
        <v>Source</v>
      </c>
      <c r="J88" s="68"/>
      <c r="K88" s="69" t="s">
        <v>25</v>
      </c>
      <c r="L88" s="58">
        <v>416.0</v>
      </c>
      <c r="M88" s="58">
        <v>2.0</v>
      </c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30.0" customHeight="1">
      <c r="A89" s="33" t="s">
        <v>237</v>
      </c>
      <c r="B89" s="58">
        <v>446.0</v>
      </c>
      <c r="C89" s="39">
        <f t="shared" si="1"/>
        <v>20</v>
      </c>
      <c r="D89" s="58">
        <v>13.0</v>
      </c>
      <c r="E89" s="41">
        <f t="shared" si="2"/>
        <v>0</v>
      </c>
      <c r="F89" s="61">
        <f t="shared" si="3"/>
        <v>0.02914798206</v>
      </c>
      <c r="G89" s="75">
        <v>6.0</v>
      </c>
      <c r="H89" s="75">
        <v>33.0</v>
      </c>
      <c r="I89" s="52" t="str">
        <f>HYPERLINK("http://www.cna.org.cy/WebNews.aspx?a=59b7d24dacee4fb08d9d9066bd73cb93","Source")</f>
        <v>Source</v>
      </c>
      <c r="J89" s="68"/>
      <c r="K89" s="29"/>
      <c r="L89" s="58">
        <v>426.0</v>
      </c>
      <c r="M89" s="58">
        <v>13.0</v>
      </c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30.0" customHeight="1">
      <c r="A90" s="33" t="s">
        <v>199</v>
      </c>
      <c r="B90" s="58">
        <v>406.0</v>
      </c>
      <c r="C90" s="39">
        <f t="shared" si="1"/>
        <v>6</v>
      </c>
      <c r="D90" s="58">
        <v>6.0</v>
      </c>
      <c r="E90" s="41">
        <f t="shared" si="2"/>
        <v>1</v>
      </c>
      <c r="F90" s="61">
        <f t="shared" si="3"/>
        <v>0.01477832512</v>
      </c>
      <c r="G90" s="75">
        <v>13.0</v>
      </c>
      <c r="H90" s="75">
        <v>93.0</v>
      </c>
      <c r="I90" s="52" t="str">
        <f>HYPERLINK("https://twitter.com/MSPUruguay/status/1246935032570281984","Source")</f>
        <v>Source</v>
      </c>
      <c r="J90" s="68"/>
      <c r="K90" s="69" t="s">
        <v>25</v>
      </c>
      <c r="L90" s="58">
        <v>400.0</v>
      </c>
      <c r="M90" s="58">
        <v>5.0</v>
      </c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30.0" customHeight="1">
      <c r="A91" s="33" t="s">
        <v>238</v>
      </c>
      <c r="B91" s="58">
        <v>363.0</v>
      </c>
      <c r="C91" s="39">
        <f t="shared" si="1"/>
        <v>8</v>
      </c>
      <c r="D91" s="58">
        <v>5.0</v>
      </c>
      <c r="E91" s="41">
        <f t="shared" si="2"/>
        <v>0</v>
      </c>
      <c r="F91" s="61">
        <f t="shared" si="3"/>
        <v>0.01377410468</v>
      </c>
      <c r="G91" s="75">
        <v>0.0</v>
      </c>
      <c r="H91" s="75">
        <v>54.0</v>
      </c>
      <c r="I91" s="52" t="str">
        <f>HYPERLINK("https://www.cdc.gov.tw/En/Bulletin/Detail/rnjzS4hlf5wAwrpkSJk5sQ?typeid=158","Source")</f>
        <v>Source</v>
      </c>
      <c r="J91" s="68"/>
      <c r="K91" s="69" t="s">
        <v>25</v>
      </c>
      <c r="L91" s="58">
        <v>355.0</v>
      </c>
      <c r="M91" s="58">
        <v>5.0</v>
      </c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30.0" customHeight="1">
      <c r="A92" s="33" t="s">
        <v>239</v>
      </c>
      <c r="B92" s="58">
        <v>361.0</v>
      </c>
      <c r="C92" s="39">
        <f t="shared" si="1"/>
        <v>28</v>
      </c>
      <c r="D92" s="58">
        <v>20.0</v>
      </c>
      <c r="E92" s="41">
        <f t="shared" si="2"/>
        <v>1</v>
      </c>
      <c r="F92" s="42">
        <f t="shared" si="3"/>
        <v>0.05540166205</v>
      </c>
      <c r="G92" s="75">
        <v>13.0</v>
      </c>
      <c r="H92" s="75">
        <v>104.0</v>
      </c>
      <c r="I92" s="52" t="str">
        <f>HYPERLINK("https://shendetesia.gov.al/ministria-e-shendetesise-28-raste-te-reja-me-covid-19-shkon-ne-361-numri-i-te-prekurve/","Source")</f>
        <v>Source</v>
      </c>
      <c r="J92" s="68"/>
      <c r="K92" s="69"/>
      <c r="L92" s="58">
        <v>333.0</v>
      </c>
      <c r="M92" s="58">
        <v>19.0</v>
      </c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30.0" customHeight="1">
      <c r="A93" s="33" t="s">
        <v>240</v>
      </c>
      <c r="B93" s="58">
        <v>349.0</v>
      </c>
      <c r="C93" s="39">
        <f t="shared" si="1"/>
        <v>50</v>
      </c>
      <c r="D93" s="58">
        <v>8.0</v>
      </c>
      <c r="E93" s="41">
        <f t="shared" si="2"/>
        <v>1</v>
      </c>
      <c r="F93" s="61">
        <f t="shared" si="3"/>
        <v>0.0229226361</v>
      </c>
      <c r="G93" s="75" t="s">
        <v>23</v>
      </c>
      <c r="H93" s="75">
        <v>17.0</v>
      </c>
      <c r="I93" s="52" t="str">
        <f>HYPERLINK("https://uneplive.maps.arcgis.com/apps/opsdashboard/index.html#/4c8ca6b1d9bc44d6bde5e2fd54afc180","Source")</f>
        <v>Source</v>
      </c>
      <c r="J93" s="135"/>
      <c r="K93" s="29"/>
      <c r="L93" s="58">
        <v>299.0</v>
      </c>
      <c r="M93" s="58">
        <v>7.0</v>
      </c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27.75" customHeight="1">
      <c r="A94" s="33" t="s">
        <v>241</v>
      </c>
      <c r="B94" s="58">
        <v>345.0</v>
      </c>
      <c r="C94" s="39">
        <f t="shared" si="1"/>
        <v>27</v>
      </c>
      <c r="D94" s="58">
        <v>17.0</v>
      </c>
      <c r="E94" s="41">
        <f t="shared" si="2"/>
        <v>1</v>
      </c>
      <c r="F94" s="42">
        <f t="shared" si="3"/>
        <v>0.04927536232</v>
      </c>
      <c r="G94" s="75" t="s">
        <v>23</v>
      </c>
      <c r="H94" s="75">
        <v>90.0</v>
      </c>
      <c r="I94" s="52" t="str">
        <f>HYPERLINK("https://lefaso.net/spip.php?article95981","Source")</f>
        <v>Source</v>
      </c>
      <c r="J94" s="68"/>
      <c r="K94" s="29"/>
      <c r="L94" s="58">
        <v>318.0</v>
      </c>
      <c r="M94" s="58">
        <v>16.0</v>
      </c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30.0" customHeight="1">
      <c r="A95" s="33" t="s">
        <v>242</v>
      </c>
      <c r="B95" s="58">
        <v>345.0</v>
      </c>
      <c r="C95" s="39">
        <f t="shared" si="1"/>
        <v>35</v>
      </c>
      <c r="D95" s="58">
        <v>5.0</v>
      </c>
      <c r="E95" s="41">
        <f t="shared" si="2"/>
        <v>0</v>
      </c>
      <c r="F95" s="61">
        <f t="shared" si="3"/>
        <v>0.01449275362</v>
      </c>
      <c r="G95" s="75" t="s">
        <v>23</v>
      </c>
      <c r="H95" s="75">
        <v>110.0</v>
      </c>
      <c r="I95" s="52" t="str">
        <f>HYPERLINK("https://corona.moh.gov.jo/ar","Source")</f>
        <v>Source</v>
      </c>
      <c r="J95" s="68"/>
      <c r="K95" s="69" t="s">
        <v>25</v>
      </c>
      <c r="L95" s="58">
        <v>310.0</v>
      </c>
      <c r="M95" s="58">
        <v>5.0</v>
      </c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27.75" customHeight="1">
      <c r="A96" s="33" t="s">
        <v>203</v>
      </c>
      <c r="B96" s="58">
        <v>320.0</v>
      </c>
      <c r="C96" s="39">
        <f t="shared" si="1"/>
        <v>32</v>
      </c>
      <c r="D96" s="58">
        <v>8.0</v>
      </c>
      <c r="E96" s="41">
        <f t="shared" si="2"/>
        <v>2</v>
      </c>
      <c r="F96" s="42">
        <f t="shared" si="3"/>
        <v>0.025</v>
      </c>
      <c r="G96" s="75">
        <v>12.0</v>
      </c>
      <c r="H96" s="75">
        <v>15.0</v>
      </c>
      <c r="I96" s="52" t="str">
        <f>HYPERLINK("https://twitter.com/MINSAPCuba/status/1246835432723267590","Source")</f>
        <v>Source</v>
      </c>
      <c r="J96" s="68"/>
      <c r="K96" s="69" t="s">
        <v>25</v>
      </c>
      <c r="L96" s="58">
        <v>288.0</v>
      </c>
      <c r="M96" s="58">
        <v>6.0</v>
      </c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30.0" customHeight="1">
      <c r="A97" s="33" t="s">
        <v>243</v>
      </c>
      <c r="B97" s="58">
        <v>310.0</v>
      </c>
      <c r="C97" s="39">
        <f t="shared" si="1"/>
        <v>47</v>
      </c>
      <c r="D97" s="58">
        <v>2.0</v>
      </c>
      <c r="E97" s="41">
        <f t="shared" si="2"/>
        <v>0</v>
      </c>
      <c r="F97" s="42">
        <f t="shared" si="3"/>
        <v>0.006451612903</v>
      </c>
      <c r="G97" s="75">
        <v>5.0</v>
      </c>
      <c r="H97" s="75">
        <v>30.0</v>
      </c>
      <c r="I97" s="52" t="str">
        <f>HYPERLINK("https://t.me/s/ssvuz","Source")</f>
        <v>Source</v>
      </c>
      <c r="J97" s="68"/>
      <c r="K97" s="69" t="s">
        <v>52</v>
      </c>
      <c r="L97" s="58">
        <v>263.0</v>
      </c>
      <c r="M97" s="58">
        <v>2.0</v>
      </c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30.0" customHeight="1">
      <c r="A98" s="33" t="s">
        <v>244</v>
      </c>
      <c r="B98" s="58">
        <v>298.0</v>
      </c>
      <c r="C98" s="39">
        <f t="shared" si="1"/>
        <v>46</v>
      </c>
      <c r="D98" s="58">
        <v>2.0</v>
      </c>
      <c r="E98" s="41">
        <f t="shared" si="2"/>
        <v>1</v>
      </c>
      <c r="F98" s="42">
        <f t="shared" si="3"/>
        <v>0.006711409396</v>
      </c>
      <c r="G98" s="75">
        <v>0.0</v>
      </c>
      <c r="H98" s="75">
        <v>61.0</v>
      </c>
      <c r="I98" s="52" t="str">
        <f>HYPERLINK("https://covid19.moh.gov.om/#/home","Source")</f>
        <v>Source</v>
      </c>
      <c r="J98" s="93"/>
      <c r="K98" s="69" t="s">
        <v>25</v>
      </c>
      <c r="L98" s="58">
        <v>252.0</v>
      </c>
      <c r="M98" s="58">
        <v>1.0</v>
      </c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27.75" customHeight="1">
      <c r="A99" s="33" t="s">
        <v>201</v>
      </c>
      <c r="B99" s="58">
        <v>294.0</v>
      </c>
      <c r="C99" s="39">
        <f t="shared" si="1"/>
        <v>30</v>
      </c>
      <c r="D99" s="58">
        <v>22.0</v>
      </c>
      <c r="E99" s="41">
        <f t="shared" si="2"/>
        <v>7</v>
      </c>
      <c r="F99" s="61">
        <f t="shared" si="3"/>
        <v>0.07482993197</v>
      </c>
      <c r="G99" s="75" t="s">
        <v>23</v>
      </c>
      <c r="H99" s="75">
        <v>6.0</v>
      </c>
      <c r="I99" s="52" t="str">
        <f>HYPERLINK("https://covid19honduras.org/","Source")</f>
        <v>Source</v>
      </c>
      <c r="J99" s="68"/>
      <c r="K99" s="69" t="s">
        <v>25</v>
      </c>
      <c r="L99" s="58">
        <v>264.0</v>
      </c>
      <c r="M99" s="58">
        <v>15.0</v>
      </c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30.0" customHeight="1">
      <c r="A100" s="33" t="s">
        <v>245</v>
      </c>
      <c r="B100" s="58">
        <v>266.0</v>
      </c>
      <c r="C100" s="39">
        <f t="shared" si="1"/>
        <v>7</v>
      </c>
      <c r="D100" s="58">
        <v>32.0</v>
      </c>
      <c r="E100" s="41">
        <f t="shared" si="2"/>
        <v>0</v>
      </c>
      <c r="F100" s="61">
        <f t="shared" si="3"/>
        <v>0.1203007519</v>
      </c>
      <c r="G100" s="75">
        <v>14.0</v>
      </c>
      <c r="H100" s="75">
        <v>35.0</v>
      </c>
      <c r="I100" s="52" t="str">
        <f>HYPERLINK("http://www.iss.sm/on-line/home/articolo49014220.html","Source")</f>
        <v>Source</v>
      </c>
      <c r="J100" s="132"/>
      <c r="K100" s="69" t="s">
        <v>25</v>
      </c>
      <c r="L100" s="58">
        <v>259.0</v>
      </c>
      <c r="M100" s="58">
        <v>32.0</v>
      </c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27.75" customHeight="1">
      <c r="A101" s="33" t="s">
        <v>246</v>
      </c>
      <c r="B101" s="58">
        <v>245.0</v>
      </c>
      <c r="C101" s="39">
        <f t="shared" si="1"/>
        <v>27</v>
      </c>
      <c r="D101" s="58">
        <v>1.0</v>
      </c>
      <c r="E101" s="41">
        <f t="shared" si="2"/>
        <v>0</v>
      </c>
      <c r="F101" s="42">
        <f t="shared" si="3"/>
        <v>0.004081632653</v>
      </c>
      <c r="G101" s="75" t="s">
        <v>23</v>
      </c>
      <c r="H101" s="75">
        <v>25.0</v>
      </c>
      <c r="I101" s="52" t="str">
        <f>HYPERLINK("https://twitter.com/OmsCotedivoire/status/1246536179601768449","Source")</f>
        <v>Source</v>
      </c>
      <c r="J101" s="68"/>
      <c r="K101" s="29"/>
      <c r="L101" s="58">
        <v>218.0</v>
      </c>
      <c r="M101" s="58">
        <v>1.0</v>
      </c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30.0" customHeight="1">
      <c r="A102" s="33" t="s">
        <v>247</v>
      </c>
      <c r="B102" s="58">
        <v>241.0</v>
      </c>
      <c r="C102" s="39">
        <f t="shared" si="1"/>
        <v>1</v>
      </c>
      <c r="D102" s="58">
        <v>0.0</v>
      </c>
      <c r="E102" s="41">
        <f t="shared" si="2"/>
        <v>0</v>
      </c>
      <c r="F102" s="61">
        <f t="shared" si="3"/>
        <v>0</v>
      </c>
      <c r="G102" s="75" t="s">
        <v>23</v>
      </c>
      <c r="H102" s="75">
        <v>91.0</v>
      </c>
      <c r="I102" s="52" t="str">
        <f>HYPERLINK("https://twitter.com/VNGovtPortal/status/1246785186273972228","Source")</f>
        <v>Source</v>
      </c>
      <c r="J102" s="68"/>
      <c r="K102" s="29"/>
      <c r="L102" s="58">
        <v>240.0</v>
      </c>
      <c r="M102" s="58">
        <v>0.0</v>
      </c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30.0" customHeight="1">
      <c r="A103" s="33" t="s">
        <v>248</v>
      </c>
      <c r="B103" s="58">
        <v>237.0</v>
      </c>
      <c r="C103" s="39">
        <f t="shared" si="1"/>
        <v>20</v>
      </c>
      <c r="D103" s="58">
        <v>1.0</v>
      </c>
      <c r="E103" s="41">
        <f t="shared" si="2"/>
        <v>0</v>
      </c>
      <c r="F103" s="61">
        <f t="shared" si="3"/>
        <v>0.004219409283</v>
      </c>
      <c r="G103" s="75">
        <v>0.0</v>
      </c>
      <c r="H103" s="75">
        <v>21.0</v>
      </c>
      <c r="I103" s="52" t="str">
        <f>HYPERLINK("https://twitter.com/SkyNewsArabia_B/status/1246913475563139075","Source")</f>
        <v>Source</v>
      </c>
      <c r="J103" s="68"/>
      <c r="K103" s="69" t="s">
        <v>52</v>
      </c>
      <c r="L103" s="58">
        <v>217.0</v>
      </c>
      <c r="M103" s="58">
        <v>1.0</v>
      </c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30.0" customHeight="1">
      <c r="A104" s="33" t="s">
        <v>249</v>
      </c>
      <c r="B104" s="58">
        <v>227.0</v>
      </c>
      <c r="C104" s="39">
        <f t="shared" si="1"/>
        <v>31</v>
      </c>
      <c r="D104" s="58">
        <v>7.0</v>
      </c>
      <c r="E104" s="41">
        <f t="shared" si="2"/>
        <v>0</v>
      </c>
      <c r="F104" s="61">
        <f t="shared" si="3"/>
        <v>0.03083700441</v>
      </c>
      <c r="G104" s="75" t="s">
        <v>23</v>
      </c>
      <c r="H104" s="75" t="s">
        <v>23</v>
      </c>
      <c r="I104" s="52" t="str">
        <f>HYPERLINK("https://www.lemauricien.com/covid19/","Source")</f>
        <v>Source</v>
      </c>
      <c r="J104" s="68"/>
      <c r="K104" s="29"/>
      <c r="L104" s="58">
        <v>196.0</v>
      </c>
      <c r="M104" s="58">
        <v>7.0</v>
      </c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27.75" customHeight="1">
      <c r="A105" s="33" t="s">
        <v>250</v>
      </c>
      <c r="B105" s="58">
        <v>227.0</v>
      </c>
      <c r="C105" s="39">
        <f t="shared" si="1"/>
        <v>14</v>
      </c>
      <c r="D105" s="58">
        <v>0.0</v>
      </c>
      <c r="E105" s="41">
        <f t="shared" si="2"/>
        <v>0</v>
      </c>
      <c r="F105" s="42">
        <f t="shared" si="3"/>
        <v>0</v>
      </c>
      <c r="G105" s="75">
        <v>3.0</v>
      </c>
      <c r="H105" s="75">
        <v>2.0</v>
      </c>
      <c r="I105" s="52" t="str">
        <f>HYPERLINK("https://timesofmalta.com/articles/view/live-covid-19-health-update.783599","Source")</f>
        <v>Source</v>
      </c>
      <c r="J105" s="68"/>
      <c r="K105" s="69" t="s">
        <v>25</v>
      </c>
      <c r="L105" s="58">
        <v>213.0</v>
      </c>
      <c r="M105" s="58">
        <v>0.0</v>
      </c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30.0" customHeight="1">
      <c r="A106" s="33" t="s">
        <v>251</v>
      </c>
      <c r="B106" s="58">
        <v>224.0</v>
      </c>
      <c r="C106" s="39">
        <f t="shared" si="1"/>
        <v>15</v>
      </c>
      <c r="D106" s="58">
        <v>5.0</v>
      </c>
      <c r="E106" s="41">
        <f t="shared" si="2"/>
        <v>1</v>
      </c>
      <c r="F106" s="61">
        <f t="shared" si="3"/>
        <v>0.02232142857</v>
      </c>
      <c r="G106" s="75" t="s">
        <v>23</v>
      </c>
      <c r="H106" s="75">
        <v>27.0</v>
      </c>
      <c r="I106" s="52" t="str">
        <f>HYPERLINK("https://twitter.com/NCDCgov/status/1246745591746625536","Source")</f>
        <v>Source</v>
      </c>
      <c r="J106" s="68"/>
      <c r="K106" s="29"/>
      <c r="L106" s="58">
        <v>209.0</v>
      </c>
      <c r="M106" s="58">
        <v>4.0</v>
      </c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30.0" customHeight="1">
      <c r="A107" s="33" t="s">
        <v>252</v>
      </c>
      <c r="B107" s="58">
        <v>222.0</v>
      </c>
      <c r="C107" s="39">
        <f t="shared" si="1"/>
        <v>3</v>
      </c>
      <c r="D107" s="58">
        <v>2.0</v>
      </c>
      <c r="E107" s="41">
        <f t="shared" si="2"/>
        <v>0</v>
      </c>
      <c r="F107" s="42">
        <f t="shared" si="3"/>
        <v>0.009009009009</v>
      </c>
      <c r="G107" s="75" t="s">
        <v>23</v>
      </c>
      <c r="H107" s="75">
        <v>82.0</v>
      </c>
      <c r="I107" s="52" t="str">
        <f>HYPERLINK("https://twitter.com/MinisteredelaS1/status/1246743654217154560","Source")</f>
        <v>Source</v>
      </c>
      <c r="J107" s="119"/>
      <c r="K107" s="29"/>
      <c r="L107" s="58">
        <v>219.0</v>
      </c>
      <c r="M107" s="58">
        <v>2.0</v>
      </c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30.0" customHeight="1">
      <c r="A108" s="33" t="s">
        <v>253</v>
      </c>
      <c r="B108" s="58">
        <v>214.0</v>
      </c>
      <c r="C108" s="39">
        <f t="shared" si="1"/>
        <v>20</v>
      </c>
      <c r="D108" s="58">
        <v>2.0</v>
      </c>
      <c r="E108" s="41">
        <f t="shared" si="2"/>
        <v>0</v>
      </c>
      <c r="F108" s="61">
        <f t="shared" si="3"/>
        <v>0.009345794393</v>
      </c>
      <c r="G108" s="75" t="s">
        <v>23</v>
      </c>
      <c r="H108" s="75" t="s">
        <v>23</v>
      </c>
      <c r="I108" s="52" t="str">
        <f>HYPERLINK("https://www.ijzcg.me/me/novosti/presjek-situacije-u-crnoj-gori-u-nedjelju-0504-u-1745","Source")</f>
        <v>Source</v>
      </c>
      <c r="J108" s="68"/>
      <c r="K108" s="69" t="s">
        <v>254</v>
      </c>
      <c r="L108" s="58">
        <v>194.0</v>
      </c>
      <c r="M108" s="58">
        <v>2.0</v>
      </c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30.0" customHeight="1">
      <c r="A109" s="33" t="s">
        <v>255</v>
      </c>
      <c r="B109" s="58">
        <v>214.0</v>
      </c>
      <c r="C109" s="39">
        <f t="shared" si="1"/>
        <v>9</v>
      </c>
      <c r="D109" s="58">
        <v>5.0</v>
      </c>
      <c r="E109" s="41">
        <f t="shared" si="2"/>
        <v>0</v>
      </c>
      <c r="F109" s="61">
        <f t="shared" si="3"/>
        <v>0.02336448598</v>
      </c>
      <c r="G109" s="75">
        <v>0.0</v>
      </c>
      <c r="H109" s="75">
        <v>3.0</v>
      </c>
      <c r="I109" s="52" t="str">
        <f>HYPERLINK("https://www.ghanahealthservice.org/covid19/","Source")</f>
        <v>Source</v>
      </c>
      <c r="J109" s="68"/>
      <c r="K109" s="29"/>
      <c r="L109" s="58">
        <v>205.0</v>
      </c>
      <c r="M109" s="58">
        <v>5.0</v>
      </c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30.0" customHeight="1">
      <c r="A110" s="33" t="s">
        <v>256</v>
      </c>
      <c r="B110" s="58">
        <v>175.0</v>
      </c>
      <c r="C110" s="39">
        <f t="shared" si="1"/>
        <v>13</v>
      </c>
      <c r="D110" s="58">
        <v>5.0</v>
      </c>
      <c r="E110" s="41">
        <f t="shared" si="2"/>
        <v>0</v>
      </c>
      <c r="F110" s="61">
        <f t="shared" si="3"/>
        <v>0.02857142857</v>
      </c>
      <c r="G110" s="75" t="s">
        <v>23</v>
      </c>
      <c r="H110" s="75">
        <v>33.0</v>
      </c>
      <c r="I110" s="52" t="str">
        <f>HYPERLINK("http://www.colombopage.com/archive_20A/Apr05_1586106064CH.php","Source")</f>
        <v>Source</v>
      </c>
      <c r="J110" s="68"/>
      <c r="K110" s="29"/>
      <c r="L110" s="58">
        <v>162.0</v>
      </c>
      <c r="M110" s="58">
        <v>5.0</v>
      </c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30.0" customHeight="1">
      <c r="A111" s="33" t="s">
        <v>49</v>
      </c>
      <c r="B111" s="58">
        <v>174.0</v>
      </c>
      <c r="C111" s="39">
        <f t="shared" si="1"/>
        <v>17</v>
      </c>
      <c r="D111" s="58">
        <v>2.0</v>
      </c>
      <c r="E111" s="41">
        <f t="shared" si="2"/>
        <v>1</v>
      </c>
      <c r="F111" s="42">
        <f t="shared" si="3"/>
        <v>0.01149425287</v>
      </c>
      <c r="G111" s="75">
        <v>1.0</v>
      </c>
      <c r="H111" s="75">
        <v>36.0</v>
      </c>
      <c r="I111" s="52" t="str">
        <f>HYPERLINK("https://stopcov.ge/en","Source")</f>
        <v>Source</v>
      </c>
      <c r="J111" s="68"/>
      <c r="K111" s="69" t="s">
        <v>25</v>
      </c>
      <c r="L111" s="58">
        <v>157.0</v>
      </c>
      <c r="M111" s="58">
        <v>1.0</v>
      </c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30.0" customHeight="1">
      <c r="A112" s="33" t="s">
        <v>204</v>
      </c>
      <c r="B112" s="58">
        <v>157.0</v>
      </c>
      <c r="C112" s="39">
        <f t="shared" si="1"/>
        <v>18</v>
      </c>
      <c r="D112" s="58">
        <v>10.0</v>
      </c>
      <c r="E112" s="41">
        <f t="shared" si="2"/>
        <v>0</v>
      </c>
      <c r="F112" s="61">
        <f t="shared" si="3"/>
        <v>0.06369426752</v>
      </c>
      <c r="G112" s="75" t="s">
        <v>23</v>
      </c>
      <c r="H112" s="75">
        <v>2.0</v>
      </c>
      <c r="I112" s="52" t="str">
        <f>HYPERLINK("https://twitter.com/MinSaludBolivia/status/1246598682897776641","Source")</f>
        <v>Source</v>
      </c>
      <c r="J112" s="68"/>
      <c r="K112" s="69" t="s">
        <v>25</v>
      </c>
      <c r="L112" s="58">
        <v>139.0</v>
      </c>
      <c r="M112" s="58">
        <v>10.0</v>
      </c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30.0" customHeight="1">
      <c r="A113" s="33" t="s">
        <v>257</v>
      </c>
      <c r="B113" s="58">
        <v>155.0</v>
      </c>
      <c r="C113" s="39">
        <f t="shared" si="1"/>
        <v>2</v>
      </c>
      <c r="D113" s="58">
        <v>7.0</v>
      </c>
      <c r="E113" s="41">
        <f t="shared" si="2"/>
        <v>0</v>
      </c>
      <c r="F113" s="42">
        <f t="shared" si="3"/>
        <v>0.04516129032</v>
      </c>
      <c r="G113" s="75">
        <v>5.0</v>
      </c>
      <c r="H113" s="75">
        <v>52.0</v>
      </c>
      <c r="I113" s="52" t="str">
        <f>HYPERLINK("http://vicepresidencia.gob.ve/venezuela-registra-dos-nuevos-casos-de-covid-19-para-un-total-de-155-contagiados/","Source")</f>
        <v>Source</v>
      </c>
      <c r="J113" s="68"/>
      <c r="K113" s="69" t="s">
        <v>25</v>
      </c>
      <c r="L113" s="58">
        <v>153.0</v>
      </c>
      <c r="M113" s="58">
        <v>7.0</v>
      </c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30.0" customHeight="1">
      <c r="A114" s="33" t="s">
        <v>258</v>
      </c>
      <c r="B114" s="58">
        <v>154.0</v>
      </c>
      <c r="C114" s="39">
        <f t="shared" si="1"/>
        <v>40</v>
      </c>
      <c r="D114" s="58">
        <v>3.0</v>
      </c>
      <c r="E114" s="41">
        <f t="shared" si="2"/>
        <v>1</v>
      </c>
      <c r="F114" s="61">
        <f t="shared" si="3"/>
        <v>0.01948051948</v>
      </c>
      <c r="G114" s="75">
        <v>0.0</v>
      </c>
      <c r="H114" s="75">
        <v>27.0</v>
      </c>
      <c r="I114" s="52" t="str">
        <f>HYPERLINK("https://www.gov.gg/covid19testresults","Source")</f>
        <v>Source</v>
      </c>
      <c r="J114" s="68"/>
      <c r="K114" s="29"/>
      <c r="L114" s="58">
        <v>114.0</v>
      </c>
      <c r="M114" s="58">
        <v>2.0</v>
      </c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30.0" customHeight="1">
      <c r="A115" s="33" t="s">
        <v>259</v>
      </c>
      <c r="B115" s="58">
        <v>148.0</v>
      </c>
      <c r="C115" s="39">
        <f t="shared" si="1"/>
        <v>0</v>
      </c>
      <c r="D115" s="58">
        <v>16.0</v>
      </c>
      <c r="E115" s="41">
        <f t="shared" si="2"/>
        <v>0</v>
      </c>
      <c r="F115" s="61">
        <f t="shared" si="3"/>
        <v>0.1081081081</v>
      </c>
      <c r="G115" s="75" t="s">
        <v>23</v>
      </c>
      <c r="H115" s="75">
        <v>3.0</v>
      </c>
      <c r="I115" s="52" t="str">
        <f>HYPERLINK("https://pbs.twimg.com/media/EU1dY7XXgAEuJIr.jpg","Source")</f>
        <v>Source</v>
      </c>
      <c r="J115" s="135"/>
      <c r="K115" s="29"/>
      <c r="L115" s="58">
        <v>148.0</v>
      </c>
      <c r="M115" s="58">
        <v>16.0</v>
      </c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30.0" customHeight="1">
      <c r="A116" s="33" t="s">
        <v>260</v>
      </c>
      <c r="B116" s="58">
        <v>147.0</v>
      </c>
      <c r="C116" s="39">
        <f t="shared" si="1"/>
        <v>3</v>
      </c>
      <c r="D116" s="58">
        <v>2.0</v>
      </c>
      <c r="E116" s="41">
        <f t="shared" si="2"/>
        <v>1</v>
      </c>
      <c r="F116" s="42">
        <f t="shared" si="3"/>
        <v>0.01360544218</v>
      </c>
      <c r="G116" s="75">
        <v>6.0</v>
      </c>
      <c r="H116" s="75">
        <v>9.0</v>
      </c>
      <c r="I116" s="52" t="str">
        <f>HYPERLINK("https://akipress.com/news:638841:Second_COVID-19_patient_dies_in_Kyrgyzstan/","Source")</f>
        <v>Source</v>
      </c>
      <c r="J116" s="68"/>
      <c r="K116" s="29"/>
      <c r="L116" s="58">
        <v>144.0</v>
      </c>
      <c r="M116" s="58">
        <v>1.0</v>
      </c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30.0" customHeight="1">
      <c r="A117" s="33" t="s">
        <v>261</v>
      </c>
      <c r="B117" s="58">
        <v>145.0</v>
      </c>
      <c r="C117" s="39">
        <f t="shared" si="1"/>
        <v>10</v>
      </c>
      <c r="D117" s="58">
        <v>1.0</v>
      </c>
      <c r="E117" s="41">
        <f t="shared" si="2"/>
        <v>0</v>
      </c>
      <c r="F117" s="61">
        <f t="shared" si="3"/>
        <v>0.006896551724</v>
      </c>
      <c r="G117" s="75" t="s">
        <v>23</v>
      </c>
      <c r="H117" s="75">
        <v>23.0</v>
      </c>
      <c r="I117" s="52" t="str">
        <f>HYPERLINK("https://kosova.health/en/","Source")</f>
        <v>Source</v>
      </c>
      <c r="J117" s="68"/>
      <c r="K117" s="29"/>
      <c r="L117" s="58">
        <v>135.0</v>
      </c>
      <c r="M117" s="58">
        <v>1.0</v>
      </c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30.0" customHeight="1">
      <c r="A118" s="33" t="s">
        <v>262</v>
      </c>
      <c r="B118" s="58">
        <v>144.0</v>
      </c>
      <c r="C118" s="39">
        <f t="shared" si="1"/>
        <v>46</v>
      </c>
      <c r="D118" s="58">
        <v>8.0</v>
      </c>
      <c r="E118" s="41">
        <f t="shared" si="2"/>
        <v>3</v>
      </c>
      <c r="F118" s="61">
        <f t="shared" si="3"/>
        <v>0.05555555556</v>
      </c>
      <c r="G118" s="75" t="s">
        <v>23</v>
      </c>
      <c r="H118" s="75" t="s">
        <v>23</v>
      </c>
      <c r="I118" s="52" t="str">
        <f>HYPERLINK("https://pbs.twimg.com/media/EU1dY7XXgAEuJIr.jpg","Source")</f>
        <v>Source</v>
      </c>
      <c r="J118" s="68"/>
      <c r="K118" s="29"/>
      <c r="L118" s="58">
        <v>98.0</v>
      </c>
      <c r="M118" s="58">
        <v>5.0</v>
      </c>
      <c r="N118" s="30"/>
      <c r="O118" s="30"/>
      <c r="P118" s="136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30.0" customHeight="1">
      <c r="A119" s="33" t="s">
        <v>263</v>
      </c>
      <c r="B119" s="58">
        <v>142.0</v>
      </c>
      <c r="C119" s="39">
        <f t="shared" si="1"/>
        <v>16</v>
      </c>
      <c r="D119" s="58">
        <v>4.0</v>
      </c>
      <c r="E119" s="41">
        <f t="shared" si="2"/>
        <v>0</v>
      </c>
      <c r="F119" s="42">
        <f t="shared" si="3"/>
        <v>0.02816901408</v>
      </c>
      <c r="G119" s="75">
        <v>0.0</v>
      </c>
      <c r="H119" s="75">
        <v>4.0</v>
      </c>
      <c r="I119" s="52" t="str">
        <f>HYPERLINK("https://twitter.com/MOH_Kenya/status/1246811337247920133","Source")</f>
        <v>Source</v>
      </c>
      <c r="J119" s="137"/>
      <c r="K119" s="29"/>
      <c r="L119" s="58">
        <v>126.0</v>
      </c>
      <c r="M119" s="58">
        <v>4.0</v>
      </c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30.0" customHeight="1">
      <c r="A120" s="33" t="s">
        <v>264</v>
      </c>
      <c r="B120" s="58">
        <v>135.0</v>
      </c>
      <c r="C120" s="39">
        <f t="shared" si="1"/>
        <v>0</v>
      </c>
      <c r="D120" s="58">
        <v>1.0</v>
      </c>
      <c r="E120" s="41">
        <f t="shared" si="2"/>
        <v>0</v>
      </c>
      <c r="F120" s="61">
        <f t="shared" si="3"/>
        <v>0.007407407407</v>
      </c>
      <c r="G120" s="75" t="s">
        <v>23</v>
      </c>
      <c r="H120" s="75">
        <v>73.0</v>
      </c>
      <c r="I120" s="52" t="str">
        <f>HYPERLINK("https://twitter.com/borneo_bulletin/status/1246733718527475712","Source")</f>
        <v>Source</v>
      </c>
      <c r="J120" s="68"/>
      <c r="K120" s="69" t="s">
        <v>25</v>
      </c>
      <c r="L120" s="58">
        <v>135.0</v>
      </c>
      <c r="M120" s="58">
        <v>1.0</v>
      </c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30.0" customHeight="1">
      <c r="A121" s="33" t="s">
        <v>265</v>
      </c>
      <c r="B121" s="58">
        <v>127.0</v>
      </c>
      <c r="C121" s="39">
        <f t="shared" si="1"/>
        <v>13</v>
      </c>
      <c r="D121" s="58">
        <v>1.0</v>
      </c>
      <c r="E121" s="41">
        <f t="shared" si="2"/>
        <v>0</v>
      </c>
      <c r="F121" s="61">
        <f t="shared" si="3"/>
        <v>0.007874015748</v>
      </c>
      <c r="G121" s="75" t="s">
        <v>23</v>
      </c>
      <c r="H121" s="75" t="s">
        <v>23</v>
      </c>
      <c r="I121" s="52" t="str">
        <f>HYPERLINK("https://covid19.gov.im/general-information/latest-updates/","Source")</f>
        <v>Source</v>
      </c>
      <c r="J121" s="68"/>
      <c r="K121" s="69" t="s">
        <v>25</v>
      </c>
      <c r="L121" s="58">
        <v>114.0</v>
      </c>
      <c r="M121" s="58">
        <v>1.0</v>
      </c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30.0" customHeight="1">
      <c r="A122" s="33" t="s">
        <v>266</v>
      </c>
      <c r="B122" s="58">
        <v>123.0</v>
      </c>
      <c r="C122" s="39">
        <f t="shared" si="1"/>
        <v>0</v>
      </c>
      <c r="D122" s="58">
        <v>3.0</v>
      </c>
      <c r="E122" s="41">
        <f t="shared" si="2"/>
        <v>0</v>
      </c>
      <c r="F122" s="61">
        <f t="shared" si="3"/>
        <v>0.0243902439</v>
      </c>
      <c r="G122" s="75" t="s">
        <v>23</v>
      </c>
      <c r="H122" s="75" t="s">
        <v>23</v>
      </c>
      <c r="I122" s="52" t="str">
        <f>HYPERLINK("https://www.gov.je/Health/Coronavirus/Pages/CoronavirusCases.aspx","Source")</f>
        <v>Source</v>
      </c>
      <c r="J122" s="135"/>
      <c r="K122" s="29"/>
      <c r="L122" s="58">
        <v>123.0</v>
      </c>
      <c r="M122" s="58">
        <v>3.0</v>
      </c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30.0" customHeight="1">
      <c r="A123" s="33" t="s">
        <v>267</v>
      </c>
      <c r="B123" s="58">
        <v>121.0</v>
      </c>
      <c r="C123" s="39">
        <f t="shared" si="1"/>
        <v>69</v>
      </c>
      <c r="D123" s="58">
        <v>0.0</v>
      </c>
      <c r="E123" s="41">
        <f t="shared" si="2"/>
        <v>0</v>
      </c>
      <c r="F123" s="42">
        <f t="shared" si="3"/>
        <v>0</v>
      </c>
      <c r="G123" s="75" t="s">
        <v>23</v>
      </c>
      <c r="H123" s="75">
        <v>5.0</v>
      </c>
      <c r="I123" s="52" t="str">
        <f>HYPERLINK("https://www.facebook.com/Sanitaire.net/photos/a.209738779476555/887275961722830/?type=3&amp;theater","Source")</f>
        <v>Source</v>
      </c>
      <c r="J123" s="68"/>
      <c r="K123" s="29"/>
      <c r="L123" s="58">
        <v>52.0</v>
      </c>
      <c r="M123" s="58">
        <v>0.0</v>
      </c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30.0" customHeight="1">
      <c r="A124" s="33" t="s">
        <v>268</v>
      </c>
      <c r="B124" s="58">
        <v>114.0</v>
      </c>
      <c r="C124" s="39">
        <f t="shared" si="1"/>
        <v>0</v>
      </c>
      <c r="D124" s="58">
        <v>0.0</v>
      </c>
      <c r="E124" s="41">
        <f t="shared" si="2"/>
        <v>0</v>
      </c>
      <c r="F124" s="61">
        <f t="shared" si="3"/>
        <v>0</v>
      </c>
      <c r="G124" s="75" t="s">
        <v>23</v>
      </c>
      <c r="H124" s="75">
        <v>50.0</v>
      </c>
      <c r="I124" s="52" t="str">
        <f>HYPERLINK("http://en.freshnewsasia.com/index.php/en/localnews/17687-2020-04-05-00-52-34.html","Source")</f>
        <v>Source</v>
      </c>
      <c r="J124" s="68"/>
      <c r="K124" s="29"/>
      <c r="L124" s="58">
        <v>114.0</v>
      </c>
      <c r="M124" s="58">
        <v>0.0</v>
      </c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27.75" customHeight="1">
      <c r="A125" s="33" t="s">
        <v>205</v>
      </c>
      <c r="B125" s="58">
        <v>104.0</v>
      </c>
      <c r="C125" s="39">
        <f t="shared" si="1"/>
        <v>8</v>
      </c>
      <c r="D125" s="58">
        <v>3.0</v>
      </c>
      <c r="E125" s="41">
        <f t="shared" si="2"/>
        <v>0</v>
      </c>
      <c r="F125" s="42">
        <f t="shared" si="3"/>
        <v>0.02884615385</v>
      </c>
      <c r="G125" s="75">
        <v>2.0</v>
      </c>
      <c r="H125" s="75">
        <v>12.0</v>
      </c>
      <c r="I125" s="52" t="str">
        <f>HYPERLINK("https://twitter.com/msaludpy/status/1246833727100956673","Source")</f>
        <v>Source</v>
      </c>
      <c r="J125" s="68"/>
      <c r="K125" s="29"/>
      <c r="L125" s="58">
        <v>96.0</v>
      </c>
      <c r="M125" s="58">
        <v>3.0</v>
      </c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30.0" customHeight="1">
      <c r="A126" s="33" t="s">
        <v>269</v>
      </c>
      <c r="B126" s="58">
        <v>104.0</v>
      </c>
      <c r="C126" s="39">
        <f t="shared" si="1"/>
        <v>20</v>
      </c>
      <c r="D126" s="58">
        <v>0.0</v>
      </c>
      <c r="E126" s="41">
        <f t="shared" si="2"/>
        <v>0</v>
      </c>
      <c r="F126" s="42">
        <f t="shared" si="3"/>
        <v>0</v>
      </c>
      <c r="G126" s="75">
        <v>0.0</v>
      </c>
      <c r="H126" s="75">
        <v>4.0</v>
      </c>
      <c r="I126" s="52" t="str">
        <f>HYPERLINK("https://twitter.com/RwandaHealth/status/1246860954375241730","Source")</f>
        <v>Source</v>
      </c>
      <c r="J126" s="68"/>
      <c r="K126" s="29"/>
      <c r="L126" s="58">
        <v>84.0</v>
      </c>
      <c r="M126" s="58">
        <v>0.0</v>
      </c>
      <c r="N126" s="30"/>
      <c r="O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30.0" customHeight="1">
      <c r="A127" s="33" t="s">
        <v>270</v>
      </c>
      <c r="B127" s="58">
        <v>103.0</v>
      </c>
      <c r="C127" s="39">
        <f t="shared" si="1"/>
        <v>3</v>
      </c>
      <c r="D127" s="58">
        <v>6.0</v>
      </c>
      <c r="E127" s="41">
        <f t="shared" si="2"/>
        <v>0</v>
      </c>
      <c r="F127" s="42">
        <f t="shared" si="3"/>
        <v>0.05825242718</v>
      </c>
      <c r="G127" s="75" t="s">
        <v>23</v>
      </c>
      <c r="H127" s="75">
        <v>1.0</v>
      </c>
      <c r="I127" s="52" t="str">
        <f>HYPERLINK("https://twitter.com/MOH_TT/status/1246529476281995268","Source")</f>
        <v>Source</v>
      </c>
      <c r="J127" s="68"/>
      <c r="K127" s="29"/>
      <c r="L127" s="58">
        <v>100.0</v>
      </c>
      <c r="M127" s="58">
        <v>6.0</v>
      </c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27.75" customHeight="1">
      <c r="A128" s="33" t="s">
        <v>271</v>
      </c>
      <c r="B128" s="58">
        <v>103.0</v>
      </c>
      <c r="C128" s="39">
        <f t="shared" si="1"/>
        <v>8</v>
      </c>
      <c r="D128" s="58">
        <v>0.0</v>
      </c>
      <c r="E128" s="41">
        <f t="shared" si="2"/>
        <v>0</v>
      </c>
      <c r="F128" s="42">
        <f t="shared" si="3"/>
        <v>0</v>
      </c>
      <c r="G128" s="75" t="s">
        <v>23</v>
      </c>
      <c r="H128" s="75">
        <v>52.0</v>
      </c>
      <c r="I128" s="52" t="str">
        <f>HYPERLINK("https://www.gibraltar.gov.gi/covid19","Source")</f>
        <v>Source</v>
      </c>
      <c r="J128" s="68"/>
      <c r="K128" s="29"/>
      <c r="L128" s="58">
        <v>95.0</v>
      </c>
      <c r="M128" s="58">
        <v>0.0</v>
      </c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27.75" customHeight="1">
      <c r="A129" s="33" t="s">
        <v>272</v>
      </c>
      <c r="B129" s="58">
        <v>91.0</v>
      </c>
      <c r="C129" s="39">
        <f t="shared" si="1"/>
        <v>3</v>
      </c>
      <c r="D129" s="58">
        <v>2.0</v>
      </c>
      <c r="E129" s="41">
        <f t="shared" si="2"/>
        <v>0</v>
      </c>
      <c r="F129" s="61">
        <f t="shared" si="3"/>
        <v>0.02197802198</v>
      </c>
      <c r="G129" s="75" t="s">
        <v>23</v>
      </c>
      <c r="H129" s="75">
        <v>3.0</v>
      </c>
      <c r="I129" s="52" t="str">
        <f>HYPERLINK("https://in-cyprus.philenews.com/tougher-lock-down-measures-in-turkish-held-north/","Source")</f>
        <v>Source</v>
      </c>
      <c r="J129" s="68"/>
      <c r="K129" s="29"/>
      <c r="L129" s="58">
        <v>88.0</v>
      </c>
      <c r="M129" s="58">
        <v>2.0</v>
      </c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27.75" customHeight="1">
      <c r="A130" s="33" t="s">
        <v>273</v>
      </c>
      <c r="B130" s="58">
        <v>88.0</v>
      </c>
      <c r="C130" s="39">
        <f t="shared" si="1"/>
        <v>18</v>
      </c>
      <c r="D130" s="58">
        <v>9.0</v>
      </c>
      <c r="E130" s="41">
        <f t="shared" si="2"/>
        <v>1</v>
      </c>
      <c r="F130" s="61">
        <f t="shared" si="3"/>
        <v>0.1022727273</v>
      </c>
      <c r="G130" s="75" t="s">
        <v>23</v>
      </c>
      <c r="H130" s="75">
        <v>33.0</v>
      </c>
      <c r="I130" s="52" t="str">
        <f>HYPERLINK("https://www.thedailystar.net/six-of-a-family-infected-with-coronavirus-covid-19-in-dhaka-1889863","Source")</f>
        <v>Source</v>
      </c>
      <c r="J130" s="68"/>
      <c r="K130" s="29"/>
      <c r="L130" s="58">
        <v>70.0</v>
      </c>
      <c r="M130" s="58">
        <v>8.0</v>
      </c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27.75" customHeight="1">
      <c r="A131" s="33" t="s">
        <v>274</v>
      </c>
      <c r="B131" s="58">
        <v>77.0</v>
      </c>
      <c r="C131" s="39">
        <f t="shared" si="1"/>
        <v>2</v>
      </c>
      <c r="D131" s="58">
        <v>1.0</v>
      </c>
      <c r="E131" s="41">
        <f t="shared" si="2"/>
        <v>1</v>
      </c>
      <c r="F131" s="42">
        <f t="shared" si="3"/>
        <v>0.01298701299</v>
      </c>
      <c r="G131" s="75" t="s">
        <v>23</v>
      </c>
      <c r="H131" s="75" t="s">
        <v>23</v>
      </c>
      <c r="I131" s="52" t="str">
        <f>HYPERLINK("https://www.regierung.li/media/attachments/168-corona-person-verstorben-0404.pdf?t=637217142523250761","Source")</f>
        <v>Source</v>
      </c>
      <c r="J131" s="68"/>
      <c r="K131" s="29"/>
      <c r="L131" s="58">
        <v>75.0</v>
      </c>
      <c r="M131" s="58">
        <v>0.0</v>
      </c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30.0" customHeight="1">
      <c r="A132" s="33" t="s">
        <v>275</v>
      </c>
      <c r="B132" s="58">
        <v>73.0</v>
      </c>
      <c r="C132" s="39">
        <f t="shared" si="1"/>
        <v>13</v>
      </c>
      <c r="D132" s="58">
        <v>1.0</v>
      </c>
      <c r="E132" s="41">
        <f t="shared" si="2"/>
        <v>0</v>
      </c>
      <c r="F132" s="42">
        <f t="shared" si="3"/>
        <v>0.01369863014</v>
      </c>
      <c r="G132" s="75">
        <v>4.0</v>
      </c>
      <c r="H132" s="75">
        <v>3.0</v>
      </c>
      <c r="I132" s="52" t="str">
        <f>HYPERLINK("https://en.gouv.mc/Policy-Practice/Coronavirus-Covid-2019/Actualites/CORONAVIRUS-sept-nouveaux-cas-positifs-reveles-a-Monaco","Source")</f>
        <v>Source</v>
      </c>
      <c r="J132" s="68"/>
      <c r="K132" s="29"/>
      <c r="L132" s="58">
        <v>60.0</v>
      </c>
      <c r="M132" s="58">
        <v>1.0</v>
      </c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30.0" customHeight="1">
      <c r="A133" s="33" t="s">
        <v>276</v>
      </c>
      <c r="B133" s="58">
        <v>70.0</v>
      </c>
      <c r="C133" s="39">
        <f t="shared" si="1"/>
        <v>11</v>
      </c>
      <c r="D133" s="58">
        <v>0.0</v>
      </c>
      <c r="E133" s="41">
        <f t="shared" si="2"/>
        <v>0</v>
      </c>
      <c r="F133" s="61">
        <f t="shared" si="3"/>
        <v>0</v>
      </c>
      <c r="G133" s="75">
        <v>1.0</v>
      </c>
      <c r="H133" s="75">
        <v>0.0</v>
      </c>
      <c r="I133" s="52" t="str">
        <f>HYPERLINK("https://www.madagascar-tribune.com/Soixante-dix-cas-positifs-au-Covid-19.html","Source")</f>
        <v>Source</v>
      </c>
      <c r="J133" s="68"/>
      <c r="K133" s="29"/>
      <c r="L133" s="58">
        <v>59.0</v>
      </c>
      <c r="M133" s="58">
        <v>0.0</v>
      </c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30.0" customHeight="1">
      <c r="A134" s="33" t="s">
        <v>277</v>
      </c>
      <c r="B134" s="58">
        <v>64.0</v>
      </c>
      <c r="C134" s="39">
        <f t="shared" si="1"/>
        <v>4</v>
      </c>
      <c r="D134" s="58">
        <v>0.0</v>
      </c>
      <c r="E134" s="41">
        <f t="shared" si="2"/>
        <v>0</v>
      </c>
      <c r="F134" s="42">
        <f t="shared" si="3"/>
        <v>0</v>
      </c>
      <c r="G134" s="75" t="s">
        <v>23</v>
      </c>
      <c r="H134" s="75">
        <v>1.0</v>
      </c>
      <c r="I134" s="52" t="str">
        <f>HYPERLINK("https://www.arubacovid19.org/","Source")</f>
        <v>Source</v>
      </c>
      <c r="J134" s="135"/>
      <c r="K134" s="29"/>
      <c r="L134" s="58">
        <v>60.0</v>
      </c>
      <c r="M134" s="58">
        <v>0.0</v>
      </c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30.0" customHeight="1">
      <c r="A135" s="33" t="s">
        <v>207</v>
      </c>
      <c r="B135" s="58">
        <v>62.0</v>
      </c>
      <c r="C135" s="39">
        <f t="shared" si="1"/>
        <v>6</v>
      </c>
      <c r="D135" s="58">
        <v>3.0</v>
      </c>
      <c r="E135" s="41">
        <f t="shared" si="2"/>
        <v>0</v>
      </c>
      <c r="F135" s="42">
        <f t="shared" si="3"/>
        <v>0.04838709677</v>
      </c>
      <c r="G135" s="75">
        <v>5.0</v>
      </c>
      <c r="H135" s="75">
        <v>2.0</v>
      </c>
      <c r="I135" s="52" t="str">
        <f>HYPERLINK("https://twitter.com/minsalud/status/1246662825554194434","Source")</f>
        <v>Source</v>
      </c>
      <c r="J135" s="68"/>
      <c r="K135" s="29"/>
      <c r="L135" s="58">
        <v>56.0</v>
      </c>
      <c r="M135" s="58">
        <v>3.0</v>
      </c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27.75" customHeight="1">
      <c r="A136" s="33" t="s">
        <v>206</v>
      </c>
      <c r="B136" s="58">
        <v>61.0</v>
      </c>
      <c r="C136" s="39">
        <f t="shared" si="1"/>
        <v>11</v>
      </c>
      <c r="D136" s="58">
        <v>2.0</v>
      </c>
      <c r="E136" s="41">
        <f t="shared" si="2"/>
        <v>1</v>
      </c>
      <c r="F136" s="42">
        <f t="shared" si="3"/>
        <v>0.03278688525</v>
      </c>
      <c r="G136" s="75" t="s">
        <v>23</v>
      </c>
      <c r="H136" s="75">
        <v>15.0</v>
      </c>
      <c r="I136" s="52" t="str">
        <f>HYPERLINK("https://www.mspas.gob.gt/index.php/noticias/coronavirus-2019-ncov","Source")</f>
        <v>Source</v>
      </c>
      <c r="J136" s="68"/>
      <c r="K136" s="29"/>
      <c r="L136" s="58">
        <v>50.0</v>
      </c>
      <c r="M136" s="58">
        <v>1.0</v>
      </c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30.0" customHeight="1">
      <c r="A137" s="33" t="s">
        <v>278</v>
      </c>
      <c r="B137" s="58">
        <v>59.0</v>
      </c>
      <c r="C137" s="39">
        <f t="shared" si="1"/>
        <v>10</v>
      </c>
      <c r="D137" s="58">
        <v>0.0</v>
      </c>
      <c r="E137" s="41">
        <f t="shared" si="2"/>
        <v>0</v>
      </c>
      <c r="F137" s="61">
        <f t="shared" si="3"/>
        <v>0</v>
      </c>
      <c r="G137" s="75">
        <v>0.0</v>
      </c>
      <c r="H137" s="75">
        <v>9.0</v>
      </c>
      <c r="I137" s="52" t="str">
        <f>HYPERLINK("https://www.facebook.com/minister.sante.dj/photos/a.983719351666999/2985634398142141/?type=3&amp;theater","Source")</f>
        <v>Source</v>
      </c>
      <c r="J137" s="68"/>
      <c r="K137" s="29"/>
      <c r="L137" s="58">
        <v>49.0</v>
      </c>
      <c r="M137" s="58">
        <v>0.0</v>
      </c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30.0" customHeight="1">
      <c r="A138" s="33" t="s">
        <v>279</v>
      </c>
      <c r="B138" s="58">
        <v>55.0</v>
      </c>
      <c r="C138" s="39">
        <f t="shared" si="1"/>
        <v>8</v>
      </c>
      <c r="D138" s="58">
        <v>2.0</v>
      </c>
      <c r="E138" s="41">
        <f t="shared" si="2"/>
        <v>0</v>
      </c>
      <c r="F138" s="61">
        <f t="shared" si="3"/>
        <v>0.03636363636</v>
      </c>
      <c r="G138" s="75" t="s">
        <v>23</v>
      </c>
      <c r="H138" s="75">
        <v>8.0</v>
      </c>
      <c r="I138" s="52" t="str">
        <f>HYPERLINK("https://twitter.com/christufton/status/1246590162500497408","Source")</f>
        <v>Source</v>
      </c>
      <c r="J138" s="135"/>
      <c r="K138" s="29"/>
      <c r="L138" s="58">
        <v>47.0</v>
      </c>
      <c r="M138" s="58">
        <v>2.0</v>
      </c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30.0" customHeight="1">
      <c r="A139" s="33" t="s">
        <v>280</v>
      </c>
      <c r="B139" s="58">
        <v>52.0</v>
      </c>
      <c r="C139" s="39">
        <f t="shared" si="1"/>
        <v>6</v>
      </c>
      <c r="D139" s="58">
        <v>1.0</v>
      </c>
      <c r="E139" s="41">
        <f t="shared" si="2"/>
        <v>1</v>
      </c>
      <c r="F139" s="42">
        <f t="shared" si="3"/>
        <v>0.01923076923</v>
      </c>
      <c r="G139" s="75">
        <v>2.0</v>
      </c>
      <c r="H139" s="75">
        <v>0.0</v>
      </c>
      <c r="I139" s="52" t="str">
        <f>HYPERLINK("https://www.facebook.com/moh.barbados/photos/a.768944336470972/3055636451135071/?type=3&amp;theater","Source")</f>
        <v>Source</v>
      </c>
      <c r="J139" s="68"/>
      <c r="K139" s="29"/>
      <c r="L139" s="58">
        <v>46.0</v>
      </c>
      <c r="M139" s="58">
        <v>0.0</v>
      </c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30.0" customHeight="1">
      <c r="A140" s="33" t="s">
        <v>281</v>
      </c>
      <c r="B140" s="58">
        <v>48.0</v>
      </c>
      <c r="C140" s="39">
        <f t="shared" si="1"/>
        <v>3</v>
      </c>
      <c r="D140" s="58">
        <v>0.0</v>
      </c>
      <c r="E140" s="41">
        <f t="shared" si="2"/>
        <v>0</v>
      </c>
      <c r="F140" s="42">
        <f t="shared" si="3"/>
        <v>0</v>
      </c>
      <c r="G140" s="75" t="s">
        <v>23</v>
      </c>
      <c r="H140" s="75" t="s">
        <v>23</v>
      </c>
      <c r="I140" s="52" t="str">
        <f>HYPERLINK("https://covid19.gou.go.ug/","Source")</f>
        <v>Source</v>
      </c>
      <c r="J140" s="68"/>
      <c r="K140" s="29"/>
      <c r="L140" s="58">
        <v>45.0</v>
      </c>
      <c r="M140" s="58">
        <v>0.0</v>
      </c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30.0" customHeight="1">
      <c r="A141" s="33" t="s">
        <v>282</v>
      </c>
      <c r="B141" s="58">
        <v>45.0</v>
      </c>
      <c r="C141" s="39">
        <f t="shared" si="1"/>
        <v>6</v>
      </c>
      <c r="D141" s="58">
        <v>5.0</v>
      </c>
      <c r="E141" s="41">
        <f t="shared" si="2"/>
        <v>2</v>
      </c>
      <c r="F141" s="61">
        <f t="shared" si="3"/>
        <v>0.1111111111</v>
      </c>
      <c r="G141" s="75" t="s">
        <v>23</v>
      </c>
      <c r="H141" s="75">
        <v>0.0</v>
      </c>
      <c r="I141" s="52" t="str">
        <f>HYPERLINK("https://www.maliweb.net/sante/covid-19-au-mali-41-cas-confirmes-01-cas-gueri-2866245.html","Source")</f>
        <v>Source</v>
      </c>
      <c r="J141" s="68"/>
      <c r="K141" s="29"/>
      <c r="L141" s="58">
        <v>39.0</v>
      </c>
      <c r="M141" s="58">
        <v>3.0</v>
      </c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30.0" customHeight="1">
      <c r="A142" s="33" t="s">
        <v>283</v>
      </c>
      <c r="B142" s="58">
        <v>45.0</v>
      </c>
      <c r="C142" s="39">
        <f t="shared" si="1"/>
        <v>4</v>
      </c>
      <c r="D142" s="58">
        <v>5.0</v>
      </c>
      <c r="E142" s="41">
        <f t="shared" si="2"/>
        <v>3</v>
      </c>
      <c r="F142" s="61">
        <f t="shared" si="3"/>
        <v>0.1111111111</v>
      </c>
      <c r="G142" s="75" t="s">
        <v>23</v>
      </c>
      <c r="H142" s="75" t="s">
        <v>23</v>
      </c>
      <c r="I142" s="52" t="str">
        <f>HYPERLINK("https://pbs.twimg.com/media/EU1dY7XXgAEuJIr.jpg","Source")</f>
        <v>Source</v>
      </c>
      <c r="J142" s="68"/>
      <c r="K142" s="29"/>
      <c r="L142" s="58">
        <v>41.0</v>
      </c>
      <c r="M142" s="58">
        <v>2.0</v>
      </c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27.75" customHeight="1">
      <c r="A143" s="33" t="s">
        <v>284</v>
      </c>
      <c r="B143" s="58">
        <v>44.0</v>
      </c>
      <c r="C143" s="39">
        <f t="shared" si="1"/>
        <v>4</v>
      </c>
      <c r="D143" s="58">
        <v>3.0</v>
      </c>
      <c r="E143" s="41">
        <f t="shared" si="2"/>
        <v>0</v>
      </c>
      <c r="F143" s="61">
        <f t="shared" si="3"/>
        <v>0.06818181818</v>
      </c>
      <c r="G143" s="75" t="s">
        <v>23</v>
      </c>
      <c r="H143" s="75">
        <v>20.0</v>
      </c>
      <c r="I143" s="52" t="str">
        <f>HYPERLINK("https://covid19.gouv.tg/","Source")</f>
        <v>Source</v>
      </c>
      <c r="J143" s="68"/>
      <c r="K143" s="29"/>
      <c r="L143" s="58">
        <v>40.0</v>
      </c>
      <c r="M143" s="58">
        <v>3.0</v>
      </c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30.0" customHeight="1">
      <c r="A144" s="33" t="s">
        <v>285</v>
      </c>
      <c r="B144" s="58">
        <v>43.0</v>
      </c>
      <c r="C144" s="39">
        <f t="shared" si="1"/>
        <v>8</v>
      </c>
      <c r="D144" s="58">
        <v>2.0</v>
      </c>
      <c r="E144" s="41">
        <f t="shared" si="2"/>
        <v>2</v>
      </c>
      <c r="F144" s="61">
        <f t="shared" si="3"/>
        <v>0.04651162791</v>
      </c>
      <c r="G144" s="75">
        <v>1.0</v>
      </c>
      <c r="H144" s="75">
        <v>4.0</v>
      </c>
      <c r="I144" s="52" t="str">
        <f>HYPERLINK("https://twitter.com/lia_tadesse/status/1246852184958013441","Source")</f>
        <v>Source</v>
      </c>
      <c r="J144" s="91"/>
      <c r="K144" s="29"/>
      <c r="L144" s="58">
        <v>35.0</v>
      </c>
      <c r="M144" s="58">
        <v>0.0</v>
      </c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30.0" customHeight="1">
      <c r="A145" s="33" t="s">
        <v>286</v>
      </c>
      <c r="B145" s="58">
        <v>42.0</v>
      </c>
      <c r="C145" s="39">
        <f t="shared" si="1"/>
        <v>1</v>
      </c>
      <c r="D145" s="58">
        <v>0.0</v>
      </c>
      <c r="E145" s="41">
        <f t="shared" si="2"/>
        <v>0</v>
      </c>
      <c r="F145" s="61">
        <f t="shared" si="3"/>
        <v>0</v>
      </c>
      <c r="G145" s="75">
        <v>1.0</v>
      </c>
      <c r="H145" s="75">
        <v>10.0</v>
      </c>
      <c r="I145" s="52" t="str">
        <f>HYPERLINK("https://www.ssm.gov.mo/docs/17784/17784_e854e7135904488cb529c9281168645f_000.pdf","Source")</f>
        <v>Source</v>
      </c>
      <c r="J145" s="68"/>
      <c r="K145" s="29"/>
      <c r="L145" s="58">
        <v>41.0</v>
      </c>
      <c r="M145" s="58">
        <v>0.0</v>
      </c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30.0" customHeight="1">
      <c r="A146" s="33" t="s">
        <v>287</v>
      </c>
      <c r="B146" s="58">
        <v>40.0</v>
      </c>
      <c r="C146" s="39">
        <f t="shared" si="1"/>
        <v>3</v>
      </c>
      <c r="D146" s="58">
        <v>0.0</v>
      </c>
      <c r="E146" s="41">
        <f t="shared" si="2"/>
        <v>0</v>
      </c>
      <c r="F146" s="42">
        <f t="shared" si="3"/>
        <v>0</v>
      </c>
      <c r="G146" s="75">
        <v>0.0</v>
      </c>
      <c r="H146" s="75" t="s">
        <v>23</v>
      </c>
      <c r="I146" s="52" t="str">
        <f>HYPERLINK("https://www.presidence.pf/coronavirus-situation-pour-la-polynesie-francaise-a-16h-10/","Source")</f>
        <v>Source</v>
      </c>
      <c r="J146" s="68"/>
      <c r="K146" s="29"/>
      <c r="L146" s="58">
        <v>37.0</v>
      </c>
      <c r="M146" s="58">
        <v>0.0</v>
      </c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30.0" customHeight="1">
      <c r="A147" s="33" t="s">
        <v>288</v>
      </c>
      <c r="B147" s="58">
        <v>39.0</v>
      </c>
      <c r="C147" s="39">
        <f t="shared" si="1"/>
        <v>0</v>
      </c>
      <c r="D147" s="58">
        <v>1.0</v>
      </c>
      <c r="E147" s="41">
        <f t="shared" si="2"/>
        <v>0</v>
      </c>
      <c r="F147" s="42">
        <f t="shared" si="3"/>
        <v>0.02564102564</v>
      </c>
      <c r="G147" s="75" t="s">
        <v>23</v>
      </c>
      <c r="H147" s="75">
        <v>2.0</v>
      </c>
      <c r="I147" s="52" t="str">
        <f>HYPERLINK("https://www.facebook.com/EdgarChagwaLungu/photos/a.831065900282970/2978808502175355/?type=3&amp;theater","Source")</f>
        <v>Source</v>
      </c>
      <c r="J147" s="135"/>
      <c r="K147" s="29"/>
      <c r="L147" s="58">
        <v>39.0</v>
      </c>
      <c r="M147" s="58">
        <v>1.0</v>
      </c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30.0" customHeight="1">
      <c r="A148" s="33" t="s">
        <v>289</v>
      </c>
      <c r="B148" s="58">
        <v>37.0</v>
      </c>
      <c r="C148" s="39">
        <f t="shared" si="1"/>
        <v>2</v>
      </c>
      <c r="D148" s="58">
        <v>0.0</v>
      </c>
      <c r="E148" s="41">
        <f t="shared" si="2"/>
        <v>0</v>
      </c>
      <c r="F148" s="42">
        <f t="shared" si="3"/>
        <v>0</v>
      </c>
      <c r="G148" s="75" t="s">
        <v>23</v>
      </c>
      <c r="H148" s="75">
        <v>14.0</v>
      </c>
      <c r="I148" s="52" t="str">
        <f>HYPERLINK("https://www.gov.bm/articles/4-april-covid-19-update","Source")</f>
        <v>Source</v>
      </c>
      <c r="J148" s="68"/>
      <c r="K148" s="29"/>
      <c r="L148" s="58">
        <v>35.0</v>
      </c>
      <c r="M148" s="58">
        <v>0.0</v>
      </c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30.0" customHeight="1">
      <c r="A149" s="33" t="s">
        <v>290</v>
      </c>
      <c r="B149" s="58">
        <v>35.0</v>
      </c>
      <c r="C149" s="39">
        <f t="shared" si="1"/>
        <v>7</v>
      </c>
      <c r="D149" s="58">
        <v>1.0</v>
      </c>
      <c r="E149" s="41">
        <f t="shared" si="2"/>
        <v>0</v>
      </c>
      <c r="F149" s="42">
        <f t="shared" si="3"/>
        <v>0.02857142857</v>
      </c>
      <c r="G149" s="75" t="s">
        <v>23</v>
      </c>
      <c r="H149" s="75" t="s">
        <v>23</v>
      </c>
      <c r="I149" s="52" t="str">
        <f>HYPERLINK("http://www.gov.ky/portal/page/portal/cighome/pressroom/archive/April%202020/saturday-4-april-update","Source")</f>
        <v>Source</v>
      </c>
      <c r="J149" s="68"/>
      <c r="K149" s="29"/>
      <c r="L149" s="58">
        <v>28.0</v>
      </c>
      <c r="M149" s="58">
        <v>1.0</v>
      </c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30.0" customHeight="1">
      <c r="A150" s="33" t="s">
        <v>291</v>
      </c>
      <c r="B150" s="58">
        <v>29.0</v>
      </c>
      <c r="C150" s="39">
        <f t="shared" si="1"/>
        <v>0</v>
      </c>
      <c r="D150" s="58">
        <v>0.0</v>
      </c>
      <c r="E150" s="41">
        <f t="shared" si="2"/>
        <v>0</v>
      </c>
      <c r="F150" s="42">
        <f t="shared" si="3"/>
        <v>0</v>
      </c>
      <c r="G150" s="75" t="s">
        <v>23</v>
      </c>
      <c r="H150" s="75">
        <v>0.0</v>
      </c>
      <c r="I150" s="52" t="str">
        <f>HYPERLINK("http://www.shabait.com/news/local-news/30414-announcement-from-the-ministry-of-health","Source")</f>
        <v>Source</v>
      </c>
      <c r="J150" s="135"/>
      <c r="K150" s="29"/>
      <c r="L150" s="58">
        <v>29.0</v>
      </c>
      <c r="M150" s="58">
        <v>0.0</v>
      </c>
      <c r="N150" s="30"/>
      <c r="O150" s="31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30.0" customHeight="1">
      <c r="A151" s="33" t="s">
        <v>292</v>
      </c>
      <c r="B151" s="58">
        <v>28.0</v>
      </c>
      <c r="C151" s="39">
        <f t="shared" si="1"/>
        <v>4</v>
      </c>
      <c r="D151" s="58">
        <v>4.0</v>
      </c>
      <c r="E151" s="41">
        <f t="shared" si="2"/>
        <v>3</v>
      </c>
      <c r="F151" s="61">
        <f t="shared" si="3"/>
        <v>0.1428571429</v>
      </c>
      <c r="G151" s="75">
        <v>0.0</v>
      </c>
      <c r="H151" s="75">
        <v>1.0</v>
      </c>
      <c r="I151" s="52" t="str">
        <f>HYPERLINK("https://www.facebook.com/MOHBahamas/posts/1082864775430005?__xts__[0]=68.ARBDz6DnpazPEKXeSVoLwjvvSeWRn30YOCS4JZZ6K-Xy3JmlPby9ONhLJZWBdbQLbihb7TXUkiNtmJo9fvS-ihcD6mbpwoiOnlUnXxcXb3S4HjaD0KWIjWikm4ug6oCerwb1Mnwun6jixelqyHH6AhGhUGyuiHr0otOyn1D_N7Q0pFhqIWD_KG"&amp;"YGz2Pyh8GJyjKv1BE1Rc2whorKizfi7zp6qADmHF0o7A-N8uxNb2_32LL4go5VhOkLFKef-FCw2PaU445xvb3cNvSQCmapIvphOPCn_qSoy_AgGW-2oBEh-aun72NoDGXphZwz63k7cFfBcxoeZWsaVZ9Q9H7CsmsPKQ&amp;__tn__=-R","Source")</f>
        <v>Source</v>
      </c>
      <c r="J151" s="68"/>
      <c r="K151" s="29"/>
      <c r="L151" s="58">
        <v>24.0</v>
      </c>
      <c r="M151" s="58">
        <v>1.0</v>
      </c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30.0" customHeight="1">
      <c r="A152" s="33" t="s">
        <v>293</v>
      </c>
      <c r="B152" s="58">
        <v>25.0</v>
      </c>
      <c r="C152" s="39">
        <f t="shared" si="1"/>
        <v>2</v>
      </c>
      <c r="D152" s="58">
        <v>2.0</v>
      </c>
      <c r="E152" s="41">
        <f t="shared" si="2"/>
        <v>0</v>
      </c>
      <c r="F152" s="42">
        <f t="shared" si="3"/>
        <v>0.08</v>
      </c>
      <c r="G152" s="75" t="s">
        <v>23</v>
      </c>
      <c r="H152" s="75">
        <v>1.0</v>
      </c>
      <c r="I152" s="52" t="str">
        <f>HYPERLINK("https://www.facebook.com/SXMGOV/videos/215995449667564/?__xts__[0]=68.ARDTRGzAySL3i0GfDwj4zJXnP8ZWa48ah7dbEyYGb5Ri8oDJEZZ3ecMjobCzAoUhiAG40GzrvFMWK6jt4iatKd6kfN0K5R917ThYzEt2g2OGMWNIuvq02H94OMOd2cS84gnXk_jR_eYQSjubedGtPakOdegnhnbfTz6UD8EUTYuspIDu68vTvMl7K"&amp;"5-2N3XozZPTxAVeUthgotwc_xYm3E-awLsc-yvdqfdgNKC4nBBnITe2phgzHQUsq6zsGkToBAuN8OPBGQubpZrlabK2_GrmzzHG5vRIbcNnJzsFsjXYcagg4UsXNEXEH10H8HLygbxHs4OlawTp_ORSnbgWaCdrMdbZdA06&amp;__tn__=-R","Source")</f>
        <v>Source</v>
      </c>
      <c r="J152" s="68"/>
      <c r="K152" s="29"/>
      <c r="L152" s="58">
        <v>23.0</v>
      </c>
      <c r="M152" s="58">
        <v>2.0</v>
      </c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30.0" customHeight="1">
      <c r="A153" s="33" t="s">
        <v>294</v>
      </c>
      <c r="B153" s="58">
        <v>24.0</v>
      </c>
      <c r="C153" s="39">
        <f t="shared" si="1"/>
        <v>5</v>
      </c>
      <c r="D153" s="58">
        <v>4.0</v>
      </c>
      <c r="E153" s="41">
        <f t="shared" si="2"/>
        <v>0</v>
      </c>
      <c r="F153" s="61">
        <f t="shared" si="3"/>
        <v>0.1666666667</v>
      </c>
      <c r="G153" s="75">
        <v>0.0</v>
      </c>
      <c r="H153" s="75" t="s">
        <v>23</v>
      </c>
      <c r="I153" s="52" t="str">
        <f>HYPERLINK("https://dpi.gov.gy/guyana-confirms-24th-case-of-covid/","Source")</f>
        <v>Source</v>
      </c>
      <c r="J153" s="68"/>
      <c r="K153" s="29"/>
      <c r="L153" s="58">
        <v>19.0</v>
      </c>
      <c r="M153" s="58">
        <v>4.0</v>
      </c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30.0" customHeight="1">
      <c r="A154" s="33" t="s">
        <v>295</v>
      </c>
      <c r="B154" s="58">
        <v>21.0</v>
      </c>
      <c r="C154" s="39">
        <f t="shared" si="1"/>
        <v>0</v>
      </c>
      <c r="D154" s="58">
        <v>1.0</v>
      </c>
      <c r="E154" s="41">
        <f t="shared" si="2"/>
        <v>0</v>
      </c>
      <c r="F154" s="61">
        <f t="shared" si="3"/>
        <v>0.04761904762</v>
      </c>
      <c r="G154" s="75" t="s">
        <v>23</v>
      </c>
      <c r="H154" s="75" t="s">
        <v>23</v>
      </c>
      <c r="I154" s="52" t="str">
        <f>HYPERLINK("https://www.gabonreview.com/covid-19-un-1er-cas-teste-positif-a-bitam-au-nord-du-gabon/","Source")</f>
        <v>Source</v>
      </c>
      <c r="J154" s="135"/>
      <c r="K154" s="29"/>
      <c r="L154" s="58">
        <v>21.0</v>
      </c>
      <c r="M154" s="58">
        <v>1.0</v>
      </c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30.0" customHeight="1">
      <c r="A155" s="33" t="s">
        <v>296</v>
      </c>
      <c r="B155" s="58">
        <v>21.0</v>
      </c>
      <c r="C155" s="39">
        <f t="shared" si="1"/>
        <v>1</v>
      </c>
      <c r="D155" s="58">
        <v>1.0</v>
      </c>
      <c r="E155" s="41">
        <f t="shared" si="2"/>
        <v>0</v>
      </c>
      <c r="F155" s="42">
        <f t="shared" si="3"/>
        <v>0.04761904762</v>
      </c>
      <c r="G155" s="75" t="s">
        <v>23</v>
      </c>
      <c r="H155" s="75">
        <v>0.0</v>
      </c>
      <c r="I155" s="52" t="str">
        <f>HYPERLINK("http://mohs.gov.mm/Main/content/publication/2019-ncov","Source")</f>
        <v>Source</v>
      </c>
      <c r="J155" s="135"/>
      <c r="K155" s="29"/>
      <c r="L155" s="58">
        <v>20.0</v>
      </c>
      <c r="M155" s="58">
        <v>1.0</v>
      </c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30.0" customHeight="1">
      <c r="A156" s="33" t="s">
        <v>297</v>
      </c>
      <c r="B156" s="58">
        <v>21.0</v>
      </c>
      <c r="C156" s="39">
        <f t="shared" si="1"/>
        <v>3</v>
      </c>
      <c r="D156" s="58">
        <v>1.0</v>
      </c>
      <c r="E156" s="41">
        <f t="shared" si="2"/>
        <v>1</v>
      </c>
      <c r="F156" s="42">
        <f t="shared" si="3"/>
        <v>0.04761904762</v>
      </c>
      <c r="G156" s="75" t="s">
        <v>23</v>
      </c>
      <c r="H156" s="75" t="s">
        <v>23</v>
      </c>
      <c r="I156" s="52" t="str">
        <f>HYPERLINK("https://lenouvelliste.com/article/214480/premier-deces-lie-officiellement-au-covid-19-enregistre-en-haiti-ce-dimanche-5-avril","Source")</f>
        <v>Source</v>
      </c>
      <c r="J156" s="135"/>
      <c r="K156" s="29"/>
      <c r="L156" s="58">
        <v>18.0</v>
      </c>
      <c r="M156" s="58">
        <v>0.0</v>
      </c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30.0" customHeight="1">
      <c r="A157" s="33" t="s">
        <v>298</v>
      </c>
      <c r="B157" s="58">
        <v>20.0</v>
      </c>
      <c r="C157" s="39">
        <f t="shared" si="1"/>
        <v>0</v>
      </c>
      <c r="D157" s="58">
        <v>1.0</v>
      </c>
      <c r="E157" s="41">
        <f t="shared" si="2"/>
        <v>0</v>
      </c>
      <c r="F157" s="61">
        <f t="shared" si="3"/>
        <v>0.05</v>
      </c>
      <c r="G157" s="75" t="s">
        <v>23</v>
      </c>
      <c r="H157" s="75">
        <v>1.0</v>
      </c>
      <c r="I157" s="52" t="str">
        <f>HYPERLINK("https://www.thecitizen.co.tz/news/Tanzania-records-first-Covid-19-death/1840340-5509582-e6v2lk/index.html","Source")</f>
        <v>Source</v>
      </c>
      <c r="J157" s="135"/>
      <c r="K157" s="29"/>
      <c r="L157" s="58">
        <v>20.0</v>
      </c>
      <c r="M157" s="58">
        <v>1.0</v>
      </c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30.0" customHeight="1">
      <c r="A158" s="33" t="s">
        <v>299</v>
      </c>
      <c r="B158" s="58">
        <v>19.0</v>
      </c>
      <c r="C158" s="39">
        <f t="shared" si="1"/>
        <v>3</v>
      </c>
      <c r="D158" s="58">
        <v>2.0</v>
      </c>
      <c r="E158" s="41">
        <f t="shared" si="2"/>
        <v>0</v>
      </c>
      <c r="F158" s="42">
        <f t="shared" si="3"/>
        <v>0.1052631579</v>
      </c>
      <c r="G158" s="75">
        <v>0.0</v>
      </c>
      <c r="H158" s="75">
        <v>2.0</v>
      </c>
      <c r="I158" s="52" t="str">
        <f>HYPERLINK("https://sana.sy/?p=1132448","Source")</f>
        <v>Source</v>
      </c>
      <c r="J158" s="68"/>
      <c r="K158" s="29"/>
      <c r="L158" s="58">
        <v>16.0</v>
      </c>
      <c r="M158" s="58">
        <v>2.0</v>
      </c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27.75" customHeight="1">
      <c r="A159" s="33" t="s">
        <v>300</v>
      </c>
      <c r="B159" s="58">
        <v>19.0</v>
      </c>
      <c r="C159" s="39">
        <f t="shared" si="1"/>
        <v>0</v>
      </c>
      <c r="D159" s="58">
        <v>0.0</v>
      </c>
      <c r="E159" s="41">
        <f t="shared" si="2"/>
        <v>0</v>
      </c>
      <c r="F159" s="61">
        <f t="shared" si="3"/>
        <v>0</v>
      </c>
      <c r="G159" s="75" t="s">
        <v>23</v>
      </c>
      <c r="H159" s="75">
        <v>13.0</v>
      </c>
      <c r="I159" s="52" t="str">
        <f>HYPERLINK("https://covid19.health.gov.mv/en/","Source")</f>
        <v>Source</v>
      </c>
      <c r="J159" s="135"/>
      <c r="K159" s="29"/>
      <c r="L159" s="58">
        <v>19.0</v>
      </c>
      <c r="M159" s="58">
        <v>0.0</v>
      </c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30.0" customHeight="1">
      <c r="A160" s="33" t="s">
        <v>301</v>
      </c>
      <c r="B160" s="58">
        <v>18.0</v>
      </c>
      <c r="C160" s="39">
        <f t="shared" si="1"/>
        <v>7</v>
      </c>
      <c r="D160" s="58">
        <v>1.0</v>
      </c>
      <c r="E160" s="41">
        <f t="shared" si="2"/>
        <v>0</v>
      </c>
      <c r="F160" s="42">
        <f t="shared" si="3"/>
        <v>0.05555555556</v>
      </c>
      <c r="G160" s="75" t="s">
        <v>23</v>
      </c>
      <c r="H160" s="75">
        <v>1.0</v>
      </c>
      <c r="I160" s="52" t="str">
        <f>HYPERLINK("https://www.aa.com.tr/en/latest-on-coronavirus-outbreak/coronavirus-tally-rises-in-several-arab-countries-/1793163","Source")</f>
        <v>Source</v>
      </c>
      <c r="J160" s="68"/>
      <c r="K160" s="29"/>
      <c r="L160" s="58">
        <v>11.0</v>
      </c>
      <c r="M160" s="58">
        <v>1.0</v>
      </c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30.0" customHeight="1">
      <c r="A161" s="33" t="s">
        <v>302</v>
      </c>
      <c r="B161" s="58">
        <v>18.0</v>
      </c>
      <c r="C161" s="39">
        <f t="shared" si="1"/>
        <v>0</v>
      </c>
      <c r="D161" s="58">
        <v>0.0</v>
      </c>
      <c r="E161" s="41">
        <f t="shared" si="2"/>
        <v>0</v>
      </c>
      <c r="F161" s="61">
        <f t="shared" si="3"/>
        <v>0</v>
      </c>
      <c r="G161" s="75">
        <v>1.0</v>
      </c>
      <c r="H161" s="75">
        <v>1.0</v>
      </c>
      <c r="I161" s="52" t="str">
        <f>HYPERLINK("https://gouv.nc/coronavirus","Source")</f>
        <v>Source</v>
      </c>
      <c r="J161" s="135"/>
      <c r="K161" s="29"/>
      <c r="L161" s="58">
        <v>18.0</v>
      </c>
      <c r="M161" s="58">
        <v>0.0</v>
      </c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30.0" customHeight="1">
      <c r="A162" s="33" t="s">
        <v>303</v>
      </c>
      <c r="B162" s="58">
        <v>18.0</v>
      </c>
      <c r="C162" s="39">
        <f t="shared" si="1"/>
        <v>9</v>
      </c>
      <c r="D162" s="58">
        <v>0.0</v>
      </c>
      <c r="E162" s="41">
        <f t="shared" si="2"/>
        <v>0</v>
      </c>
      <c r="F162" s="61">
        <f t="shared" si="3"/>
        <v>0</v>
      </c>
      <c r="G162" s="75" t="s">
        <v>23</v>
      </c>
      <c r="H162" s="75">
        <v>0.0</v>
      </c>
      <c r="I162" s="52" t="str">
        <f>HYPERLINK("https://pbs.twimg.com/media/EU1dY7XXgAEuJIr.jpg","Source")</f>
        <v>Source</v>
      </c>
      <c r="J162" s="68"/>
      <c r="K162" s="29"/>
      <c r="L162" s="58">
        <v>9.0</v>
      </c>
      <c r="M162" s="58">
        <v>0.0</v>
      </c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30.0" customHeight="1">
      <c r="A163" s="33" t="s">
        <v>304</v>
      </c>
      <c r="B163" s="58">
        <v>16.0</v>
      </c>
      <c r="C163" s="39">
        <f t="shared" si="1"/>
        <v>2</v>
      </c>
      <c r="D163" s="58">
        <v>0.0</v>
      </c>
      <c r="E163" s="41">
        <f t="shared" si="2"/>
        <v>0</v>
      </c>
      <c r="F163" s="61">
        <f t="shared" si="3"/>
        <v>0</v>
      </c>
      <c r="G163" s="75">
        <v>0.0</v>
      </c>
      <c r="H163" s="75">
        <v>1.0</v>
      </c>
      <c r="I163" s="52" t="str">
        <f>HYPERLINK("https://twitter.com/WHONAMIBIA/status/1246800822551412736","Source")</f>
        <v>Source</v>
      </c>
      <c r="J163" s="68"/>
      <c r="K163" s="29"/>
      <c r="L163" s="58">
        <v>14.0</v>
      </c>
      <c r="M163" s="58">
        <v>0.0</v>
      </c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30.0" customHeight="1">
      <c r="A164" s="33" t="s">
        <v>305</v>
      </c>
      <c r="B164" s="58">
        <v>16.0</v>
      </c>
      <c r="C164" s="39">
        <f t="shared" si="1"/>
        <v>3</v>
      </c>
      <c r="D164" s="58">
        <v>0.0</v>
      </c>
      <c r="E164" s="41">
        <f t="shared" si="2"/>
        <v>0</v>
      </c>
      <c r="F164" s="61">
        <f t="shared" si="3"/>
        <v>0</v>
      </c>
      <c r="G164" s="75" t="s">
        <v>23</v>
      </c>
      <c r="H164" s="75">
        <v>2.0</v>
      </c>
      <c r="I164" s="52" t="str">
        <f>HYPERLINK("https://www.gouv.bj/coronavirus/","Source")</f>
        <v>Source</v>
      </c>
      <c r="J164" s="68"/>
      <c r="K164" s="29"/>
      <c r="L164" s="58">
        <v>13.0</v>
      </c>
      <c r="M164" s="58">
        <v>0.0</v>
      </c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30.0" customHeight="1">
      <c r="A165" s="33" t="s">
        <v>306</v>
      </c>
      <c r="B165" s="58">
        <v>16.0</v>
      </c>
      <c r="C165" s="39">
        <f t="shared" si="1"/>
        <v>1</v>
      </c>
      <c r="D165" s="58">
        <v>0.0</v>
      </c>
      <c r="E165" s="41">
        <f t="shared" si="2"/>
        <v>0</v>
      </c>
      <c r="F165" s="42">
        <f t="shared" si="3"/>
        <v>0</v>
      </c>
      <c r="G165" s="75" t="s">
        <v>23</v>
      </c>
      <c r="H165" s="75" t="s">
        <v>23</v>
      </c>
      <c r="I165" s="52" t="str">
        <f>HYPERLINK("https://www.guineaecuatorialpress.com/noticia.php?id=15234","Source")</f>
        <v>Source</v>
      </c>
      <c r="J165" s="68"/>
      <c r="K165" s="29"/>
      <c r="L165" s="58">
        <v>15.0</v>
      </c>
      <c r="M165" s="58">
        <v>0.0</v>
      </c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30.0" customHeight="1">
      <c r="A166" s="33" t="s">
        <v>307</v>
      </c>
      <c r="B166" s="58">
        <v>15.0</v>
      </c>
      <c r="C166" s="39">
        <f t="shared" si="1"/>
        <v>6</v>
      </c>
      <c r="D166" s="58">
        <v>0.0</v>
      </c>
      <c r="E166" s="41">
        <f t="shared" si="2"/>
        <v>0</v>
      </c>
      <c r="F166" s="61">
        <f t="shared" si="3"/>
        <v>0</v>
      </c>
      <c r="G166" s="75">
        <v>0.0</v>
      </c>
      <c r="H166" s="75">
        <v>0.0</v>
      </c>
      <c r="I166" s="52" t="str">
        <f>HYPERLINK("https://antiguaobserver.com/six-more-covid-19-cases-confirmed-15-total/","Source")</f>
        <v>Source</v>
      </c>
      <c r="J166" s="68"/>
      <c r="K166" s="29"/>
      <c r="L166" s="58">
        <v>9.0</v>
      </c>
      <c r="M166" s="58">
        <v>0.0</v>
      </c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30.0" customHeight="1">
      <c r="A167" s="33" t="s">
        <v>308</v>
      </c>
      <c r="B167" s="58">
        <v>14.0</v>
      </c>
      <c r="C167" s="39">
        <f t="shared" si="1"/>
        <v>0</v>
      </c>
      <c r="D167" s="58">
        <v>0.0</v>
      </c>
      <c r="E167" s="41">
        <f t="shared" si="2"/>
        <v>0</v>
      </c>
      <c r="F167" s="42">
        <f t="shared" si="3"/>
        <v>0</v>
      </c>
      <c r="G167" s="75" t="s">
        <v>23</v>
      </c>
      <c r="H167" s="75">
        <v>2.0</v>
      </c>
      <c r="I167" s="52" t="str">
        <f>HYPERLINK("https://montsame.mn/en/read/220865","Source")</f>
        <v>Source</v>
      </c>
      <c r="J167" s="135"/>
      <c r="K167" s="29"/>
      <c r="L167" s="58">
        <v>14.0</v>
      </c>
      <c r="M167" s="58">
        <v>0.0</v>
      </c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30.0" customHeight="1">
      <c r="A168" s="33" t="s">
        <v>309</v>
      </c>
      <c r="B168" s="58">
        <v>14.0</v>
      </c>
      <c r="C168" s="39">
        <f t="shared" si="1"/>
        <v>1</v>
      </c>
      <c r="D168" s="58">
        <v>0.0</v>
      </c>
      <c r="E168" s="41">
        <f t="shared" si="2"/>
        <v>0</v>
      </c>
      <c r="F168" s="42">
        <f t="shared" si="3"/>
        <v>0</v>
      </c>
      <c r="G168" s="75">
        <v>0.0</v>
      </c>
      <c r="H168" s="75">
        <v>1.0</v>
      </c>
      <c r="I168" s="52" t="str">
        <f>HYPERLINK("https://www.stlucianewsonline.com/breaking-news-saint-lucias-14th-confirmed-covid-19-case-was-the-contact-for-a-previous-case/","Source")</f>
        <v>Source</v>
      </c>
      <c r="J168" s="68"/>
      <c r="K168" s="29"/>
      <c r="L168" s="58">
        <v>13.0</v>
      </c>
      <c r="M168" s="58">
        <v>0.0</v>
      </c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30.0" customHeight="1">
      <c r="A169" s="33" t="s">
        <v>310</v>
      </c>
      <c r="B169" s="58">
        <v>13.0</v>
      </c>
      <c r="C169" s="39">
        <f t="shared" si="1"/>
        <v>7</v>
      </c>
      <c r="D169" s="58">
        <v>3.0</v>
      </c>
      <c r="E169" s="41">
        <f t="shared" si="2"/>
        <v>3</v>
      </c>
      <c r="F169" s="42">
        <f t="shared" si="3"/>
        <v>0.2307692308</v>
      </c>
      <c r="G169" s="75" t="s">
        <v>23</v>
      </c>
      <c r="H169" s="75" t="s">
        <v>23</v>
      </c>
      <c r="I169" s="52" t="str">
        <f>HYPERLINK("https://frontpageafricaonline.com/front-slider/liberia-covid-19-cases-increases-to-13-deaths-now-three/","Source")</f>
        <v>Source</v>
      </c>
      <c r="J169" s="68"/>
      <c r="K169" s="29"/>
      <c r="L169" s="58">
        <v>6.0</v>
      </c>
      <c r="M169" s="58">
        <v>0.0</v>
      </c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30.0" customHeight="1">
      <c r="A170" s="33" t="s">
        <v>311</v>
      </c>
      <c r="B170" s="58">
        <v>12.0</v>
      </c>
      <c r="C170" s="39">
        <f t="shared" si="1"/>
        <v>0</v>
      </c>
      <c r="D170" s="58">
        <v>0.0</v>
      </c>
      <c r="E170" s="41">
        <f t="shared" si="2"/>
        <v>0</v>
      </c>
      <c r="F170" s="61">
        <f t="shared" si="3"/>
        <v>0</v>
      </c>
      <c r="G170" s="75" t="s">
        <v>23</v>
      </c>
      <c r="H170" s="75">
        <v>0.0</v>
      </c>
      <c r="I170" s="52" t="str">
        <f>HYPERLINK("https://www.fbcnews.com.fj/news/covid-19/ministry-calls-out-to-customers-of-supercuts-damodar-and-jade-mhcc/","Source")</f>
        <v>Source</v>
      </c>
      <c r="J170" s="135"/>
      <c r="K170" s="29"/>
      <c r="L170" s="58">
        <v>12.0</v>
      </c>
      <c r="M170" s="58">
        <v>0.0</v>
      </c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30.0" customHeight="1">
      <c r="A171" s="33" t="s">
        <v>312</v>
      </c>
      <c r="B171" s="58">
        <v>12.0</v>
      </c>
      <c r="C171" s="39">
        <f t="shared" si="1"/>
        <v>2</v>
      </c>
      <c r="D171" s="58">
        <v>0.0</v>
      </c>
      <c r="E171" s="41">
        <f t="shared" si="2"/>
        <v>0</v>
      </c>
      <c r="F171" s="42">
        <f t="shared" si="3"/>
        <v>0</v>
      </c>
      <c r="G171" s="75">
        <v>1.0</v>
      </c>
      <c r="H171" s="75">
        <v>0.0</v>
      </c>
      <c r="I171" s="52" t="str">
        <f>HYPERLINK("https://covid19.gov.gd/","Source")</f>
        <v>Source</v>
      </c>
      <c r="J171" s="68"/>
      <c r="K171" s="29"/>
      <c r="L171" s="58">
        <v>10.0</v>
      </c>
      <c r="M171" s="58">
        <v>0.0</v>
      </c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30.0" customHeight="1">
      <c r="A172" s="33" t="s">
        <v>313</v>
      </c>
      <c r="B172" s="58">
        <v>11.0</v>
      </c>
      <c r="C172" s="39">
        <f t="shared" si="1"/>
        <v>0</v>
      </c>
      <c r="D172" s="58">
        <v>1.0</v>
      </c>
      <c r="E172" s="41">
        <f t="shared" si="2"/>
        <v>0</v>
      </c>
      <c r="F172" s="42">
        <f t="shared" si="3"/>
        <v>0.09090909091</v>
      </c>
      <c r="G172" s="75" t="s">
        <v>23</v>
      </c>
      <c r="H172" s="75">
        <v>5.0</v>
      </c>
      <c r="I172" s="52" t="str">
        <f>HYPERLINK("https://www.curacaochronicle.com/post/main/covid-19-update-curacao-remains-at-11-confirmed-cases-5-people-have-recovered/","Source")</f>
        <v>Source</v>
      </c>
      <c r="J172" s="135"/>
      <c r="K172" s="69" t="s">
        <v>25</v>
      </c>
      <c r="L172" s="58">
        <v>11.0</v>
      </c>
      <c r="M172" s="58">
        <v>1.0</v>
      </c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30.0" customHeight="1">
      <c r="A173" s="33" t="s">
        <v>314</v>
      </c>
      <c r="B173" s="58">
        <v>11.0</v>
      </c>
      <c r="C173" s="39">
        <f t="shared" si="1"/>
        <v>1</v>
      </c>
      <c r="D173" s="58">
        <v>0.0</v>
      </c>
      <c r="E173" s="41">
        <f t="shared" si="2"/>
        <v>0</v>
      </c>
      <c r="F173" s="42">
        <f t="shared" si="3"/>
        <v>0</v>
      </c>
      <c r="G173" s="75" t="s">
        <v>23</v>
      </c>
      <c r="H173" s="75" t="s">
        <v>23</v>
      </c>
      <c r="I173" s="52" t="str">
        <f>HYPERLINK("https://www.covid19.gov.la/","Source")</f>
        <v>Source</v>
      </c>
      <c r="J173" s="68"/>
      <c r="K173" s="29"/>
      <c r="L173" s="58">
        <v>10.0</v>
      </c>
      <c r="M173" s="58">
        <v>0.0</v>
      </c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30.0" customHeight="1">
      <c r="A174" s="33" t="s">
        <v>315</v>
      </c>
      <c r="B174" s="58">
        <v>11.0</v>
      </c>
      <c r="C174" s="39">
        <f t="shared" si="1"/>
        <v>1</v>
      </c>
      <c r="D174" s="58">
        <v>0.0</v>
      </c>
      <c r="E174" s="41">
        <f t="shared" si="2"/>
        <v>0</v>
      </c>
      <c r="F174" s="61">
        <f t="shared" si="3"/>
        <v>0</v>
      </c>
      <c r="G174" s="75" t="s">
        <v>23</v>
      </c>
      <c r="H174" s="75">
        <v>2.0</v>
      </c>
      <c r="I174" s="52" t="str">
        <f>HYPERLINK("https://nun.gl/Emner/Borgere/Coronavirus_emne/Foelg_smittespredningen?sc_lang=da","Source")</f>
        <v>Source</v>
      </c>
      <c r="J174" s="68"/>
      <c r="K174" s="29"/>
      <c r="L174" s="58">
        <v>10.0</v>
      </c>
      <c r="M174" s="58">
        <v>0.0</v>
      </c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30.0" customHeight="1">
      <c r="A175" s="33" t="s">
        <v>316</v>
      </c>
      <c r="B175" s="58">
        <v>10.0</v>
      </c>
      <c r="C175" s="39">
        <f t="shared" si="1"/>
        <v>2</v>
      </c>
      <c r="D175" s="58">
        <v>2.0</v>
      </c>
      <c r="E175" s="41">
        <f t="shared" si="2"/>
        <v>0</v>
      </c>
      <c r="F175" s="42">
        <f t="shared" si="3"/>
        <v>0.2</v>
      </c>
      <c r="G175" s="75" t="s">
        <v>23</v>
      </c>
      <c r="H175" s="75" t="s">
        <v>23</v>
      </c>
      <c r="I175" s="52" t="str">
        <f>HYPERLINK("https://fmoh.gov.sd/index.php/files/download/383","Source")</f>
        <v>Source</v>
      </c>
      <c r="J175" s="68"/>
      <c r="K175" s="29"/>
      <c r="L175" s="58">
        <v>8.0</v>
      </c>
      <c r="M175" s="58">
        <v>2.0</v>
      </c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30.0" customHeight="1">
      <c r="A176" s="33" t="s">
        <v>317</v>
      </c>
      <c r="B176" s="58">
        <v>10.0</v>
      </c>
      <c r="C176" s="39">
        <f t="shared" si="1"/>
        <v>2</v>
      </c>
      <c r="D176" s="58">
        <v>2.0</v>
      </c>
      <c r="E176" s="41">
        <f t="shared" si="2"/>
        <v>0</v>
      </c>
      <c r="F176" s="61">
        <f t="shared" si="3"/>
        <v>0.2</v>
      </c>
      <c r="G176" s="75">
        <v>0.0</v>
      </c>
      <c r="H176" s="75">
        <v>2.0</v>
      </c>
      <c r="I176" s="52" t="str">
        <f>HYPERLINK("http://www.angop.ao/angola/en_us/noticias/saude/2020/3/14/COVID-Angola-reports-two-more-positive-cases,fc01f309-04a4-4b89-a5e6-bc997488a23a.html","Source")</f>
        <v>Source</v>
      </c>
      <c r="J176" s="68"/>
      <c r="K176" s="29"/>
      <c r="L176" s="58">
        <v>8.0</v>
      </c>
      <c r="M176" s="58">
        <v>2.0</v>
      </c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30.0" customHeight="1">
      <c r="A177" s="33" t="s">
        <v>318</v>
      </c>
      <c r="B177" s="58">
        <v>10.0</v>
      </c>
      <c r="C177" s="39">
        <f t="shared" si="1"/>
        <v>0</v>
      </c>
      <c r="D177" s="58">
        <v>1.0</v>
      </c>
      <c r="E177" s="41">
        <f t="shared" si="2"/>
        <v>0</v>
      </c>
      <c r="F177" s="42">
        <f t="shared" si="3"/>
        <v>0.1</v>
      </c>
      <c r="G177" s="75" t="s">
        <v>23</v>
      </c>
      <c r="H177" s="75" t="s">
        <v>23</v>
      </c>
      <c r="I177" s="52" t="str">
        <f>HYPERLINK("https://covid-19.sr/president-bouterse-condoleert-familie-covid-19-overledene/","Source")</f>
        <v>Source</v>
      </c>
      <c r="J177" s="135"/>
      <c r="K177" s="29"/>
      <c r="L177" s="58">
        <v>10.0</v>
      </c>
      <c r="M177" s="58">
        <v>1.0</v>
      </c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30.0" customHeight="1">
      <c r="A178" s="33" t="s">
        <v>319</v>
      </c>
      <c r="B178" s="58">
        <v>10.0</v>
      </c>
      <c r="C178" s="39">
        <f t="shared" si="1"/>
        <v>0</v>
      </c>
      <c r="D178" s="58">
        <v>0.0</v>
      </c>
      <c r="E178" s="41">
        <f t="shared" si="2"/>
        <v>0</v>
      </c>
      <c r="F178" s="61">
        <f t="shared" si="3"/>
        <v>0</v>
      </c>
      <c r="G178" s="75">
        <v>1.0</v>
      </c>
      <c r="H178" s="75">
        <v>0.0</v>
      </c>
      <c r="I178" s="52" t="str">
        <f>HYPERLINK("http://www.health.gov.sc/index.php/2020/03/28/new-case-of-covid-19-detected/","Source")</f>
        <v>Source</v>
      </c>
      <c r="J178" s="135"/>
      <c r="K178" s="29"/>
      <c r="L178" s="58">
        <v>10.0</v>
      </c>
      <c r="M178" s="58">
        <v>0.0</v>
      </c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30.0" customHeight="1">
      <c r="A179" s="33" t="s">
        <v>320</v>
      </c>
      <c r="B179" s="58">
        <v>10.0</v>
      </c>
      <c r="C179" s="39">
        <f t="shared" si="1"/>
        <v>0</v>
      </c>
      <c r="D179" s="58">
        <v>0.0</v>
      </c>
      <c r="E179" s="41">
        <f t="shared" si="2"/>
        <v>0</v>
      </c>
      <c r="F179" s="42">
        <f t="shared" si="3"/>
        <v>0</v>
      </c>
      <c r="G179" s="75" t="s">
        <v>23</v>
      </c>
      <c r="H179" s="75">
        <v>0.0</v>
      </c>
      <c r="I179" s="52" t="str">
        <f>HYPERLINK("https://pbs.twimg.com/media/EUq8BAFUMAYsbZY.jpg","Source")</f>
        <v>Source</v>
      </c>
      <c r="J179" s="135"/>
      <c r="K179" s="29"/>
      <c r="L179" s="58">
        <v>10.0</v>
      </c>
      <c r="M179" s="58">
        <v>0.0</v>
      </c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30.0" customHeight="1">
      <c r="A180" s="33" t="s">
        <v>321</v>
      </c>
      <c r="B180" s="58">
        <v>10.0</v>
      </c>
      <c r="C180" s="39">
        <f t="shared" si="1"/>
        <v>1</v>
      </c>
      <c r="D180" s="58">
        <v>0.0</v>
      </c>
      <c r="E180" s="41">
        <f t="shared" si="2"/>
        <v>0</v>
      </c>
      <c r="F180" s="61">
        <f t="shared" si="3"/>
        <v>0</v>
      </c>
      <c r="G180" s="75" t="s">
        <v>23</v>
      </c>
      <c r="H180" s="75">
        <v>0.0</v>
      </c>
      <c r="I180" s="52" t="str">
        <f>HYPERLINK("https://www.covid19.gov.kn/2020/04/04/kitts-and-nevis-confirms-one-1-additional-case-of-covid-19total-number-of-confirmed-cases-now-stands-at-10/","Source")</f>
        <v>Source</v>
      </c>
      <c r="J180" s="68"/>
      <c r="K180" s="29"/>
      <c r="L180" s="58">
        <v>9.0</v>
      </c>
      <c r="M180" s="58">
        <v>0.0</v>
      </c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30.0" customHeight="1">
      <c r="A181" s="33" t="s">
        <v>322</v>
      </c>
      <c r="B181" s="58">
        <v>9.0</v>
      </c>
      <c r="C181" s="39">
        <f t="shared" si="1"/>
        <v>0</v>
      </c>
      <c r="D181" s="58">
        <v>1.0</v>
      </c>
      <c r="E181" s="41">
        <f t="shared" si="2"/>
        <v>0</v>
      </c>
      <c r="F181" s="61">
        <f t="shared" si="3"/>
        <v>0.1111111111</v>
      </c>
      <c r="G181" s="75">
        <v>0.0</v>
      </c>
      <c r="H181" s="75">
        <v>0.0</v>
      </c>
      <c r="I181" s="52" t="str">
        <f>HYPERLINK("https://twitter.com/MoHCCZim/status/1246726098735505409","Source")</f>
        <v>Source</v>
      </c>
      <c r="J181" s="135"/>
      <c r="K181" s="29"/>
      <c r="L181" s="58">
        <v>9.0</v>
      </c>
      <c r="M181" s="58">
        <v>1.0</v>
      </c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30.0" customHeight="1">
      <c r="A182" s="33" t="s">
        <v>323</v>
      </c>
      <c r="B182" s="58">
        <v>9.0</v>
      </c>
      <c r="C182" s="39">
        <f t="shared" si="1"/>
        <v>0</v>
      </c>
      <c r="D182" s="58">
        <v>0.0</v>
      </c>
      <c r="E182" s="41">
        <f t="shared" si="2"/>
        <v>0</v>
      </c>
      <c r="F182" s="42">
        <f t="shared" si="3"/>
        <v>0</v>
      </c>
      <c r="G182" s="75">
        <v>0.0</v>
      </c>
      <c r="H182" s="75">
        <v>1.0</v>
      </c>
      <c r="I182" s="52" t="str">
        <f>HYPERLINK("https://twitter.com/EswatiniGovern1/status/1245032304554229760","Source")</f>
        <v>Source</v>
      </c>
      <c r="J182" s="135"/>
      <c r="K182" s="29"/>
      <c r="L182" s="58">
        <v>9.0</v>
      </c>
      <c r="M182" s="58">
        <v>0.0</v>
      </c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30.0" customHeight="1">
      <c r="A183" s="33" t="s">
        <v>324</v>
      </c>
      <c r="B183" s="58">
        <v>9.0</v>
      </c>
      <c r="C183" s="39">
        <f t="shared" si="1"/>
        <v>0</v>
      </c>
      <c r="D183" s="58">
        <v>0.0</v>
      </c>
      <c r="E183" s="41">
        <f t="shared" si="2"/>
        <v>0</v>
      </c>
      <c r="F183" s="61">
        <f t="shared" si="3"/>
        <v>0</v>
      </c>
      <c r="G183" s="75" t="s">
        <v>23</v>
      </c>
      <c r="H183" s="75">
        <v>1.0</v>
      </c>
      <c r="I183" s="52" t="str">
        <f>HYPERLINK("https://kathmandupost.com/health/2020/04/04/nepal-confirms-three-more-covid-19-cases-including-first-case-of-local-transmission","Source")</f>
        <v>Source</v>
      </c>
      <c r="J183" s="135"/>
      <c r="K183" s="29"/>
      <c r="L183" s="58">
        <v>9.0</v>
      </c>
      <c r="M183" s="58">
        <v>0.0</v>
      </c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30.0" customHeight="1">
      <c r="A184" s="33" t="s">
        <v>325</v>
      </c>
      <c r="B184" s="58">
        <v>9.0</v>
      </c>
      <c r="C184" s="39">
        <f t="shared" si="1"/>
        <v>2</v>
      </c>
      <c r="D184" s="58">
        <v>0.0</v>
      </c>
      <c r="E184" s="41">
        <f t="shared" si="2"/>
        <v>0</v>
      </c>
      <c r="F184" s="61">
        <f t="shared" si="3"/>
        <v>0</v>
      </c>
      <c r="G184" s="75" t="s">
        <v>23</v>
      </c>
      <c r="H184" s="75" t="s">
        <v>23</v>
      </c>
      <c r="I184" s="52" t="str">
        <f>HYPERLINK("https://www.facebook.com/ministeresantetchad/posts/876921376088271?__tn__=-R","Source")</f>
        <v>Source</v>
      </c>
      <c r="J184" s="68"/>
      <c r="K184" s="29"/>
      <c r="L184" s="58">
        <v>7.0</v>
      </c>
      <c r="M184" s="58">
        <v>0.0</v>
      </c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30.0" customHeight="1">
      <c r="A185" s="33" t="s">
        <v>326</v>
      </c>
      <c r="B185" s="58">
        <v>9.0</v>
      </c>
      <c r="C185" s="39">
        <f t="shared" si="1"/>
        <v>1</v>
      </c>
      <c r="D185" s="58">
        <v>0.0</v>
      </c>
      <c r="E185" s="41">
        <f t="shared" si="2"/>
        <v>0</v>
      </c>
      <c r="F185" s="61">
        <f t="shared" si="3"/>
        <v>0</v>
      </c>
      <c r="G185" s="75" t="s">
        <v>23</v>
      </c>
      <c r="H185" s="75">
        <v>3.0</v>
      </c>
      <c r="I185" s="52" t="str">
        <f>HYPERLINK("https://pbs.twimg.com/media/EU1dY7XXgAEuJIr.jpg","Source")</f>
        <v>Source</v>
      </c>
      <c r="J185" s="68"/>
      <c r="K185" s="29"/>
      <c r="L185" s="58">
        <v>8.0</v>
      </c>
      <c r="M185" s="58">
        <v>0.0</v>
      </c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30.0" customHeight="1">
      <c r="A186" s="33" t="s">
        <v>327</v>
      </c>
      <c r="B186" s="58">
        <v>7.0</v>
      </c>
      <c r="C186" s="39">
        <f t="shared" si="1"/>
        <v>1</v>
      </c>
      <c r="D186" s="58">
        <v>1.0</v>
      </c>
      <c r="E186" s="41">
        <f t="shared" si="2"/>
        <v>0</v>
      </c>
      <c r="F186" s="42">
        <f t="shared" si="3"/>
        <v>0.1428571429</v>
      </c>
      <c r="G186" s="75">
        <v>0.0</v>
      </c>
      <c r="H186" s="75">
        <v>0.0</v>
      </c>
      <c r="I186" s="52" t="str">
        <f>HYPERLINK("https://www.facebook.com/watch/?v=858748471266834","Source")</f>
        <v>Source</v>
      </c>
      <c r="J186" s="68"/>
      <c r="K186" s="29"/>
      <c r="L186" s="58">
        <v>6.0</v>
      </c>
      <c r="M186" s="58">
        <v>1.0</v>
      </c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27.75" customHeight="1">
      <c r="A187" s="33" t="s">
        <v>328</v>
      </c>
      <c r="B187" s="138">
        <v>7.0</v>
      </c>
      <c r="C187" s="139">
        <f t="shared" si="1"/>
        <v>0</v>
      </c>
      <c r="D187" s="140">
        <v>0.0</v>
      </c>
      <c r="E187" s="141">
        <f t="shared" si="2"/>
        <v>0</v>
      </c>
      <c r="F187" s="42">
        <f t="shared" si="3"/>
        <v>0</v>
      </c>
      <c r="G187" s="75" t="s">
        <v>23</v>
      </c>
      <c r="H187" s="75" t="s">
        <v>23</v>
      </c>
      <c r="I187" s="52" t="str">
        <f>HYPERLINK("https://www.ilmessaggero.it/vaticano/vaticano_coronavirus_papa_francesco_san_pietro_dipendente_santa_sede_contagio-5148515.html","Source")</f>
        <v>Source</v>
      </c>
      <c r="J187" s="135"/>
      <c r="K187" s="29"/>
      <c r="L187" s="138">
        <v>7.0</v>
      </c>
      <c r="M187" s="140">
        <v>0.0</v>
      </c>
      <c r="N187" s="30"/>
      <c r="O187" s="31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30.0" customHeight="1">
      <c r="A188" s="33" t="s">
        <v>329</v>
      </c>
      <c r="B188" s="58">
        <v>7.0</v>
      </c>
      <c r="C188" s="39">
        <f t="shared" si="1"/>
        <v>4</v>
      </c>
      <c r="D188" s="58">
        <v>0.0</v>
      </c>
      <c r="E188" s="41">
        <f t="shared" si="2"/>
        <v>0</v>
      </c>
      <c r="F188" s="42">
        <f t="shared" si="3"/>
        <v>0</v>
      </c>
      <c r="G188" s="75" t="s">
        <v>23</v>
      </c>
      <c r="H188" s="75">
        <v>1.0</v>
      </c>
      <c r="I188" s="52" t="str">
        <f>HYPERLINK("http://health.gov.vc/health/images/PDF/Four_4_More_Cases_of_COVID_19.pdf","Source")</f>
        <v>Source</v>
      </c>
      <c r="J188" s="68"/>
      <c r="K188" s="29"/>
      <c r="L188" s="58">
        <v>3.0</v>
      </c>
      <c r="M188" s="58">
        <v>0.0</v>
      </c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30.0" customHeight="1">
      <c r="A189" s="33" t="s">
        <v>330</v>
      </c>
      <c r="B189" s="58">
        <v>7.0</v>
      </c>
      <c r="C189" s="39">
        <f t="shared" si="1"/>
        <v>2</v>
      </c>
      <c r="D189" s="58">
        <v>0.0</v>
      </c>
      <c r="E189" s="41">
        <f t="shared" si="2"/>
        <v>0</v>
      </c>
      <c r="F189" s="42">
        <f t="shared" si="3"/>
        <v>0</v>
      </c>
      <c r="G189" s="75" t="s">
        <v>23</v>
      </c>
      <c r="H189" s="75">
        <v>1.0</v>
      </c>
      <c r="I189" s="52" t="str">
        <f>HYPERLINK("https://app.powerbi.com/view?r=eyJrIjoiN2ExNWI3ZGQtZDk3My00YzE2LWFjYmQtNGMwZjk0OWQ1MjFhIiwidCI6ImY2MTBjMGI3LWJkMjQtNGIzOS04MTBiLTNkYzI4MGFmYjU5MCIsImMiOjh9","Source")</f>
        <v>Source</v>
      </c>
      <c r="J189" s="68"/>
      <c r="K189" s="29"/>
      <c r="L189" s="58">
        <v>5.0</v>
      </c>
      <c r="M189" s="58">
        <v>0.0</v>
      </c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30.0" customHeight="1">
      <c r="A190" s="33" t="s">
        <v>331</v>
      </c>
      <c r="B190" s="58">
        <v>7.0</v>
      </c>
      <c r="C190" s="39">
        <f t="shared" si="1"/>
        <v>2</v>
      </c>
      <c r="D190" s="58">
        <v>0.0</v>
      </c>
      <c r="E190" s="41">
        <f t="shared" si="2"/>
        <v>0</v>
      </c>
      <c r="F190" s="61">
        <f t="shared" si="3"/>
        <v>0</v>
      </c>
      <c r="G190" s="75" t="s">
        <v>23</v>
      </c>
      <c r="H190" s="75">
        <v>1.0</v>
      </c>
      <c r="I190" s="52" t="str">
        <f>HYPERLINK("http://www.gov.ms/statement-by-minister-of-health-social-services-hon-charles-t-kirnon-two-new-confirmed-cases-of-covid-19/","Source")</f>
        <v>Source</v>
      </c>
      <c r="J190" s="68"/>
      <c r="K190" s="29"/>
      <c r="L190" s="58">
        <v>5.0</v>
      </c>
      <c r="M190" s="58">
        <v>0.0</v>
      </c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30.0" customHeight="1">
      <c r="A191" s="33" t="s">
        <v>332</v>
      </c>
      <c r="B191" s="58">
        <v>6.0</v>
      </c>
      <c r="C191" s="39">
        <v>0.0</v>
      </c>
      <c r="D191" s="58">
        <v>0.0</v>
      </c>
      <c r="E191" s="41">
        <f t="shared" si="2"/>
        <v>0</v>
      </c>
      <c r="F191" s="61">
        <f t="shared" si="3"/>
        <v>0</v>
      </c>
      <c r="G191" s="75" t="s">
        <v>23</v>
      </c>
      <c r="H191" s="75">
        <v>4.0</v>
      </c>
      <c r="I191" s="52" t="str">
        <f>HYPERLINK("https://www.journaldesaintbarth.com/actualites/conseil-territorial/lobjectif-cest-de-rassurer-la-population-et-obtenir-la-levee-du-confinement--202004042028.html","Source")</f>
        <v>Source</v>
      </c>
      <c r="J191" s="135"/>
      <c r="K191" s="29"/>
      <c r="L191" s="58">
        <v>6.0</v>
      </c>
      <c r="M191" s="58">
        <v>0.0</v>
      </c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30.0" customHeight="1">
      <c r="A192" s="33" t="s">
        <v>333</v>
      </c>
      <c r="B192" s="58">
        <v>6.0</v>
      </c>
      <c r="C192" s="39">
        <f t="shared" ref="C192:C206" si="4">MINUS(B192,L192)</f>
        <v>0</v>
      </c>
      <c r="D192" s="58">
        <v>1.0</v>
      </c>
      <c r="E192" s="41">
        <f t="shared" si="2"/>
        <v>0</v>
      </c>
      <c r="F192" s="61">
        <f t="shared" si="3"/>
        <v>0.1666666667</v>
      </c>
      <c r="G192" s="75">
        <v>0.0</v>
      </c>
      <c r="H192" s="75">
        <v>2.0</v>
      </c>
      <c r="I192" s="52" t="str">
        <f>HYPERLINK("http://www.sante.gov.mr/?p=3872","Source")</f>
        <v>Source</v>
      </c>
      <c r="J192" s="135"/>
      <c r="K192" s="29"/>
      <c r="L192" s="58">
        <v>6.0</v>
      </c>
      <c r="M192" s="58">
        <v>1.0</v>
      </c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30.0" customHeight="1">
      <c r="A193" s="33" t="s">
        <v>334</v>
      </c>
      <c r="B193" s="58">
        <v>5.0</v>
      </c>
      <c r="C193" s="39">
        <f t="shared" si="4"/>
        <v>0</v>
      </c>
      <c r="D193" s="58">
        <v>1.0</v>
      </c>
      <c r="E193" s="41">
        <f t="shared" si="2"/>
        <v>1</v>
      </c>
      <c r="F193" s="61">
        <f t="shared" si="3"/>
        <v>0.2</v>
      </c>
      <c r="G193" s="75" t="s">
        <v>23</v>
      </c>
      <c r="H193" s="75">
        <v>0.0</v>
      </c>
      <c r="I193" s="52" t="str">
        <f>HYPERLINK("https://gov.tc/moh/coronavirus/news/79-confirmed-covid-19-patient-passes-away","Source")</f>
        <v>Source</v>
      </c>
      <c r="J193" s="68"/>
      <c r="K193" s="69" t="s">
        <v>25</v>
      </c>
      <c r="L193" s="58">
        <v>5.0</v>
      </c>
      <c r="M193" s="58">
        <v>0.0</v>
      </c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30.0" customHeight="1">
      <c r="A194" s="33" t="s">
        <v>208</v>
      </c>
      <c r="B194" s="58">
        <v>5.0</v>
      </c>
      <c r="C194" s="39">
        <f t="shared" si="4"/>
        <v>0</v>
      </c>
      <c r="D194" s="58">
        <v>1.0</v>
      </c>
      <c r="E194" s="41">
        <f t="shared" si="2"/>
        <v>0</v>
      </c>
      <c r="F194" s="42">
        <f t="shared" si="3"/>
        <v>0.2</v>
      </c>
      <c r="G194" s="75">
        <v>2.0</v>
      </c>
      <c r="H194" s="75">
        <v>1.0</v>
      </c>
      <c r="I194" s="52" t="str">
        <f>HYPERLINK("https://www.laprensa.com.ni/2020/04/04/nacionales/2659389-dos-de-los-casos-confirmados-con-covid-19-en-nicaragua-estan-delicados-de-salud-asegura-el-minsa","Source")</f>
        <v>Source</v>
      </c>
      <c r="J194" s="135"/>
      <c r="K194" s="29"/>
      <c r="L194" s="58">
        <v>5.0</v>
      </c>
      <c r="M194" s="58">
        <v>1.0</v>
      </c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27.75" customHeight="1">
      <c r="A195" s="33" t="s">
        <v>335</v>
      </c>
      <c r="B195" s="58">
        <v>5.0</v>
      </c>
      <c r="C195" s="139">
        <f t="shared" si="4"/>
        <v>0</v>
      </c>
      <c r="D195" s="58">
        <v>0.0</v>
      </c>
      <c r="E195" s="41">
        <f t="shared" si="2"/>
        <v>0</v>
      </c>
      <c r="F195" s="61">
        <f t="shared" si="3"/>
        <v>0</v>
      </c>
      <c r="G195" s="75" t="s">
        <v>23</v>
      </c>
      <c r="H195" s="75">
        <v>2.0</v>
      </c>
      <c r="I195" s="52" t="str">
        <f>HYPERLINK("http://www.bbs.bt/news/?p=130632","Source")</f>
        <v>Source</v>
      </c>
      <c r="J195" s="135"/>
      <c r="K195" s="29"/>
      <c r="L195" s="58">
        <v>5.0</v>
      </c>
      <c r="M195" s="58">
        <v>0.0</v>
      </c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30.0" customHeight="1">
      <c r="A196" s="33" t="s">
        <v>336</v>
      </c>
      <c r="B196" s="58">
        <v>5.0</v>
      </c>
      <c r="C196" s="39">
        <f t="shared" si="4"/>
        <v>1</v>
      </c>
      <c r="D196" s="58">
        <v>0.0</v>
      </c>
      <c r="E196" s="41">
        <f t="shared" si="2"/>
        <v>0</v>
      </c>
      <c r="F196" s="42">
        <f t="shared" si="3"/>
        <v>0</v>
      </c>
      <c r="G196" s="75" t="s">
        <v>23</v>
      </c>
      <c r="H196" s="75">
        <v>0.0</v>
      </c>
      <c r="I196" s="52" t="str">
        <f>HYPERLINK("https://www.facebook.com/pablo.s.marin/posts/3210063022340006","Source")</f>
        <v>Source</v>
      </c>
      <c r="J196" s="68"/>
      <c r="K196" s="29"/>
      <c r="L196" s="58">
        <v>4.0</v>
      </c>
      <c r="M196" s="58">
        <v>0.0</v>
      </c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30.0" customHeight="1">
      <c r="A197" s="33" t="s">
        <v>337</v>
      </c>
      <c r="B197" s="58">
        <v>4.0</v>
      </c>
      <c r="C197" s="39">
        <f t="shared" si="4"/>
        <v>0</v>
      </c>
      <c r="D197" s="58">
        <v>1.0</v>
      </c>
      <c r="E197" s="41">
        <f t="shared" si="2"/>
        <v>0</v>
      </c>
      <c r="F197" s="42">
        <f t="shared" si="3"/>
        <v>0.25</v>
      </c>
      <c r="G197" s="75" t="s">
        <v>23</v>
      </c>
      <c r="H197" s="75">
        <v>2.0</v>
      </c>
      <c r="I197" s="52" t="str">
        <f>HYPERLINK("https://twitter.com/MohGambia/status/1245795164221734914","Source")</f>
        <v>Source</v>
      </c>
      <c r="J197" s="135"/>
      <c r="K197" s="69" t="s">
        <v>25</v>
      </c>
      <c r="L197" s="58">
        <v>4.0</v>
      </c>
      <c r="M197" s="58">
        <v>1.0</v>
      </c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27.75" customHeight="1">
      <c r="A198" s="33" t="s">
        <v>338</v>
      </c>
      <c r="B198" s="58">
        <v>4.0</v>
      </c>
      <c r="C198" s="39">
        <f t="shared" si="4"/>
        <v>0</v>
      </c>
      <c r="D198" s="58">
        <v>1.0</v>
      </c>
      <c r="E198" s="41">
        <f t="shared" si="2"/>
        <v>0</v>
      </c>
      <c r="F198" s="42">
        <f t="shared" si="3"/>
        <v>0.25</v>
      </c>
      <c r="G198" s="75" t="s">
        <v>23</v>
      </c>
      <c r="H198" s="75" t="s">
        <v>23</v>
      </c>
      <c r="I198" s="52" t="str">
        <f>HYPERLINK("https://www.facebook.com/OfficialSlumberTsogwane/photos/a.402477790274613/815064412349280/?type=3&amp;theater","Source")</f>
        <v>Source</v>
      </c>
      <c r="J198" s="135"/>
      <c r="K198" s="29"/>
      <c r="L198" s="58">
        <v>4.0</v>
      </c>
      <c r="M198" s="58">
        <v>1.0</v>
      </c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30.0" customHeight="1">
      <c r="A199" s="33" t="s">
        <v>339</v>
      </c>
      <c r="B199" s="58">
        <v>4.0</v>
      </c>
      <c r="C199" s="39">
        <f t="shared" si="4"/>
        <v>2</v>
      </c>
      <c r="D199" s="58">
        <v>0.0</v>
      </c>
      <c r="E199" s="41">
        <f t="shared" si="2"/>
        <v>0</v>
      </c>
      <c r="F199" s="42">
        <f t="shared" si="3"/>
        <v>0</v>
      </c>
      <c r="G199" s="75" t="s">
        <v>23</v>
      </c>
      <c r="H199" s="75" t="s">
        <v>23</v>
      </c>
      <c r="I199" s="52" t="str">
        <f>HYPERLINK("https://pbs.twimg.com/media/EU1dY7XXgAEuJIr.jpg","Source")</f>
        <v>Source</v>
      </c>
      <c r="J199" s="68"/>
      <c r="K199" s="29"/>
      <c r="L199" s="58">
        <v>2.0</v>
      </c>
      <c r="M199" s="58">
        <v>0.0</v>
      </c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30.0" customHeight="1">
      <c r="A200" s="33" t="s">
        <v>340</v>
      </c>
      <c r="B200" s="58">
        <v>4.0</v>
      </c>
      <c r="C200" s="39">
        <f t="shared" si="4"/>
        <v>1</v>
      </c>
      <c r="D200" s="58">
        <v>0.0</v>
      </c>
      <c r="E200" s="41">
        <f t="shared" si="2"/>
        <v>0</v>
      </c>
      <c r="F200" s="42">
        <f t="shared" si="3"/>
        <v>0</v>
      </c>
      <c r="G200" s="75" t="s">
        <v>23</v>
      </c>
      <c r="H200" s="75" t="s">
        <v>23</v>
      </c>
      <c r="I200" s="52" t="str">
        <f>HYPERLINK("https://www.nyasatimes.com/malawi-records-another-covid-19-patient-says-minister-of-health/","Source")</f>
        <v>Source</v>
      </c>
      <c r="J200" s="68"/>
      <c r="K200" s="29"/>
      <c r="L200" s="58">
        <v>3.0</v>
      </c>
      <c r="M200" s="58">
        <v>0.0</v>
      </c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30.0" customHeight="1">
      <c r="A201" s="33" t="s">
        <v>341</v>
      </c>
      <c r="B201" s="58">
        <v>3.0</v>
      </c>
      <c r="C201" s="39">
        <f t="shared" si="4"/>
        <v>0</v>
      </c>
      <c r="D201" s="58">
        <v>0.0</v>
      </c>
      <c r="E201" s="41">
        <f t="shared" si="2"/>
        <v>0</v>
      </c>
      <c r="F201" s="42">
        <f t="shared" si="3"/>
        <v>0</v>
      </c>
      <c r="G201" s="75" t="s">
        <v>23</v>
      </c>
      <c r="H201" s="75">
        <v>0.0</v>
      </c>
      <c r="I201" s="52" t="str">
        <f>HYPERLINK("https://bvi.gov.vg/covid-19","Source")</f>
        <v>Source</v>
      </c>
      <c r="J201" s="135"/>
      <c r="K201" s="29"/>
      <c r="L201" s="58">
        <v>3.0</v>
      </c>
      <c r="M201" s="58">
        <v>0.0</v>
      </c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30.0" customHeight="1">
      <c r="A202" s="33" t="s">
        <v>342</v>
      </c>
      <c r="B202" s="58">
        <v>3.0</v>
      </c>
      <c r="C202" s="39">
        <f t="shared" si="4"/>
        <v>0</v>
      </c>
      <c r="D202" s="58">
        <v>0.0</v>
      </c>
      <c r="E202" s="41">
        <f t="shared" si="2"/>
        <v>0</v>
      </c>
      <c r="F202" s="42">
        <f t="shared" si="3"/>
        <v>0</v>
      </c>
      <c r="G202" s="75" t="s">
        <v>23</v>
      </c>
      <c r="H202" s="75" t="s">
        <v>23</v>
      </c>
      <c r="I202" s="52" t="str">
        <f>HYPERLINK("https://beatcovid19.ai/","Source")</f>
        <v>Source</v>
      </c>
      <c r="J202" s="135"/>
      <c r="K202" s="29"/>
      <c r="L202" s="58">
        <v>3.0</v>
      </c>
      <c r="M202" s="58">
        <v>0.0</v>
      </c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30.0" customHeight="1">
      <c r="A203" s="33" t="s">
        <v>343</v>
      </c>
      <c r="B203" s="58">
        <v>3.0</v>
      </c>
      <c r="C203" s="39">
        <f t="shared" si="4"/>
        <v>0</v>
      </c>
      <c r="D203" s="58">
        <v>0.0</v>
      </c>
      <c r="E203" s="41">
        <f t="shared" si="2"/>
        <v>0</v>
      </c>
      <c r="F203" s="42">
        <f t="shared" si="3"/>
        <v>0</v>
      </c>
      <c r="G203" s="75" t="s">
        <v>23</v>
      </c>
      <c r="H203" s="75" t="s">
        <v>23</v>
      </c>
      <c r="I203" s="52" t="str">
        <f>HYPERLINK("https://www.iwacu-burundi.org/covid-19-le-burundi-enregistre-son-troisieme-cas/","Source")</f>
        <v>Source</v>
      </c>
      <c r="J203" s="135"/>
      <c r="K203" s="29"/>
      <c r="L203" s="58">
        <v>3.0</v>
      </c>
      <c r="M203" s="58">
        <v>0.0</v>
      </c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30.0" customHeight="1">
      <c r="A204" s="33" t="s">
        <v>344</v>
      </c>
      <c r="B204" s="58">
        <v>1.0</v>
      </c>
      <c r="C204" s="39">
        <f t="shared" si="4"/>
        <v>0</v>
      </c>
      <c r="D204" s="58">
        <v>0.0</v>
      </c>
      <c r="E204" s="41">
        <f t="shared" si="2"/>
        <v>0</v>
      </c>
      <c r="F204" s="61">
        <f t="shared" si="3"/>
        <v>0</v>
      </c>
      <c r="G204" s="75" t="s">
        <v>23</v>
      </c>
      <c r="H204" s="75" t="s">
        <v>23</v>
      </c>
      <c r="I204" s="52" t="str">
        <f>HYPERLINK("https://asiapacificreport.nz/2020/03/22/timor-leste-health-ministry-urges-calm-over-first-positive-covid-19-case/","Source")</f>
        <v>Source</v>
      </c>
      <c r="J204" s="135"/>
      <c r="K204" s="29"/>
      <c r="L204" s="58">
        <v>1.0</v>
      </c>
      <c r="M204" s="58">
        <v>0.0</v>
      </c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30.0" customHeight="1">
      <c r="A205" s="33" t="s">
        <v>345</v>
      </c>
      <c r="B205" s="58">
        <v>1.0</v>
      </c>
      <c r="C205" s="39">
        <f t="shared" si="4"/>
        <v>0</v>
      </c>
      <c r="D205" s="58">
        <v>0.0</v>
      </c>
      <c r="E205" s="41">
        <f t="shared" si="2"/>
        <v>0</v>
      </c>
      <c r="F205" s="61">
        <f t="shared" si="3"/>
        <v>0</v>
      </c>
      <c r="G205" s="75" t="s">
        <v>23</v>
      </c>
      <c r="H205" s="75">
        <v>0.0</v>
      </c>
      <c r="I205" s="52" t="str">
        <f>HYPERLINK("https://postcourier.com.pg/passenger-who-came-in-contact-with-covid-19-patient-is-doing-well/","Source")</f>
        <v>Source</v>
      </c>
      <c r="J205" s="135"/>
      <c r="K205" s="29"/>
      <c r="L205" s="58">
        <v>1.0</v>
      </c>
      <c r="M205" s="58">
        <v>0.0</v>
      </c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2.75" customHeight="1">
      <c r="A206" s="142" t="s">
        <v>166</v>
      </c>
      <c r="B206" s="143"/>
      <c r="C206" s="144">
        <f t="shared" si="4"/>
        <v>0</v>
      </c>
      <c r="D206" s="143"/>
      <c r="E206" s="145">
        <f t="shared" si="2"/>
        <v>0</v>
      </c>
      <c r="F206" s="146"/>
      <c r="G206" s="146"/>
      <c r="H206" s="146"/>
      <c r="I206" s="147"/>
      <c r="J206" s="50"/>
      <c r="K206" s="148"/>
      <c r="L206" s="143"/>
      <c r="M206" s="143"/>
      <c r="N206" s="50"/>
      <c r="O206" s="143">
        <v>4823.0</v>
      </c>
      <c r="P206" s="143">
        <v>324.0</v>
      </c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30.0" customHeight="1">
      <c r="A207" s="149" t="s">
        <v>51</v>
      </c>
      <c r="B207" s="150">
        <f>sum(B7:B206, O206)</f>
        <v>1276464</v>
      </c>
      <c r="C207" s="151">
        <f>SUM(C7:C206)</f>
        <v>73842</v>
      </c>
      <c r="D207" s="152">
        <f>sum(D7:D206, P206)</f>
        <v>69543</v>
      </c>
      <c r="E207" s="153">
        <f>SUM(E7:E206)</f>
        <v>4222</v>
      </c>
      <c r="F207" s="154">
        <f>DIVIDE(D207, B207)</f>
        <v>0.05448097244</v>
      </c>
      <c r="G207" s="155">
        <f t="shared" ref="G207:H207" si="5">sum(G7:G205)</f>
        <v>37365</v>
      </c>
      <c r="H207" s="156">
        <f t="shared" si="5"/>
        <v>262387</v>
      </c>
      <c r="I207" s="157"/>
      <c r="J207" s="28"/>
      <c r="K207" s="29"/>
      <c r="L207" s="150">
        <f>sum(L7:L206, Y206)</f>
        <v>1197799</v>
      </c>
      <c r="M207" s="158">
        <f>sum(M7:M206, Y206)</f>
        <v>64997</v>
      </c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30.0" customHeight="1">
      <c r="A208" s="159"/>
      <c r="B208" s="160" t="s">
        <v>6</v>
      </c>
      <c r="C208" s="161" t="s">
        <v>9</v>
      </c>
      <c r="D208" s="162" t="s">
        <v>10</v>
      </c>
      <c r="E208" s="163" t="s">
        <v>11</v>
      </c>
      <c r="F208" s="163" t="s">
        <v>179</v>
      </c>
      <c r="G208" s="164" t="s">
        <v>13</v>
      </c>
      <c r="H208" s="165" t="s">
        <v>14</v>
      </c>
      <c r="I208" s="160"/>
      <c r="J208" s="94"/>
      <c r="K208" s="166"/>
      <c r="L208" s="160" t="s">
        <v>6</v>
      </c>
      <c r="M208" s="162" t="s">
        <v>10</v>
      </c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</sheetData>
  <mergeCells count="3">
    <mergeCell ref="C3:D3"/>
    <mergeCell ref="E3:G3"/>
    <mergeCell ref="C4:D4"/>
  </mergeCells>
  <drawing r:id="rId2"/>
  <legacyDrawing r:id="rId3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11.43"/>
    <col customWidth="1" min="3" max="3" width="9.43"/>
    <col customWidth="1" min="4" max="4" width="8.43"/>
    <col customWidth="1" min="5" max="5" width="9.86"/>
    <col customWidth="1" min="6" max="7" width="9.71"/>
    <col customWidth="1" min="8" max="8" width="12.43"/>
    <col customWidth="1" min="9" max="9" width="11.14"/>
    <col customWidth="1" min="10" max="10" width="0.86"/>
    <col customWidth="1" min="12" max="12" width="11.43"/>
    <col customWidth="1" min="13" max="13" width="8.43"/>
  </cols>
  <sheetData>
    <row r="1" ht="27.75" customHeight="1">
      <c r="A1" s="1" t="s">
        <v>0</v>
      </c>
      <c r="I1" s="1"/>
      <c r="J1" s="2"/>
      <c r="K1" s="2"/>
    </row>
    <row r="2">
      <c r="A2" s="4" t="s">
        <v>1</v>
      </c>
      <c r="B2" s="4" t="s">
        <v>2</v>
      </c>
      <c r="C2" s="6" t="s">
        <v>3</v>
      </c>
      <c r="D2" s="4"/>
      <c r="E2" s="8" t="s">
        <v>4</v>
      </c>
      <c r="H2" s="7"/>
      <c r="I2" s="9"/>
      <c r="J2" s="2"/>
      <c r="K2" s="2"/>
      <c r="L2" s="4" t="s">
        <v>2</v>
      </c>
      <c r="M2" s="4"/>
    </row>
    <row r="3">
      <c r="A3" s="13">
        <f>SUM(B66, B68)</f>
        <v>335781</v>
      </c>
      <c r="B3" s="13">
        <f>SUM(D66, D68)</f>
        <v>9595</v>
      </c>
      <c r="C3" s="14">
        <f>SUM(H66, H68)</f>
        <v>12936</v>
      </c>
      <c r="D3" s="13"/>
      <c r="E3" s="16">
        <f>MINUS(A3,B3 + C3)</f>
        <v>313250</v>
      </c>
      <c r="F3" s="16"/>
      <c r="G3" s="6"/>
      <c r="H3" s="7"/>
      <c r="I3" s="9"/>
      <c r="J3" s="2"/>
      <c r="K3" s="2"/>
      <c r="L3" s="13">
        <f>SUM(N66, N68)</f>
        <v>0</v>
      </c>
      <c r="M3" s="13"/>
    </row>
    <row r="4">
      <c r="A4" s="17"/>
      <c r="B4" s="9"/>
      <c r="C4" s="9"/>
      <c r="D4" s="9"/>
      <c r="E4" s="9"/>
      <c r="F4" s="7"/>
      <c r="G4" s="7"/>
      <c r="H4" s="7"/>
      <c r="I4" s="9"/>
      <c r="J4" s="2"/>
      <c r="K4" s="2"/>
      <c r="L4" s="9"/>
      <c r="M4" s="9"/>
    </row>
    <row r="5" ht="30.0" customHeight="1">
      <c r="A5" s="20" t="s">
        <v>5</v>
      </c>
      <c r="B5" s="21" t="s">
        <v>6</v>
      </c>
      <c r="C5" s="23" t="s">
        <v>9</v>
      </c>
      <c r="D5" s="21" t="s">
        <v>10</v>
      </c>
      <c r="E5" s="25" t="s">
        <v>11</v>
      </c>
      <c r="F5" s="25" t="s">
        <v>12</v>
      </c>
      <c r="G5" s="26" t="s">
        <v>13</v>
      </c>
      <c r="H5" s="26" t="s">
        <v>14</v>
      </c>
      <c r="I5" s="21" t="s">
        <v>15</v>
      </c>
      <c r="J5" s="28"/>
      <c r="K5" s="28"/>
      <c r="L5" s="21" t="s">
        <v>6</v>
      </c>
      <c r="M5" s="21" t="s">
        <v>10</v>
      </c>
    </row>
    <row r="6" ht="30.0" customHeight="1">
      <c r="A6" s="32" t="s">
        <v>16</v>
      </c>
      <c r="B6" s="34">
        <v>122031.0</v>
      </c>
      <c r="C6" s="38">
        <f t="shared" ref="C6:C64" si="1">MINUS(B6,L6)</f>
        <v>8327</v>
      </c>
      <c r="D6" s="34">
        <v>4159.0</v>
      </c>
      <c r="E6" s="40">
        <f t="shared" ref="E6:E64" si="2">MINUS(D6,M6)</f>
        <v>245</v>
      </c>
      <c r="F6" s="42">
        <f t="shared" ref="F6:F63" si="3">DIVIDE(D6, B6)</f>
        <v>0.03408150388</v>
      </c>
      <c r="G6" s="44">
        <v>4126.0</v>
      </c>
      <c r="H6" s="44">
        <v>10478.0</v>
      </c>
      <c r="I6" s="47" t="str">
        <f>HYPERLINK("https://www.youtube.com/watch?v=4VoqvS1wtP4","Source")</f>
        <v>Source</v>
      </c>
      <c r="J6" s="28"/>
      <c r="K6" s="28"/>
      <c r="L6" s="34">
        <v>113704.0</v>
      </c>
      <c r="M6" s="34">
        <v>3914.0</v>
      </c>
    </row>
    <row r="7" ht="27.75" customHeight="1">
      <c r="A7" s="49" t="s">
        <v>19</v>
      </c>
      <c r="B7" s="51">
        <v>37505.0</v>
      </c>
      <c r="C7" s="38">
        <f t="shared" si="1"/>
        <v>3381</v>
      </c>
      <c r="D7" s="59">
        <v>917.0</v>
      </c>
      <c r="E7" s="55">
        <f t="shared" si="2"/>
        <v>71</v>
      </c>
      <c r="F7" s="61">
        <f t="shared" si="3"/>
        <v>0.02445007332</v>
      </c>
      <c r="G7" s="63" t="s">
        <v>23</v>
      </c>
      <c r="H7" s="63" t="s">
        <v>23</v>
      </c>
      <c r="I7" s="67" t="str">
        <f>HYPERLINK("https://twitter.com/GovMurphy/status/1246498562919235584","Source")</f>
        <v>Source</v>
      </c>
      <c r="J7" s="68"/>
      <c r="K7" s="69" t="s">
        <v>25</v>
      </c>
      <c r="L7" s="51">
        <v>34124.0</v>
      </c>
      <c r="M7" s="59">
        <v>846.0</v>
      </c>
    </row>
    <row r="8" ht="27.75" customHeight="1">
      <c r="A8" s="49" t="s">
        <v>27</v>
      </c>
      <c r="B8" s="51">
        <v>15718.0</v>
      </c>
      <c r="C8" s="38">
        <f t="shared" si="1"/>
        <v>1493</v>
      </c>
      <c r="D8" s="59">
        <v>617.0</v>
      </c>
      <c r="E8" s="55">
        <f t="shared" si="2"/>
        <v>77</v>
      </c>
      <c r="F8" s="42">
        <f t="shared" si="3"/>
        <v>0.03925435806</v>
      </c>
      <c r="G8" s="63" t="s">
        <v>23</v>
      </c>
      <c r="H8" s="63" t="s">
        <v>23</v>
      </c>
      <c r="I8" s="67" t="str">
        <f>HYPERLINK("https://www.michigan.gov/coronavirus/0,9753,7-406-98163_98173---,00.html","Source")</f>
        <v>Source</v>
      </c>
      <c r="J8" s="68"/>
      <c r="K8" s="69" t="s">
        <v>25</v>
      </c>
      <c r="L8" s="51">
        <v>14225.0</v>
      </c>
      <c r="M8" s="59">
        <v>540.0</v>
      </c>
    </row>
    <row r="9" ht="30.0" customHeight="1">
      <c r="A9" s="35" t="s">
        <v>30</v>
      </c>
      <c r="B9" s="37">
        <v>15180.0</v>
      </c>
      <c r="C9" s="38">
        <f t="shared" si="1"/>
        <v>1253</v>
      </c>
      <c r="D9" s="53">
        <v>348.0</v>
      </c>
      <c r="E9" s="55">
        <f t="shared" si="2"/>
        <v>27</v>
      </c>
      <c r="F9" s="42">
        <f t="shared" si="3"/>
        <v>0.02292490119</v>
      </c>
      <c r="G9" s="63">
        <v>597.0</v>
      </c>
      <c r="H9" s="46">
        <v>1.0</v>
      </c>
      <c r="I9" s="48" t="str">
        <f>HYPERLINK("https://www.latimes.com/projects/california-coronavirus-cases-tracking-outbreak/","Source")</f>
        <v>Source</v>
      </c>
      <c r="J9" s="64"/>
      <c r="K9" s="69" t="s">
        <v>31</v>
      </c>
      <c r="L9" s="37">
        <v>13927.0</v>
      </c>
      <c r="M9" s="53">
        <v>321.0</v>
      </c>
    </row>
    <row r="10" ht="27.75" customHeight="1">
      <c r="A10" s="49" t="s">
        <v>33</v>
      </c>
      <c r="B10" s="51">
        <v>13010.0</v>
      </c>
      <c r="C10" s="38">
        <f t="shared" si="1"/>
        <v>514</v>
      </c>
      <c r="D10" s="59">
        <v>477.0</v>
      </c>
      <c r="E10" s="55">
        <f t="shared" si="2"/>
        <v>68</v>
      </c>
      <c r="F10" s="42">
        <f t="shared" si="3"/>
        <v>0.03666410453</v>
      </c>
      <c r="G10" s="70">
        <v>571.0</v>
      </c>
      <c r="H10" s="63" t="s">
        <v>23</v>
      </c>
      <c r="I10" s="67" t="str">
        <f>HYPERLINK("http://ldh.la.gov/coronavirus/","Source")</f>
        <v>Source</v>
      </c>
      <c r="J10" s="68"/>
      <c r="K10" s="28"/>
      <c r="L10" s="51">
        <v>12496.0</v>
      </c>
      <c r="M10" s="59">
        <v>409.0</v>
      </c>
    </row>
    <row r="11" ht="27.75" customHeight="1">
      <c r="A11" s="49" t="s">
        <v>36</v>
      </c>
      <c r="B11" s="51">
        <v>12500.0</v>
      </c>
      <c r="C11" s="38">
        <f t="shared" si="1"/>
        <v>764</v>
      </c>
      <c r="D11" s="59">
        <v>231.0</v>
      </c>
      <c r="E11" s="55">
        <f t="shared" si="2"/>
        <v>15</v>
      </c>
      <c r="F11" s="61">
        <f t="shared" si="3"/>
        <v>0.01848</v>
      </c>
      <c r="G11" s="63" t="s">
        <v>23</v>
      </c>
      <c r="H11" s="63" t="s">
        <v>23</v>
      </c>
      <c r="I11" s="67" t="str">
        <f>HYPERLINK("https://www.mass.gov/doc/covid-19-cases-in-massachusetts-as-of-april-4-2020/download","Source")</f>
        <v>Source</v>
      </c>
      <c r="J11" s="28"/>
      <c r="K11" s="69" t="s">
        <v>25</v>
      </c>
      <c r="L11" s="51">
        <v>11736.0</v>
      </c>
      <c r="M11" s="59">
        <v>216.0</v>
      </c>
    </row>
    <row r="12" ht="30.0" customHeight="1">
      <c r="A12" s="35" t="s">
        <v>39</v>
      </c>
      <c r="B12" s="37">
        <v>12350.0</v>
      </c>
      <c r="C12" s="38">
        <f t="shared" si="1"/>
        <v>805</v>
      </c>
      <c r="D12" s="53">
        <v>221.0</v>
      </c>
      <c r="E12" s="55">
        <f t="shared" si="2"/>
        <v>26</v>
      </c>
      <c r="F12" s="42">
        <f t="shared" si="3"/>
        <v>0.01789473684</v>
      </c>
      <c r="G12" s="63" t="s">
        <v>23</v>
      </c>
      <c r="H12" s="63" t="s">
        <v>23</v>
      </c>
      <c r="I12" s="48" t="str">
        <f>HYPERLINK("https://experience.arcgis.com/experience/96dd742462124fa0b38ddedb9b25e429","Source")</f>
        <v>Source</v>
      </c>
      <c r="J12" s="68"/>
      <c r="K12" s="69" t="s">
        <v>31</v>
      </c>
      <c r="L12" s="37">
        <v>11545.0</v>
      </c>
      <c r="M12" s="53">
        <v>195.0</v>
      </c>
    </row>
    <row r="13" ht="27.75" customHeight="1">
      <c r="A13" s="49" t="s">
        <v>40</v>
      </c>
      <c r="B13" s="51">
        <v>11564.0</v>
      </c>
      <c r="C13" s="38">
        <f t="shared" si="1"/>
        <v>1149</v>
      </c>
      <c r="D13" s="59">
        <v>150.0</v>
      </c>
      <c r="E13" s="55">
        <f t="shared" si="2"/>
        <v>14</v>
      </c>
      <c r="F13" s="61">
        <f t="shared" si="3"/>
        <v>0.01297129021</v>
      </c>
      <c r="G13" s="63" t="s">
        <v>23</v>
      </c>
      <c r="H13" s="63" t="s">
        <v>23</v>
      </c>
      <c r="I13" s="67" t="str">
        <f>HYPERLINK("https://www.health.pa.gov/topics/disease/coronavirus/Pages/Cases.aspx","Source")</f>
        <v>Source</v>
      </c>
      <c r="J13" s="68"/>
      <c r="K13" s="69" t="s">
        <v>25</v>
      </c>
      <c r="L13" s="51">
        <v>10415.0</v>
      </c>
      <c r="M13" s="59">
        <v>136.0</v>
      </c>
    </row>
    <row r="14" ht="27.75" customHeight="1">
      <c r="A14" s="49" t="s">
        <v>44</v>
      </c>
      <c r="B14" s="51">
        <v>11256.0</v>
      </c>
      <c r="C14" s="38">
        <f t="shared" si="1"/>
        <v>899</v>
      </c>
      <c r="D14" s="59">
        <v>274.0</v>
      </c>
      <c r="E14" s="55">
        <f t="shared" si="2"/>
        <v>31</v>
      </c>
      <c r="F14" s="61">
        <f t="shared" si="3"/>
        <v>0.02434257285</v>
      </c>
      <c r="G14" s="63" t="s">
        <v>23</v>
      </c>
      <c r="H14" s="63">
        <v>2.0</v>
      </c>
      <c r="I14" s="67" t="str">
        <f>HYPERLINK("https://www2.illinois.gov/IISNews/21348-Public_Health_Officials_Announce_715_New_Cases_of_Coronavirus_Disease_.pdf","Source")</f>
        <v>Source</v>
      </c>
      <c r="J14" s="68"/>
      <c r="K14" s="69" t="s">
        <v>25</v>
      </c>
      <c r="L14" s="51">
        <v>10357.0</v>
      </c>
      <c r="M14" s="59">
        <v>243.0</v>
      </c>
    </row>
    <row r="15" ht="30.0" customHeight="1">
      <c r="A15" s="49" t="s">
        <v>46</v>
      </c>
      <c r="B15" s="51">
        <v>7984.0</v>
      </c>
      <c r="C15" s="38">
        <f t="shared" si="1"/>
        <v>360</v>
      </c>
      <c r="D15" s="59">
        <v>338.0</v>
      </c>
      <c r="E15" s="55">
        <f t="shared" si="2"/>
        <v>28</v>
      </c>
      <c r="F15" s="61">
        <f t="shared" si="3"/>
        <v>0.04233466934</v>
      </c>
      <c r="G15" s="63" t="s">
        <v>23</v>
      </c>
      <c r="H15" s="63">
        <v>510.0</v>
      </c>
      <c r="I15" s="67" t="str">
        <f>HYPERLINK("https://www.doh.wa.gov/Emergencies/Coronavirus","Source")</f>
        <v>Source</v>
      </c>
      <c r="J15" s="68"/>
      <c r="K15" s="69" t="s">
        <v>25</v>
      </c>
      <c r="L15" s="51">
        <v>7624.0</v>
      </c>
      <c r="M15" s="59">
        <v>310.0</v>
      </c>
    </row>
    <row r="16" ht="30.0" customHeight="1">
      <c r="A16" s="35" t="s">
        <v>48</v>
      </c>
      <c r="B16" s="37">
        <v>6812.0</v>
      </c>
      <c r="C16" s="38">
        <f t="shared" si="1"/>
        <v>50</v>
      </c>
      <c r="D16" s="53">
        <v>127.0</v>
      </c>
      <c r="E16" s="55">
        <f t="shared" si="2"/>
        <v>3</v>
      </c>
      <c r="F16" s="61">
        <f t="shared" si="3"/>
        <v>0.01864357017</v>
      </c>
      <c r="G16" s="46" t="s">
        <v>23</v>
      </c>
      <c r="H16" s="63" t="s">
        <v>23</v>
      </c>
      <c r="I16" s="48" t="str">
        <f>HYPERLINK("https://txdshs.maps.arcgis.com/apps/opsdashboard/index.html#/ed483ecd702b4298ab01e8b9cafc8b83","Source")</f>
        <v>Source</v>
      </c>
      <c r="J16" s="64"/>
      <c r="K16" s="28"/>
      <c r="L16" s="37">
        <v>6762.0</v>
      </c>
      <c r="M16" s="53">
        <v>124.0</v>
      </c>
    </row>
    <row r="17" ht="30.0" customHeight="1">
      <c r="A17" s="49" t="s">
        <v>49</v>
      </c>
      <c r="B17" s="51">
        <v>6742.0</v>
      </c>
      <c r="C17" s="38">
        <f t="shared" si="1"/>
        <v>359</v>
      </c>
      <c r="D17" s="59">
        <v>219.0</v>
      </c>
      <c r="E17" s="55">
        <f t="shared" si="2"/>
        <v>11</v>
      </c>
      <c r="F17" s="42">
        <f t="shared" si="3"/>
        <v>0.03248294275</v>
      </c>
      <c r="G17" s="63" t="s">
        <v>23</v>
      </c>
      <c r="H17" s="63" t="s">
        <v>23</v>
      </c>
      <c r="I17" s="67" t="str">
        <f>HYPERLINK("https://dph.georgia.gov/covid-19-daily-status-report","Source")</f>
        <v>Source</v>
      </c>
      <c r="J17" s="64"/>
      <c r="K17" s="69" t="s">
        <v>52</v>
      </c>
      <c r="L17" s="51">
        <v>6383.0</v>
      </c>
      <c r="M17" s="59">
        <v>208.0</v>
      </c>
    </row>
    <row r="18" ht="27.75" customHeight="1">
      <c r="A18" s="49" t="s">
        <v>53</v>
      </c>
      <c r="B18" s="51">
        <v>5675.0</v>
      </c>
      <c r="C18" s="38">
        <f t="shared" si="1"/>
        <v>399</v>
      </c>
      <c r="D18" s="59">
        <v>189.0</v>
      </c>
      <c r="E18" s="55">
        <f t="shared" si="2"/>
        <v>24</v>
      </c>
      <c r="F18" s="61">
        <f t="shared" si="3"/>
        <v>0.03330396476</v>
      </c>
      <c r="G18" s="63" t="s">
        <v>23</v>
      </c>
      <c r="H18" s="63" t="s">
        <v>23</v>
      </c>
      <c r="I18" s="67" t="str">
        <f>HYPERLINK("https://portal.ct.gov/-/media/Coronavirus/CTDPHCOVID19summary4032020.pdf?la=en","Source")</f>
        <v>Source</v>
      </c>
      <c r="J18" s="28"/>
      <c r="K18" s="28"/>
      <c r="L18" s="51">
        <v>5276.0</v>
      </c>
      <c r="M18" s="59">
        <v>165.0</v>
      </c>
    </row>
    <row r="19" ht="27.75" customHeight="1">
      <c r="A19" s="49" t="s">
        <v>54</v>
      </c>
      <c r="B19" s="51">
        <v>4950.0</v>
      </c>
      <c r="C19" s="38">
        <f t="shared" si="1"/>
        <v>385</v>
      </c>
      <c r="D19" s="59">
        <v>140.0</v>
      </c>
      <c r="E19" s="55">
        <f t="shared" si="2"/>
        <v>14</v>
      </c>
      <c r="F19" s="42">
        <f t="shared" si="3"/>
        <v>0.02828282828</v>
      </c>
      <c r="G19" s="63" t="s">
        <v>23</v>
      </c>
      <c r="H19" s="63" t="s">
        <v>23</v>
      </c>
      <c r="I19" s="67" t="str">
        <f>HYPERLINK("https://covid19.colorado.gov/case-data","Source")</f>
        <v>Source</v>
      </c>
      <c r="J19" s="28"/>
      <c r="K19" s="28"/>
      <c r="L19" s="51">
        <v>4565.0</v>
      </c>
      <c r="M19" s="59">
        <v>126.0</v>
      </c>
    </row>
    <row r="20" ht="30.0" customHeight="1">
      <c r="A20" s="35" t="s">
        <v>56</v>
      </c>
      <c r="B20" s="37">
        <v>4411.0</v>
      </c>
      <c r="C20" s="38">
        <f t="shared" si="1"/>
        <v>458</v>
      </c>
      <c r="D20" s="37">
        <v>127.0</v>
      </c>
      <c r="E20" s="40">
        <f t="shared" si="2"/>
        <v>11</v>
      </c>
      <c r="F20" s="42">
        <f t="shared" si="3"/>
        <v>0.02879165722</v>
      </c>
      <c r="G20" s="43" t="s">
        <v>23</v>
      </c>
      <c r="H20" s="63" t="s">
        <v>23</v>
      </c>
      <c r="I20" s="48" t="str">
        <f>HYPERLINK("https://twitter.com/StateHealthIN/status/1246808420293980160","Source")</f>
        <v>Source</v>
      </c>
      <c r="J20" s="68"/>
      <c r="K20" s="28"/>
      <c r="L20" s="37">
        <v>3953.0</v>
      </c>
      <c r="M20" s="37">
        <v>116.0</v>
      </c>
    </row>
    <row r="21" ht="27.75" customHeight="1">
      <c r="A21" s="49" t="s">
        <v>57</v>
      </c>
      <c r="B21" s="51">
        <v>4043.0</v>
      </c>
      <c r="C21" s="38">
        <f t="shared" si="1"/>
        <v>304</v>
      </c>
      <c r="D21" s="59">
        <v>119.0</v>
      </c>
      <c r="E21" s="55">
        <f t="shared" si="2"/>
        <v>17</v>
      </c>
      <c r="F21" s="61">
        <f t="shared" si="3"/>
        <v>0.02943358892</v>
      </c>
      <c r="G21" s="63">
        <v>346.0</v>
      </c>
      <c r="H21" s="63" t="s">
        <v>23</v>
      </c>
      <c r="I21" s="67" t="str">
        <f>HYPERLINK("https://coronavirus.ohio.gov/wps/portal/gov/covid-19/home","Source")</f>
        <v>Source</v>
      </c>
      <c r="J21" s="68"/>
      <c r="K21" s="28"/>
      <c r="L21" s="51">
        <v>3739.0</v>
      </c>
      <c r="M21" s="59">
        <v>102.0</v>
      </c>
    </row>
    <row r="22" ht="27.75" customHeight="1">
      <c r="A22" s="49" t="s">
        <v>59</v>
      </c>
      <c r="B22" s="51">
        <v>3633.0</v>
      </c>
      <c r="C22" s="38">
        <f t="shared" si="1"/>
        <v>312</v>
      </c>
      <c r="D22" s="59">
        <v>44.0</v>
      </c>
      <c r="E22" s="55">
        <f t="shared" si="2"/>
        <v>1</v>
      </c>
      <c r="F22" s="42">
        <f t="shared" si="3"/>
        <v>0.01211120286</v>
      </c>
      <c r="G22" s="63" t="s">
        <v>23</v>
      </c>
      <c r="H22" s="63">
        <v>220.0</v>
      </c>
      <c r="I22" s="67" t="str">
        <f>HYPERLINK("https://www.tn.gov/health/cedep/ncov.html","Source")</f>
        <v>Source</v>
      </c>
      <c r="J22" s="28"/>
      <c r="K22" s="28"/>
      <c r="L22" s="51">
        <v>3321.0</v>
      </c>
      <c r="M22" s="59">
        <v>43.0</v>
      </c>
    </row>
    <row r="23" ht="27.75" customHeight="1">
      <c r="A23" s="49" t="s">
        <v>60</v>
      </c>
      <c r="B23" s="51">
        <v>3609.0</v>
      </c>
      <c r="C23" s="38">
        <f t="shared" si="1"/>
        <v>484</v>
      </c>
      <c r="D23" s="59">
        <v>67.0</v>
      </c>
      <c r="E23" s="55">
        <f t="shared" si="2"/>
        <v>14</v>
      </c>
      <c r="F23" s="61">
        <f t="shared" si="3"/>
        <v>0.01856469936</v>
      </c>
      <c r="G23" s="43" t="s">
        <v>23</v>
      </c>
      <c r="H23" s="63">
        <v>159.0</v>
      </c>
      <c r="I23" s="67" t="str">
        <f>HYPERLINK("https://twitter.com/MDHealthDept/status/1246809292986081286","Source")</f>
        <v>Source</v>
      </c>
      <c r="J23" s="91"/>
      <c r="K23" s="69" t="s">
        <v>25</v>
      </c>
      <c r="L23" s="51">
        <v>3125.0</v>
      </c>
      <c r="M23" s="59">
        <v>53.0</v>
      </c>
    </row>
    <row r="24" ht="30.0" customHeight="1">
      <c r="A24" s="35" t="s">
        <v>62</v>
      </c>
      <c r="B24" s="37">
        <v>2677.0</v>
      </c>
      <c r="C24" s="38">
        <f t="shared" si="1"/>
        <v>135</v>
      </c>
      <c r="D24" s="37">
        <v>39.0</v>
      </c>
      <c r="E24" s="40">
        <f t="shared" si="2"/>
        <v>6</v>
      </c>
      <c r="F24" s="61">
        <f t="shared" si="3"/>
        <v>0.01456854688</v>
      </c>
      <c r="G24" s="43" t="s">
        <v>23</v>
      </c>
      <c r="H24" s="63" t="s">
        <v>23</v>
      </c>
      <c r="I24" s="48" t="str">
        <f>HYPERLINK("https://www.newsobserver.com/news/local/article241168731.html","Source")</f>
        <v>Source</v>
      </c>
      <c r="J24" s="64"/>
      <c r="K24" s="28"/>
      <c r="L24" s="37">
        <v>2542.0</v>
      </c>
      <c r="M24" s="37">
        <v>33.0</v>
      </c>
    </row>
    <row r="25" ht="30.0" customHeight="1">
      <c r="A25" s="35" t="s">
        <v>64</v>
      </c>
      <c r="B25" s="37">
        <v>2637.0</v>
      </c>
      <c r="C25" s="38">
        <f t="shared" si="1"/>
        <v>230</v>
      </c>
      <c r="D25" s="37">
        <v>52.0</v>
      </c>
      <c r="E25" s="40">
        <f t="shared" si="2"/>
        <v>0</v>
      </c>
      <c r="F25" s="61">
        <f t="shared" si="3"/>
        <v>0.01971937808</v>
      </c>
      <c r="G25" s="43" t="s">
        <v>23</v>
      </c>
      <c r="H25" s="63" t="s">
        <v>23</v>
      </c>
      <c r="I25" s="48" t="str">
        <f>HYPERLINK("http://www.vdh.virginia.gov/coronavirus/","Source")</f>
        <v>Source</v>
      </c>
      <c r="J25" s="28"/>
      <c r="K25" s="28"/>
      <c r="L25" s="37">
        <v>2407.0</v>
      </c>
      <c r="M25" s="37">
        <v>52.0</v>
      </c>
    </row>
    <row r="26" ht="30.0" customHeight="1">
      <c r="A26" s="35" t="s">
        <v>65</v>
      </c>
      <c r="B26" s="37">
        <v>2434.0</v>
      </c>
      <c r="C26" s="38">
        <f t="shared" si="1"/>
        <v>104</v>
      </c>
      <c r="D26" s="37">
        <v>47.0</v>
      </c>
      <c r="E26" s="40">
        <f t="shared" si="2"/>
        <v>5</v>
      </c>
      <c r="F26" s="42">
        <f t="shared" si="3"/>
        <v>0.01930977814</v>
      </c>
      <c r="G26" s="43" t="s">
        <v>23</v>
      </c>
      <c r="H26" s="63" t="s">
        <v>23</v>
      </c>
      <c r="I26" s="48" t="str">
        <f>HYPERLINK("https://www.kshb.com/news/coronavirus/covid-19-case-tracker-where-we-stand-in-mo-ks-nationwide","Source")</f>
        <v>Source</v>
      </c>
      <c r="J26" s="64"/>
      <c r="K26" s="28"/>
      <c r="L26" s="37">
        <v>2330.0</v>
      </c>
      <c r="M26" s="37">
        <v>42.0</v>
      </c>
    </row>
    <row r="27" ht="27.75" customHeight="1">
      <c r="A27" s="49" t="s">
        <v>66</v>
      </c>
      <c r="B27" s="51">
        <v>2269.0</v>
      </c>
      <c r="C27" s="38">
        <f t="shared" si="1"/>
        <v>250</v>
      </c>
      <c r="D27" s="59">
        <v>64.0</v>
      </c>
      <c r="E27" s="55">
        <f t="shared" si="2"/>
        <v>12</v>
      </c>
      <c r="F27" s="61">
        <f t="shared" si="3"/>
        <v>0.02820625826</v>
      </c>
      <c r="G27" s="43" t="s">
        <v>23</v>
      </c>
      <c r="H27" s="63" t="s">
        <v>23</v>
      </c>
      <c r="I27" s="67" t="str">
        <f>HYPERLINK("https://www.azdhs.gov/preparedness/epidemiology-disease-control/infectious-disease-epidemiology/index.php#novel-coronavirus-home","Source")</f>
        <v>Source</v>
      </c>
      <c r="J27" s="92"/>
      <c r="K27" s="28"/>
      <c r="L27" s="51">
        <v>2019.0</v>
      </c>
      <c r="M27" s="59">
        <v>52.0</v>
      </c>
    </row>
    <row r="28" ht="27.75" customHeight="1">
      <c r="A28" s="49" t="s">
        <v>70</v>
      </c>
      <c r="B28" s="51">
        <v>2267.0</v>
      </c>
      <c r="C28" s="38">
        <f t="shared" si="1"/>
        <v>155</v>
      </c>
      <c r="D28" s="59">
        <v>68.0</v>
      </c>
      <c r="E28" s="55">
        <f t="shared" si="2"/>
        <v>12</v>
      </c>
      <c r="F28" s="42">
        <f t="shared" si="3"/>
        <v>0.02999558888</v>
      </c>
      <c r="G28" s="43" t="s">
        <v>23</v>
      </c>
      <c r="H28" s="63">
        <v>16.0</v>
      </c>
      <c r="I28" s="67" t="str">
        <f>HYPERLINK("https://www.dhs.wisconsin.gov/outbreaks/index.htm","Source")</f>
        <v>Source</v>
      </c>
      <c r="J28" s="68"/>
      <c r="K28" s="28"/>
      <c r="L28" s="51">
        <v>2112.0</v>
      </c>
      <c r="M28" s="59">
        <v>56.0</v>
      </c>
    </row>
    <row r="29" ht="30.0" customHeight="1">
      <c r="A29" s="35" t="s">
        <v>71</v>
      </c>
      <c r="B29" s="37">
        <v>2049.0</v>
      </c>
      <c r="C29" s="38">
        <f t="shared" si="1"/>
        <v>132</v>
      </c>
      <c r="D29" s="37">
        <v>44.0</v>
      </c>
      <c r="E29" s="40">
        <f t="shared" si="2"/>
        <v>4</v>
      </c>
      <c r="F29" s="61">
        <f t="shared" si="3"/>
        <v>0.0214738897</v>
      </c>
      <c r="G29" s="43" t="s">
        <v>23</v>
      </c>
      <c r="H29" s="63" t="s">
        <v>23</v>
      </c>
      <c r="I29" s="48" t="str">
        <f>HYPERLINK("https://scdhec.gov/infectious-diseases/viruses/coronavirus-disease-2019-covid-19/testing-sc-data-covid-19","Source")</f>
        <v>Source</v>
      </c>
      <c r="J29" s="68"/>
      <c r="K29" s="69" t="s">
        <v>25</v>
      </c>
      <c r="L29" s="37">
        <v>1917.0</v>
      </c>
      <c r="M29" s="37">
        <v>40.0</v>
      </c>
    </row>
    <row r="30" ht="27.75" customHeight="1">
      <c r="A30" s="49" t="s">
        <v>74</v>
      </c>
      <c r="B30" s="51">
        <v>1841.0</v>
      </c>
      <c r="C30" s="38">
        <f t="shared" si="1"/>
        <v>208</v>
      </c>
      <c r="D30" s="59">
        <v>31.0</v>
      </c>
      <c r="E30" s="55">
        <f t="shared" si="2"/>
        <v>5</v>
      </c>
      <c r="F30" s="42">
        <f t="shared" si="3"/>
        <v>0.01683867463</v>
      </c>
      <c r="G30" s="43" t="s">
        <v>23</v>
      </c>
      <c r="H30" s="63" t="s">
        <v>23</v>
      </c>
      <c r="I30" s="67" t="str">
        <f>HYPERLINK("https://alpublichealth.maps.arcgis.com/apps/opsdashboard/index.html#/6d2771faa9da4a2786a509d82c8cf0f7","Source")</f>
        <v>Source</v>
      </c>
      <c r="J30" s="64"/>
      <c r="K30" s="69" t="s">
        <v>31</v>
      </c>
      <c r="L30" s="51">
        <v>1633.0</v>
      </c>
      <c r="M30" s="59">
        <v>26.0</v>
      </c>
    </row>
    <row r="31" ht="27.75" customHeight="1">
      <c r="A31" s="49" t="s">
        <v>78</v>
      </c>
      <c r="B31" s="51">
        <v>1836.0</v>
      </c>
      <c r="C31" s="38">
        <f t="shared" si="1"/>
        <v>94</v>
      </c>
      <c r="D31" s="59">
        <v>46.0</v>
      </c>
      <c r="E31" s="55">
        <f t="shared" si="2"/>
        <v>1</v>
      </c>
      <c r="F31" s="42">
        <f t="shared" si="3"/>
        <v>0.02505446623</v>
      </c>
      <c r="G31" s="43" t="s">
        <v>23</v>
      </c>
      <c r="H31" s="63">
        <v>26.0</v>
      </c>
      <c r="I31" s="67" t="str">
        <f>HYPERLINK("https://app.powerbigov.us/view?r=eyJrIjoiMjA2ZThiOWUtM2FlNS00MGY5LWFmYjUtNmQwNTQ3Nzg5N2I2IiwidCI6ImU0YTM0MGU2LWI4OWUtNGU2OC04ZWFhLTE1NDRkMjcwMzk4MCJ9","Source")</f>
        <v>Source</v>
      </c>
      <c r="J31" s="64"/>
      <c r="K31" s="69" t="s">
        <v>31</v>
      </c>
      <c r="L31" s="51">
        <v>1742.0</v>
      </c>
      <c r="M31" s="59">
        <v>45.0</v>
      </c>
    </row>
    <row r="32" ht="27.75" customHeight="1">
      <c r="A32" s="49" t="s">
        <v>79</v>
      </c>
      <c r="B32" s="51">
        <v>1638.0</v>
      </c>
      <c r="C32" s="38">
        <f t="shared" si="1"/>
        <v>183</v>
      </c>
      <c r="D32" s="59">
        <v>43.0</v>
      </c>
      <c r="E32" s="55">
        <f t="shared" si="2"/>
        <v>8</v>
      </c>
      <c r="F32" s="42">
        <f t="shared" si="3"/>
        <v>0.02625152625</v>
      </c>
      <c r="G32" s="43" t="s">
        <v>23</v>
      </c>
      <c r="H32" s="63" t="s">
        <v>23</v>
      </c>
      <c r="I32" s="67" t="str">
        <f>HYPERLINK("https://twitter.com/msdh/status/1246815125576847362","Source")</f>
        <v>Source</v>
      </c>
      <c r="J32" s="91"/>
      <c r="K32" s="69" t="s">
        <v>25</v>
      </c>
      <c r="L32" s="51">
        <v>1455.0</v>
      </c>
      <c r="M32" s="59">
        <v>35.0</v>
      </c>
    </row>
    <row r="33" ht="30.0" customHeight="1">
      <c r="A33" s="35" t="s">
        <v>82</v>
      </c>
      <c r="B33" s="37">
        <v>1605.0</v>
      </c>
      <c r="C33" s="38">
        <f t="shared" si="1"/>
        <v>177</v>
      </c>
      <c r="D33" s="37">
        <v>8.0</v>
      </c>
      <c r="E33" s="40">
        <f t="shared" si="2"/>
        <v>0</v>
      </c>
      <c r="F33" s="61">
        <f t="shared" si="3"/>
        <v>0.004984423676</v>
      </c>
      <c r="G33" s="43" t="s">
        <v>23</v>
      </c>
      <c r="H33" s="63" t="s">
        <v>23</v>
      </c>
      <c r="I33" s="48" t="str">
        <f>HYPERLINK("https://coronavirus.utah.gov/case-counts/","Source")</f>
        <v>Source</v>
      </c>
      <c r="J33" s="68"/>
      <c r="K33" s="28"/>
      <c r="L33" s="37">
        <v>1428.0</v>
      </c>
      <c r="M33" s="37">
        <v>8.0</v>
      </c>
    </row>
    <row r="34" ht="30.0" customHeight="1">
      <c r="A34" s="35" t="s">
        <v>85</v>
      </c>
      <c r="B34" s="37">
        <v>1252.0</v>
      </c>
      <c r="C34" s="38">
        <f t="shared" si="1"/>
        <v>93</v>
      </c>
      <c r="D34" s="37">
        <v>46.0</v>
      </c>
      <c r="E34" s="40">
        <f t="shared" si="2"/>
        <v>4</v>
      </c>
      <c r="F34" s="61">
        <f t="shared" si="3"/>
        <v>0.03674121406</v>
      </c>
      <c r="G34" s="63" t="s">
        <v>23</v>
      </c>
      <c r="H34" s="46" t="s">
        <v>23</v>
      </c>
      <c r="I34" s="48" t="str">
        <f>HYPERLINK("https://coronavirus.health.ok.gov/","Source")</f>
        <v>Source</v>
      </c>
      <c r="J34" s="68"/>
      <c r="K34" s="28"/>
      <c r="L34" s="37">
        <v>1159.0</v>
      </c>
      <c r="M34" s="37">
        <v>42.0</v>
      </c>
    </row>
    <row r="35" ht="27.75" customHeight="1">
      <c r="A35" s="49" t="s">
        <v>86</v>
      </c>
      <c r="B35" s="51">
        <v>1101.0</v>
      </c>
      <c r="C35" s="38">
        <f t="shared" si="1"/>
        <v>24</v>
      </c>
      <c r="D35" s="59">
        <v>10.0</v>
      </c>
      <c r="E35" s="55">
        <f t="shared" si="2"/>
        <v>0</v>
      </c>
      <c r="F35" s="61">
        <f t="shared" si="3"/>
        <v>0.009082652134</v>
      </c>
      <c r="G35" s="63">
        <v>8.0</v>
      </c>
      <c r="H35" s="63" t="s">
        <v>23</v>
      </c>
      <c r="I35" s="67" t="str">
        <f>HYPERLINK("https://coronavirus.idaho.gov/","Source")</f>
        <v>Source</v>
      </c>
      <c r="J35" s="68"/>
      <c r="K35" s="28"/>
      <c r="L35" s="51">
        <v>1077.0</v>
      </c>
      <c r="M35" s="59">
        <v>10.0</v>
      </c>
    </row>
    <row r="36" ht="27.75" customHeight="1">
      <c r="A36" s="49" t="s">
        <v>89</v>
      </c>
      <c r="B36" s="51">
        <v>1068.0</v>
      </c>
      <c r="C36" s="38">
        <f t="shared" si="1"/>
        <v>69</v>
      </c>
      <c r="D36" s="59">
        <v>27.0</v>
      </c>
      <c r="E36" s="55">
        <f t="shared" si="2"/>
        <v>1</v>
      </c>
      <c r="F36" s="42">
        <f t="shared" si="3"/>
        <v>0.02528089888</v>
      </c>
      <c r="G36" s="43" t="s">
        <v>23</v>
      </c>
      <c r="H36" s="63" t="s">
        <v>23</v>
      </c>
      <c r="I36" s="67" t="str">
        <f>HYPERLINK("https://govstatus.egov.com/OR-OHA-COVID-19","Source")</f>
        <v>Source</v>
      </c>
      <c r="J36" s="68"/>
      <c r="K36" s="69" t="s">
        <v>25</v>
      </c>
      <c r="L36" s="51">
        <v>999.0</v>
      </c>
      <c r="M36" s="59">
        <v>26.0</v>
      </c>
    </row>
    <row r="37" ht="27.75" customHeight="1">
      <c r="A37" s="49" t="s">
        <v>92</v>
      </c>
      <c r="B37" s="51">
        <v>998.0</v>
      </c>
      <c r="C37" s="38">
        <f t="shared" si="1"/>
        <v>96</v>
      </c>
      <c r="D37" s="59">
        <v>22.0</v>
      </c>
      <c r="E37" s="55">
        <f t="shared" si="2"/>
        <v>1</v>
      </c>
      <c r="F37" s="42">
        <f t="shared" si="3"/>
        <v>0.02204408818</v>
      </c>
      <c r="G37" s="63" t="s">
        <v>23</v>
      </c>
      <c r="H37" s="63">
        <v>258.0</v>
      </c>
      <c r="I37" s="67" t="str">
        <f>HYPERLINK("https://coronavirus.dc.gov/page/coronavirus-data","Source")</f>
        <v>Source</v>
      </c>
      <c r="J37" s="68"/>
      <c r="K37" s="69" t="s">
        <v>25</v>
      </c>
      <c r="L37" s="51">
        <v>902.0</v>
      </c>
      <c r="M37" s="59">
        <v>21.0</v>
      </c>
    </row>
    <row r="38" ht="27.75" customHeight="1">
      <c r="A38" s="49" t="s">
        <v>95</v>
      </c>
      <c r="B38" s="51">
        <v>955.0</v>
      </c>
      <c r="C38" s="38">
        <f t="shared" si="1"/>
        <v>38</v>
      </c>
      <c r="D38" s="59">
        <v>45.0</v>
      </c>
      <c r="E38" s="55">
        <f t="shared" si="2"/>
        <v>5</v>
      </c>
      <c r="F38" s="61">
        <f t="shared" si="3"/>
        <v>0.04712041885</v>
      </c>
      <c r="G38" s="63" t="s">
        <v>23</v>
      </c>
      <c r="H38" s="63" t="s">
        <v>23</v>
      </c>
      <c r="I38" s="67" t="str">
        <f>HYPERLINK("https://www.lex18.com/news/coronavirus/kentucky-up-to-770-cases-of-covid-19-31-deaths","Source")</f>
        <v>Source</v>
      </c>
      <c r="J38" s="68"/>
      <c r="K38" s="28"/>
      <c r="L38" s="51">
        <v>917.0</v>
      </c>
      <c r="M38" s="59">
        <v>40.0</v>
      </c>
    </row>
    <row r="39" ht="30.0" customHeight="1">
      <c r="A39" s="35" t="s">
        <v>96</v>
      </c>
      <c r="B39" s="37">
        <v>935.0</v>
      </c>
      <c r="C39" s="38">
        <f t="shared" si="1"/>
        <v>70</v>
      </c>
      <c r="D39" s="37">
        <v>29.0</v>
      </c>
      <c r="E39" s="40">
        <f t="shared" si="2"/>
        <v>5</v>
      </c>
      <c r="F39" s="61">
        <f t="shared" si="3"/>
        <v>0.03101604278</v>
      </c>
      <c r="G39" s="43">
        <v>48.0</v>
      </c>
      <c r="H39" s="46">
        <v>451.0</v>
      </c>
      <c r="I39" s="48" t="str">
        <f>HYPERLINK("https://www.health.state.mn.us/diseases/coronavirus/situation.html","Source")</f>
        <v>Source</v>
      </c>
      <c r="J39" s="68"/>
      <c r="K39" s="28"/>
      <c r="L39" s="37">
        <v>865.0</v>
      </c>
      <c r="M39" s="37">
        <v>24.0</v>
      </c>
    </row>
    <row r="40" ht="27.75" customHeight="1">
      <c r="A40" s="49" t="s">
        <v>99</v>
      </c>
      <c r="B40" s="51">
        <v>922.0</v>
      </c>
      <c r="C40" s="38">
        <f t="shared" si="1"/>
        <v>116</v>
      </c>
      <c r="D40" s="59">
        <v>25.0</v>
      </c>
      <c r="E40" s="55">
        <f t="shared" si="2"/>
        <v>8</v>
      </c>
      <c r="F40" s="42">
        <f t="shared" si="3"/>
        <v>0.02711496746</v>
      </c>
      <c r="G40" s="63">
        <v>31.0</v>
      </c>
      <c r="H40" s="63" t="s">
        <v>23</v>
      </c>
      <c r="I40" s="67" t="str">
        <f>HYPERLINK("https://health.ri.gov/data/covid-19/","Source")</f>
        <v>Source</v>
      </c>
      <c r="J40" s="28"/>
      <c r="K40" s="28"/>
      <c r="L40" s="51">
        <v>806.0</v>
      </c>
      <c r="M40" s="59">
        <v>17.0</v>
      </c>
    </row>
    <row r="41" ht="27.75" customHeight="1">
      <c r="A41" s="49" t="s">
        <v>102</v>
      </c>
      <c r="B41" s="51">
        <v>868.0</v>
      </c>
      <c r="C41" s="38">
        <f t="shared" si="1"/>
        <v>82</v>
      </c>
      <c r="D41" s="59">
        <v>22.0</v>
      </c>
      <c r="E41" s="55">
        <f t="shared" si="2"/>
        <v>8</v>
      </c>
      <c r="F41" s="42">
        <f t="shared" si="3"/>
        <v>0.02534562212</v>
      </c>
      <c r="G41" s="63" t="s">
        <v>23</v>
      </c>
      <c r="H41" s="63" t="s">
        <v>23</v>
      </c>
      <c r="I41" s="67" t="str">
        <f>HYPERLINK("https://www.iowapublicradio.org/post/liveblog-868-cases-covid-19-confirmed-8-more-deaths-announced#stream/0","Source")</f>
        <v>Source</v>
      </c>
      <c r="J41" s="68"/>
      <c r="K41" s="28"/>
      <c r="L41" s="51">
        <v>786.0</v>
      </c>
      <c r="M41" s="59">
        <v>14.0</v>
      </c>
    </row>
    <row r="42" ht="27.75" customHeight="1">
      <c r="A42" s="49" t="s">
        <v>105</v>
      </c>
      <c r="B42" s="51">
        <v>853.0</v>
      </c>
      <c r="C42" s="38">
        <f t="shared" si="1"/>
        <v>110</v>
      </c>
      <c r="D42" s="59">
        <v>16.0</v>
      </c>
      <c r="E42" s="55">
        <f t="shared" si="2"/>
        <v>2</v>
      </c>
      <c r="F42" s="42">
        <f t="shared" si="3"/>
        <v>0.01875732708</v>
      </c>
      <c r="G42" s="63">
        <v>23.0</v>
      </c>
      <c r="H42" s="63">
        <v>100.0</v>
      </c>
      <c r="I42" s="67" t="str">
        <f>HYPERLINK("https://adem.maps.arcgis.com/apps/opsdashboard/index.html#/f533ac8a8b6040e5896b05b47b17a647","Source")</f>
        <v>Source</v>
      </c>
      <c r="J42" s="28"/>
      <c r="K42" s="69" t="s">
        <v>108</v>
      </c>
      <c r="L42" s="51">
        <v>743.0</v>
      </c>
      <c r="M42" s="59">
        <v>14.0</v>
      </c>
    </row>
    <row r="43" ht="30.0" customHeight="1">
      <c r="A43" s="35" t="s">
        <v>109</v>
      </c>
      <c r="B43" s="37">
        <v>756.0</v>
      </c>
      <c r="C43" s="38">
        <f t="shared" si="1"/>
        <v>39</v>
      </c>
      <c r="D43" s="37">
        <v>22.0</v>
      </c>
      <c r="E43" s="40">
        <f t="shared" si="2"/>
        <v>1</v>
      </c>
      <c r="F43" s="61">
        <f t="shared" si="3"/>
        <v>0.0291005291</v>
      </c>
      <c r="G43" s="63" t="s">
        <v>23</v>
      </c>
      <c r="H43" s="63" t="s">
        <v>23</v>
      </c>
      <c r="I43" s="48" t="str">
        <f>HYPERLINK("https://public.tableau.com/profile/kdhe.epidemiology#!/vizhome/COVID-19Data_15851817634470/KSCOVID-19CaseData","Source")</f>
        <v>Source</v>
      </c>
      <c r="J43" s="28"/>
      <c r="K43" s="28"/>
      <c r="L43" s="37">
        <v>717.0</v>
      </c>
      <c r="M43" s="37">
        <v>21.0</v>
      </c>
    </row>
    <row r="44" ht="27.75" customHeight="1">
      <c r="A44" s="49" t="s">
        <v>112</v>
      </c>
      <c r="B44" s="51">
        <v>673.0</v>
      </c>
      <c r="C44" s="38">
        <f t="shared" si="1"/>
        <v>80</v>
      </c>
      <c r="D44" s="59">
        <v>14.0</v>
      </c>
      <c r="E44" s="55">
        <f t="shared" si="2"/>
        <v>0</v>
      </c>
      <c r="F44" s="42">
        <f t="shared" si="3"/>
        <v>0.02080237741</v>
      </c>
      <c r="G44" s="63" t="s">
        <v>23</v>
      </c>
      <c r="H44" s="63">
        <v>71.0</v>
      </c>
      <c r="I44" s="67" t="str">
        <f>HYPERLINK("https://coronavirus.delaware.gov/","Source")</f>
        <v>Source</v>
      </c>
      <c r="J44" s="68"/>
      <c r="K44" s="28"/>
      <c r="L44" s="51">
        <v>593.0</v>
      </c>
      <c r="M44" s="59">
        <v>14.0</v>
      </c>
    </row>
    <row r="45" ht="30.0" customHeight="1">
      <c r="A45" s="35" t="s">
        <v>115</v>
      </c>
      <c r="B45" s="37">
        <v>669.0</v>
      </c>
      <c r="C45" s="38">
        <f t="shared" si="1"/>
        <v>48</v>
      </c>
      <c r="D45" s="53">
        <v>9.0</v>
      </c>
      <c r="E45" s="55">
        <f t="shared" si="2"/>
        <v>0</v>
      </c>
      <c r="F45" s="61">
        <f t="shared" si="3"/>
        <v>0.0134529148</v>
      </c>
      <c r="G45" s="63" t="s">
        <v>23</v>
      </c>
      <c r="H45" s="63">
        <v>147.0</v>
      </c>
      <c r="I45" s="48" t="str">
        <f>HYPERLINK("https://twitter.com/mikesacconetv/status/1246584047352066048","Source")</f>
        <v>Source</v>
      </c>
      <c r="J45" s="68"/>
      <c r="K45" s="28"/>
      <c r="L45" s="37">
        <v>621.0</v>
      </c>
      <c r="M45" s="53">
        <v>9.0</v>
      </c>
    </row>
    <row r="46" ht="27.75" customHeight="1">
      <c r="A46" s="49" t="s">
        <v>118</v>
      </c>
      <c r="B46" s="51">
        <v>624.0</v>
      </c>
      <c r="C46" s="38">
        <f t="shared" si="1"/>
        <v>81</v>
      </c>
      <c r="D46" s="59">
        <v>12.0</v>
      </c>
      <c r="E46" s="55">
        <f t="shared" si="2"/>
        <v>1</v>
      </c>
      <c r="F46" s="42">
        <f t="shared" si="3"/>
        <v>0.01923076923</v>
      </c>
      <c r="G46" s="63" t="s">
        <v>23</v>
      </c>
      <c r="H46" s="63" t="s">
        <v>23</v>
      </c>
      <c r="I46" s="67" t="str">
        <f>HYPERLINK("https://cv.nmhealth.org/","Source")</f>
        <v>Source</v>
      </c>
      <c r="J46" s="68"/>
      <c r="K46" s="28"/>
      <c r="L46" s="51">
        <v>543.0</v>
      </c>
      <c r="M46" s="59">
        <v>11.0</v>
      </c>
    </row>
    <row r="47" ht="30.0" customHeight="1">
      <c r="A47" s="35" t="s">
        <v>120</v>
      </c>
      <c r="B47" s="37">
        <v>512.0</v>
      </c>
      <c r="C47" s="38">
        <f t="shared" si="1"/>
        <v>51</v>
      </c>
      <c r="D47" s="37">
        <v>22.0</v>
      </c>
      <c r="E47" s="40">
        <f t="shared" si="2"/>
        <v>2</v>
      </c>
      <c r="F47" s="42">
        <f t="shared" si="3"/>
        <v>0.04296875</v>
      </c>
      <c r="G47" s="63" t="s">
        <v>23</v>
      </c>
      <c r="H47" s="63" t="s">
        <v>23</v>
      </c>
      <c r="I47" s="48" t="str">
        <f>HYPERLINK("https://www.healthvermont.gov/response/infectious-disease/2019-novel-coronavirus","Source")</f>
        <v>Source</v>
      </c>
      <c r="J47" s="68"/>
      <c r="K47" s="28"/>
      <c r="L47" s="37">
        <v>461.0</v>
      </c>
      <c r="M47" s="37">
        <v>20.0</v>
      </c>
    </row>
    <row r="48" ht="27.75" customHeight="1">
      <c r="A48" s="49" t="s">
        <v>122</v>
      </c>
      <c r="B48" s="51">
        <v>475.0</v>
      </c>
      <c r="C48" s="38">
        <f t="shared" si="1"/>
        <v>23</v>
      </c>
      <c r="D48" s="59">
        <v>20.0</v>
      </c>
      <c r="E48" s="55">
        <f t="shared" si="2"/>
        <v>2</v>
      </c>
      <c r="F48" s="42">
        <f t="shared" si="3"/>
        <v>0.04210526316</v>
      </c>
      <c r="G48" s="63" t="s">
        <v>23</v>
      </c>
      <c r="H48" s="63" t="s">
        <v>23</v>
      </c>
      <c r="I48" s="67" t="str">
        <f>HYPERLINK("https://twitter.com/DeptSaludPR/status/1246408168852328450","Source")</f>
        <v>Source</v>
      </c>
      <c r="J48" s="68"/>
      <c r="K48" s="28"/>
      <c r="L48" s="51">
        <v>452.0</v>
      </c>
      <c r="M48" s="59">
        <v>18.0</v>
      </c>
    </row>
    <row r="49" ht="27.75" customHeight="1">
      <c r="A49" s="49" t="s">
        <v>125</v>
      </c>
      <c r="B49" s="51">
        <v>470.0</v>
      </c>
      <c r="C49" s="38">
        <f t="shared" si="1"/>
        <v>14</v>
      </c>
      <c r="D49" s="59">
        <v>10.0</v>
      </c>
      <c r="E49" s="55">
        <f t="shared" si="2"/>
        <v>0</v>
      </c>
      <c r="F49" s="61">
        <f t="shared" si="3"/>
        <v>0.02127659574</v>
      </c>
      <c r="G49" s="63" t="s">
        <v>23</v>
      </c>
      <c r="H49" s="63">
        <v>156.0</v>
      </c>
      <c r="I49" s="67" t="str">
        <f>HYPERLINK("https://www.maine.gov/dhhs/mecdc/infectious-disease/epi/airborne/coronavirus.shtml","Source")</f>
        <v>Source</v>
      </c>
      <c r="J49" s="68"/>
      <c r="K49" s="28"/>
      <c r="L49" s="51">
        <v>456.0</v>
      </c>
      <c r="M49" s="59">
        <v>10.0</v>
      </c>
    </row>
    <row r="50" ht="27.75" customHeight="1">
      <c r="A50" s="49" t="s">
        <v>128</v>
      </c>
      <c r="B50" s="51">
        <v>371.0</v>
      </c>
      <c r="C50" s="38">
        <f t="shared" si="1"/>
        <v>20</v>
      </c>
      <c r="D50" s="59">
        <v>4.0</v>
      </c>
      <c r="E50" s="55">
        <f t="shared" si="2"/>
        <v>1</v>
      </c>
      <c r="F50" s="42">
        <f t="shared" si="3"/>
        <v>0.01078167116</v>
      </c>
      <c r="G50" s="63" t="s">
        <v>23</v>
      </c>
      <c r="H50" s="63">
        <v>85.0</v>
      </c>
      <c r="I50" s="67" t="str">
        <f>HYPERLINK("https://health.hawaii.gov/coronavirusdisease2019/","Source")</f>
        <v>Source</v>
      </c>
      <c r="J50" s="68"/>
      <c r="K50" s="28"/>
      <c r="L50" s="51">
        <v>351.0</v>
      </c>
      <c r="M50" s="59">
        <v>3.0</v>
      </c>
    </row>
    <row r="51" ht="27.75" customHeight="1">
      <c r="A51" s="49" t="s">
        <v>129</v>
      </c>
      <c r="B51" s="51">
        <v>367.0</v>
      </c>
      <c r="C51" s="38">
        <f t="shared" si="1"/>
        <v>31</v>
      </c>
      <c r="D51" s="59">
        <v>8.0</v>
      </c>
      <c r="E51" s="55">
        <f t="shared" si="2"/>
        <v>0</v>
      </c>
      <c r="F51" s="42">
        <f t="shared" si="3"/>
        <v>0.02179836512</v>
      </c>
      <c r="G51" s="63" t="s">
        <v>23</v>
      </c>
      <c r="H51" s="63" t="s">
        <v>23</v>
      </c>
      <c r="I51" s="67" t="str">
        <f>HYPERLINK("https://www.keloland.com/news/local-news/health-officials-announce-40-additional-cases-of-covid-19-in-nebraska/?utm_medium=social&amp;utm_source=twitter_keloland","Source")</f>
        <v>Source</v>
      </c>
      <c r="J51" s="28"/>
      <c r="K51" s="28"/>
      <c r="L51" s="51">
        <v>336.0</v>
      </c>
      <c r="M51" s="59">
        <v>8.0</v>
      </c>
    </row>
    <row r="52" ht="27.75" customHeight="1">
      <c r="A52" s="49" t="s">
        <v>131</v>
      </c>
      <c r="B52" s="51">
        <v>324.0</v>
      </c>
      <c r="C52" s="38">
        <f t="shared" si="1"/>
        <v>42</v>
      </c>
      <c r="D52" s="59">
        <v>3.0</v>
      </c>
      <c r="E52" s="55">
        <f t="shared" si="2"/>
        <v>1</v>
      </c>
      <c r="F52" s="61">
        <f t="shared" si="3"/>
        <v>0.009259259259</v>
      </c>
      <c r="G52" s="63" t="s">
        <v>23</v>
      </c>
      <c r="H52" s="63" t="s">
        <v>23</v>
      </c>
      <c r="I52" s="67" t="str">
        <f>HYPERLINK("https://dhhr.wv.gov/News/2020/Pages/COVID-19-Daily-Update---4-5-2020.aspx","Source")</f>
        <v>Source</v>
      </c>
      <c r="J52" s="91"/>
      <c r="K52" s="69" t="s">
        <v>25</v>
      </c>
      <c r="L52" s="51">
        <v>282.0</v>
      </c>
      <c r="M52" s="59">
        <v>2.0</v>
      </c>
    </row>
    <row r="53" ht="27.75" customHeight="1">
      <c r="A53" s="49" t="s">
        <v>132</v>
      </c>
      <c r="B53" s="51">
        <v>298.0</v>
      </c>
      <c r="C53" s="38">
        <f t="shared" si="1"/>
        <v>17</v>
      </c>
      <c r="D53" s="59">
        <v>6.0</v>
      </c>
      <c r="E53" s="55">
        <f t="shared" si="2"/>
        <v>0</v>
      </c>
      <c r="F53" s="61">
        <f t="shared" si="3"/>
        <v>0.02013422819</v>
      </c>
      <c r="G53" s="63" t="s">
        <v>23</v>
      </c>
      <c r="H53" s="63" t="s">
        <v>23</v>
      </c>
      <c r="I53" s="67" t="str">
        <f>HYPERLINK("https://nbcmontana.com/news/local/coronavirus-cases-in-montana-increase-to-281-deaths-rise-to-six","Source")</f>
        <v>Source</v>
      </c>
      <c r="J53" s="28"/>
      <c r="K53" s="69" t="s">
        <v>134</v>
      </c>
      <c r="L53" s="51">
        <v>281.0</v>
      </c>
      <c r="M53" s="59">
        <v>6.0</v>
      </c>
    </row>
    <row r="54" ht="27.75" customHeight="1">
      <c r="A54" s="49" t="s">
        <v>135</v>
      </c>
      <c r="B54" s="51">
        <v>240.0</v>
      </c>
      <c r="C54" s="38">
        <f t="shared" si="1"/>
        <v>28</v>
      </c>
      <c r="D54" s="59">
        <v>4.0</v>
      </c>
      <c r="E54" s="55">
        <f t="shared" si="2"/>
        <v>0</v>
      </c>
      <c r="F54" s="61">
        <f t="shared" si="3"/>
        <v>0.01666666667</v>
      </c>
      <c r="G54" s="63" t="s">
        <v>23</v>
      </c>
      <c r="H54" s="63">
        <v>84.0</v>
      </c>
      <c r="I54" s="67" t="str">
        <f>HYPERLINK("https://twitter.com/mgeheren/status/1246293900857413633","Source")</f>
        <v>Source</v>
      </c>
      <c r="J54" s="68"/>
      <c r="K54" s="28"/>
      <c r="L54" s="51">
        <v>212.0</v>
      </c>
      <c r="M54" s="59">
        <v>4.0</v>
      </c>
    </row>
    <row r="55" ht="27.75" customHeight="1">
      <c r="A55" s="49" t="s">
        <v>138</v>
      </c>
      <c r="B55" s="51">
        <v>207.0</v>
      </c>
      <c r="C55" s="38">
        <f t="shared" si="1"/>
        <v>21</v>
      </c>
      <c r="D55" s="59">
        <v>3.0</v>
      </c>
      <c r="E55" s="55">
        <f t="shared" si="2"/>
        <v>0</v>
      </c>
      <c r="F55" s="61">
        <f t="shared" si="3"/>
        <v>0.01449275362</v>
      </c>
      <c r="G55" s="63" t="s">
        <v>23</v>
      </c>
      <c r="H55" s="63">
        <v>63.0</v>
      </c>
      <c r="I55" s="67" t="str">
        <f>HYPERLINK("https://www.health.nd.gov/diseases-conditions/coronavirus/north-dakota-coronavirus-cases","Source")</f>
        <v>Source</v>
      </c>
      <c r="J55" s="68"/>
      <c r="K55" s="69" t="s">
        <v>25</v>
      </c>
      <c r="L55" s="51">
        <v>186.0</v>
      </c>
      <c r="M55" s="59">
        <v>3.0</v>
      </c>
    </row>
    <row r="56" ht="27.75" customHeight="1">
      <c r="A56" s="49" t="s">
        <v>140</v>
      </c>
      <c r="B56" s="51">
        <v>200.0</v>
      </c>
      <c r="C56" s="38">
        <f t="shared" si="1"/>
        <v>13</v>
      </c>
      <c r="D56" s="59">
        <v>0.0</v>
      </c>
      <c r="E56" s="55">
        <f t="shared" si="2"/>
        <v>0</v>
      </c>
      <c r="F56" s="42">
        <f t="shared" si="3"/>
        <v>0</v>
      </c>
      <c r="G56" s="63" t="s">
        <v>23</v>
      </c>
      <c r="H56" s="63">
        <v>50.0</v>
      </c>
      <c r="I56" s="67" t="str">
        <f>HYPERLINK("https://health.wyo.gov/publichealth/infectious-disease-epidemiology-unit/disease/novel-coronavirus/","Source")</f>
        <v>Source</v>
      </c>
      <c r="J56" s="68"/>
      <c r="K56" s="28"/>
      <c r="L56" s="51">
        <v>187.0</v>
      </c>
      <c r="M56" s="59">
        <v>0.0</v>
      </c>
    </row>
    <row r="57" ht="27.75" customHeight="1">
      <c r="A57" s="49" t="s">
        <v>142</v>
      </c>
      <c r="B57" s="51">
        <v>185.0</v>
      </c>
      <c r="C57" s="38">
        <f t="shared" si="1"/>
        <v>14</v>
      </c>
      <c r="D57" s="59">
        <v>5.0</v>
      </c>
      <c r="E57" s="55">
        <f t="shared" si="2"/>
        <v>1</v>
      </c>
      <c r="F57" s="61">
        <f t="shared" si="3"/>
        <v>0.02702702703</v>
      </c>
      <c r="G57" s="63" t="s">
        <v>23</v>
      </c>
      <c r="H57" s="63" t="s">
        <v>23</v>
      </c>
      <c r="I57" s="67" t="str">
        <f>HYPERLINK("http://dhss.alaska.gov/dph/Epi/id/Pages/COVID-19/monitoring.aspx","Source")</f>
        <v>Source</v>
      </c>
      <c r="J57" s="28"/>
      <c r="K57" s="28"/>
      <c r="L57" s="51">
        <v>171.0</v>
      </c>
      <c r="M57" s="59">
        <v>4.0</v>
      </c>
    </row>
    <row r="58" ht="27.75" customHeight="1">
      <c r="A58" s="49" t="s">
        <v>143</v>
      </c>
      <c r="B58" s="51">
        <v>112.0</v>
      </c>
      <c r="C58" s="38">
        <f t="shared" si="1"/>
        <v>19</v>
      </c>
      <c r="D58" s="59">
        <v>4.0</v>
      </c>
      <c r="E58" s="55">
        <f t="shared" si="2"/>
        <v>0</v>
      </c>
      <c r="F58" s="42">
        <f t="shared" si="3"/>
        <v>0.03571428571</v>
      </c>
      <c r="G58" s="63" t="s">
        <v>23</v>
      </c>
      <c r="H58" s="63">
        <v>23.0</v>
      </c>
      <c r="I58" s="67" t="str">
        <f>HYPERLINK("https://ghs.guam.gov/jic-release-no-50-fourth-covid-19-related-fatality-guam","Source")</f>
        <v>Source</v>
      </c>
      <c r="J58" s="91"/>
      <c r="K58" s="28"/>
      <c r="L58" s="51">
        <v>93.0</v>
      </c>
      <c r="M58" s="59">
        <v>4.0</v>
      </c>
    </row>
    <row r="59" ht="33.0" customHeight="1">
      <c r="A59" s="49" t="s">
        <v>146</v>
      </c>
      <c r="B59" s="51">
        <v>46.0</v>
      </c>
      <c r="C59" s="38">
        <f t="shared" si="1"/>
        <v>0</v>
      </c>
      <c r="D59" s="59">
        <v>0.0</v>
      </c>
      <c r="E59" s="55">
        <f t="shared" si="2"/>
        <v>0</v>
      </c>
      <c r="F59" s="61">
        <f t="shared" si="3"/>
        <v>0</v>
      </c>
      <c r="G59" s="63" t="s">
        <v>23</v>
      </c>
      <c r="H59" s="63">
        <v>2.0</v>
      </c>
      <c r="I59" s="67" t="str">
        <f>HYPERLINK("https://www.cdc.gov/coronavirus/2019-ncov/cases-in-us.html","Source")</f>
        <v>Source</v>
      </c>
      <c r="J59" s="28"/>
      <c r="K59" s="28"/>
      <c r="L59" s="51">
        <v>46.0</v>
      </c>
      <c r="M59" s="59">
        <v>0.0</v>
      </c>
    </row>
    <row r="60" ht="27.75" customHeight="1">
      <c r="A60" s="49" t="s">
        <v>148</v>
      </c>
      <c r="B60" s="51">
        <v>42.0</v>
      </c>
      <c r="C60" s="38">
        <f t="shared" si="1"/>
        <v>0</v>
      </c>
      <c r="D60" s="59">
        <v>0.0</v>
      </c>
      <c r="E60" s="55">
        <f t="shared" si="2"/>
        <v>0</v>
      </c>
      <c r="F60" s="61">
        <f t="shared" si="3"/>
        <v>0</v>
      </c>
      <c r="G60" s="63" t="s">
        <v>23</v>
      </c>
      <c r="H60" s="63">
        <v>34.0</v>
      </c>
      <c r="I60" s="67" t="str">
        <f>HYPERLINK("https://doh.vi.gov/news/health-department-announces-eleven-additional-confirmed-covid-19-cases","Source")</f>
        <v>Source</v>
      </c>
      <c r="J60" s="28"/>
      <c r="K60" s="28"/>
      <c r="L60" s="51">
        <v>42.0</v>
      </c>
      <c r="M60" s="59">
        <v>0.0</v>
      </c>
    </row>
    <row r="61" ht="27.75" customHeight="1">
      <c r="A61" s="49" t="s">
        <v>151</v>
      </c>
      <c r="B61" s="51">
        <v>21.0</v>
      </c>
      <c r="C61" s="38">
        <f t="shared" si="1"/>
        <v>0</v>
      </c>
      <c r="D61" s="59">
        <v>0.0</v>
      </c>
      <c r="E61" s="55">
        <f t="shared" si="2"/>
        <v>0</v>
      </c>
      <c r="F61" s="42">
        <f t="shared" si="3"/>
        <v>0</v>
      </c>
      <c r="G61" s="63" t="s">
        <v>23</v>
      </c>
      <c r="H61" s="63" t="s">
        <v>23</v>
      </c>
      <c r="I61" s="67" t="str">
        <f>HYPERLINK("https://www.youtube.com/watch?v=pAsq7-_3XTI","Source")</f>
        <v>Source</v>
      </c>
      <c r="J61" s="28"/>
      <c r="K61" s="28"/>
      <c r="L61" s="51">
        <v>21.0</v>
      </c>
      <c r="M61" s="59">
        <v>0.0</v>
      </c>
    </row>
    <row r="62" ht="27.75" customHeight="1">
      <c r="A62" s="49" t="s">
        <v>156</v>
      </c>
      <c r="B62" s="51">
        <v>8.0</v>
      </c>
      <c r="C62" s="38">
        <f t="shared" si="1"/>
        <v>0</v>
      </c>
      <c r="D62" s="59">
        <v>1.0</v>
      </c>
      <c r="E62" s="55">
        <f t="shared" si="2"/>
        <v>0</v>
      </c>
      <c r="F62" s="42">
        <f t="shared" si="3"/>
        <v>0.125</v>
      </c>
      <c r="G62" s="63" t="s">
        <v>23</v>
      </c>
      <c r="H62" s="63" t="s">
        <v>23</v>
      </c>
      <c r="I62" s="67" t="str">
        <f>HYPERLINK("https://guampdn.com/story/news/local/2020/03/28/saipan-confirms-two-covid-19-positive-cases/2932326001/","Source")</f>
        <v>Source</v>
      </c>
      <c r="J62" s="28"/>
      <c r="K62" s="28"/>
      <c r="L62" s="51">
        <v>8.0</v>
      </c>
      <c r="M62" s="59">
        <v>1.0</v>
      </c>
    </row>
    <row r="63" ht="27.75" customHeight="1">
      <c r="A63" s="49" t="s">
        <v>160</v>
      </c>
      <c r="B63" s="51">
        <v>3.0</v>
      </c>
      <c r="C63" s="38">
        <f t="shared" si="1"/>
        <v>0</v>
      </c>
      <c r="D63" s="59">
        <v>0.0</v>
      </c>
      <c r="E63" s="55">
        <f t="shared" si="2"/>
        <v>0</v>
      </c>
      <c r="F63" s="42">
        <f t="shared" si="3"/>
        <v>0</v>
      </c>
      <c r="G63" s="63" t="s">
        <v>23</v>
      </c>
      <c r="H63" s="63" t="s">
        <v>23</v>
      </c>
      <c r="I63" s="108" t="s">
        <v>23</v>
      </c>
      <c r="J63" s="28"/>
      <c r="K63" s="28"/>
      <c r="L63" s="51">
        <v>3.0</v>
      </c>
      <c r="M63" s="59">
        <v>0.0</v>
      </c>
    </row>
    <row r="64" ht="27.75" customHeight="1">
      <c r="A64" s="49" t="s">
        <v>162</v>
      </c>
      <c r="B64" s="51">
        <v>0.0</v>
      </c>
      <c r="C64" s="38">
        <f t="shared" si="1"/>
        <v>0</v>
      </c>
      <c r="D64" s="59">
        <v>0.0</v>
      </c>
      <c r="E64" s="55">
        <f t="shared" si="2"/>
        <v>0</v>
      </c>
      <c r="F64" s="95" t="s">
        <v>42</v>
      </c>
      <c r="G64" s="63" t="s">
        <v>23</v>
      </c>
      <c r="H64" s="63" t="s">
        <v>23</v>
      </c>
      <c r="I64" s="110" t="s">
        <v>23</v>
      </c>
      <c r="J64" s="28"/>
      <c r="K64" s="28"/>
      <c r="L64" s="51">
        <v>0.0</v>
      </c>
      <c r="M64" s="59">
        <v>0.0</v>
      </c>
    </row>
    <row r="65" ht="15.75" customHeight="1">
      <c r="A65" s="111" t="s">
        <v>166</v>
      </c>
      <c r="B65" s="112"/>
      <c r="C65" s="112"/>
      <c r="D65" s="114"/>
      <c r="E65" s="114"/>
      <c r="F65" s="115"/>
      <c r="G65" s="115"/>
      <c r="H65" s="116"/>
      <c r="I65" s="117"/>
      <c r="J65" s="50"/>
      <c r="K65" s="50"/>
      <c r="L65" s="112"/>
      <c r="M65" s="114"/>
    </row>
    <row r="66" ht="30.0" customHeight="1">
      <c r="A66" s="118" t="s">
        <v>169</v>
      </c>
      <c r="B66" s="120">
        <f>SUM(B6:B65, L65)</f>
        <v>335781</v>
      </c>
      <c r="C66" s="121">
        <f>SUM(C6:C64)</f>
        <v>24603</v>
      </c>
      <c r="D66" s="120">
        <f>SUM(D6:D65)</f>
        <v>9595</v>
      </c>
      <c r="E66" s="122">
        <f>SUM(E6:E63)</f>
        <v>793</v>
      </c>
      <c r="F66" s="123">
        <f>DIVIDE(B3,A3)</f>
        <v>0.02857517251</v>
      </c>
      <c r="G66" s="124">
        <f t="shared" ref="G66:H66" si="4">SUM(G6:G63)</f>
        <v>5750</v>
      </c>
      <c r="H66" s="125">
        <f t="shared" si="4"/>
        <v>12936</v>
      </c>
      <c r="I66" s="126"/>
      <c r="J66" s="28"/>
      <c r="K66" s="28"/>
      <c r="L66" s="120">
        <f>SUM(L6:L65, V65)</f>
        <v>311178</v>
      </c>
      <c r="M66" s="120">
        <f>SUM(M6:M65)</f>
        <v>8802</v>
      </c>
    </row>
    <row r="67">
      <c r="A67" s="128"/>
      <c r="B67" s="129" t="s">
        <v>6</v>
      </c>
      <c r="C67" s="129" t="s">
        <v>9</v>
      </c>
      <c r="D67" s="129" t="s">
        <v>10</v>
      </c>
      <c r="E67" s="130" t="s">
        <v>11</v>
      </c>
      <c r="F67" s="130" t="s">
        <v>179</v>
      </c>
      <c r="G67" s="130" t="s">
        <v>13</v>
      </c>
      <c r="H67" s="130" t="s">
        <v>14</v>
      </c>
      <c r="I67" s="129" t="s">
        <v>15</v>
      </c>
      <c r="J67" s="2"/>
      <c r="K67" s="2"/>
      <c r="L67" s="129" t="s">
        <v>6</v>
      </c>
      <c r="M67" s="129" t="s">
        <v>10</v>
      </c>
    </row>
    <row r="68">
      <c r="A68" s="84"/>
      <c r="B68" s="85"/>
      <c r="C68" s="85"/>
      <c r="D68" s="85"/>
      <c r="E68" s="85"/>
      <c r="F68" s="85"/>
      <c r="G68" s="85"/>
      <c r="H68" s="85"/>
      <c r="I68" s="87"/>
      <c r="J68" s="2"/>
      <c r="K68" s="2"/>
      <c r="L68" s="85"/>
      <c r="M68" s="85"/>
    </row>
  </sheetData>
  <mergeCells count="2">
    <mergeCell ref="A1:H1"/>
    <mergeCell ref="E2:G2"/>
  </mergeCells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0"/>
    <col customWidth="1" min="2" max="2" width="11.14"/>
    <col customWidth="1" min="3" max="3" width="9.43"/>
    <col customWidth="1" min="4" max="4" width="9.0"/>
    <col customWidth="1" min="5" max="5" width="8.43"/>
    <col customWidth="1" min="6" max="7" width="9.71"/>
    <col customWidth="1" min="8" max="8" width="12.43"/>
    <col customWidth="1" min="9" max="9" width="11.29"/>
    <col customWidth="1" min="10" max="10" width="0.86"/>
    <col customWidth="1" min="12" max="12" width="11.14"/>
    <col customWidth="1" min="13" max="13" width="9.0"/>
  </cols>
  <sheetData>
    <row r="1" ht="12.75" customHeight="1">
      <c r="A1" s="1"/>
      <c r="J1" s="5"/>
      <c r="K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4" t="s">
        <v>1</v>
      </c>
      <c r="B2" s="4" t="s">
        <v>2</v>
      </c>
      <c r="C2" s="6" t="s">
        <v>3</v>
      </c>
      <c r="D2" s="4"/>
      <c r="E2" s="8" t="s">
        <v>4</v>
      </c>
      <c r="I2" s="9"/>
      <c r="J2" s="2"/>
      <c r="K2" s="2"/>
      <c r="L2" s="4" t="s">
        <v>2</v>
      </c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13">
        <f>SUM(B17, B18)</f>
        <v>5687</v>
      </c>
      <c r="B3" s="13">
        <f>SUM(D17, D18)</f>
        <v>35</v>
      </c>
      <c r="C3" s="14">
        <f>SUM(H17, H18)</f>
        <v>757</v>
      </c>
      <c r="D3" s="13"/>
      <c r="E3" s="16">
        <f>MINUS(A3,B3 + C3)</f>
        <v>4895</v>
      </c>
      <c r="F3" s="16"/>
      <c r="G3" s="16"/>
      <c r="H3" s="6"/>
      <c r="I3" s="9"/>
      <c r="J3" s="2"/>
      <c r="K3" s="2"/>
      <c r="L3" s="13">
        <f>SUM(N17, N18)</f>
        <v>0</v>
      </c>
      <c r="M3" s="13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7"/>
      <c r="B4" s="9"/>
      <c r="C4" s="9"/>
      <c r="D4" s="9"/>
      <c r="E4" s="9"/>
      <c r="F4" s="7"/>
      <c r="G4" s="7"/>
      <c r="H4" s="7"/>
      <c r="I4" s="9"/>
      <c r="J4" s="2"/>
      <c r="K4" s="2"/>
      <c r="L4" s="9"/>
      <c r="M4" s="9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30.0" customHeight="1">
      <c r="A5" s="20" t="s">
        <v>8</v>
      </c>
      <c r="B5" s="21" t="s">
        <v>6</v>
      </c>
      <c r="C5" s="23" t="s">
        <v>9</v>
      </c>
      <c r="D5" s="21" t="s">
        <v>10</v>
      </c>
      <c r="E5" s="25" t="s">
        <v>11</v>
      </c>
      <c r="F5" s="25" t="s">
        <v>12</v>
      </c>
      <c r="G5" s="26" t="s">
        <v>13</v>
      </c>
      <c r="H5" s="26" t="s">
        <v>14</v>
      </c>
      <c r="I5" s="21" t="s">
        <v>15</v>
      </c>
      <c r="J5" s="28"/>
      <c r="K5" s="28"/>
      <c r="L5" s="21" t="s">
        <v>6</v>
      </c>
      <c r="M5" s="21" t="s">
        <v>10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ht="30.0" customHeight="1">
      <c r="A6" s="35" t="s">
        <v>17</v>
      </c>
      <c r="B6" s="37">
        <v>2580.0</v>
      </c>
      <c r="C6" s="38">
        <f t="shared" ref="C6:C15" si="1">MINUS(B6,L6)</f>
        <v>87</v>
      </c>
      <c r="D6" s="37">
        <v>16.0</v>
      </c>
      <c r="E6" s="40">
        <f t="shared" ref="E6:E13" si="2">MINUS(D6,M6)</f>
        <v>4</v>
      </c>
      <c r="F6" s="42">
        <f t="shared" ref="F6:F13" si="3">DIVIDE(D6, B6)</f>
        <v>0.006201550388</v>
      </c>
      <c r="G6" s="43">
        <v>39.0</v>
      </c>
      <c r="H6" s="46">
        <v>4.0</v>
      </c>
      <c r="I6" s="48" t="str">
        <f>HYPERLINK("https://www.health.nsw.gov.au/news/Pages/20200405_00.aspx","Source")</f>
        <v>Source</v>
      </c>
      <c r="J6" s="50"/>
      <c r="K6" s="28"/>
      <c r="L6" s="37">
        <v>2493.0</v>
      </c>
      <c r="M6" s="37">
        <v>12.0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ht="30.0" customHeight="1">
      <c r="A7" s="35" t="s">
        <v>20</v>
      </c>
      <c r="B7" s="37">
        <v>1135.0</v>
      </c>
      <c r="C7" s="38">
        <f t="shared" si="1"/>
        <v>20</v>
      </c>
      <c r="D7" s="53">
        <v>8.0</v>
      </c>
      <c r="E7" s="55">
        <f t="shared" si="2"/>
        <v>0</v>
      </c>
      <c r="F7" s="57">
        <f t="shared" si="3"/>
        <v>0.00704845815</v>
      </c>
      <c r="G7" s="46">
        <v>11.0</v>
      </c>
      <c r="H7" s="46">
        <v>573.0</v>
      </c>
      <c r="I7" s="48" t="str">
        <f>HYPERLINK("https://www.dhhs.vic.gov.au/coronavirus-update-victoria-5-april-2020","Source")</f>
        <v>Source</v>
      </c>
      <c r="J7" s="50"/>
      <c r="K7" s="28"/>
      <c r="L7" s="37">
        <v>1115.0</v>
      </c>
      <c r="M7" s="53">
        <v>8.0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</row>
    <row r="8" ht="30.0" customHeight="1">
      <c r="A8" s="32" t="s">
        <v>22</v>
      </c>
      <c r="B8" s="34">
        <v>907.0</v>
      </c>
      <c r="C8" s="38">
        <f t="shared" si="1"/>
        <v>7</v>
      </c>
      <c r="D8" s="62">
        <v>4.0</v>
      </c>
      <c r="E8" s="55">
        <f t="shared" si="2"/>
        <v>0</v>
      </c>
      <c r="F8" s="42">
        <f t="shared" si="3"/>
        <v>0.00441014333</v>
      </c>
      <c r="G8" s="46" t="s">
        <v>23</v>
      </c>
      <c r="H8" s="65">
        <v>8.0</v>
      </c>
      <c r="I8" s="47" t="str">
        <f>HYPERLINK("https://www.health.qld.gov.au/news-events/doh-media-releases/releases/queensland-novel-coronavirus-covid-19-update22","Source")</f>
        <v>Source</v>
      </c>
      <c r="J8" s="50"/>
      <c r="K8" s="28"/>
      <c r="L8" s="34">
        <v>900.0</v>
      </c>
      <c r="M8" s="62">
        <v>4.0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ht="30.0" customHeight="1">
      <c r="A9" s="35" t="s">
        <v>26</v>
      </c>
      <c r="B9" s="37">
        <v>453.0</v>
      </c>
      <c r="C9" s="38">
        <f t="shared" si="1"/>
        <v>17</v>
      </c>
      <c r="D9" s="53">
        <v>3.0</v>
      </c>
      <c r="E9" s="55">
        <f t="shared" si="2"/>
        <v>1</v>
      </c>
      <c r="F9" s="42">
        <f t="shared" si="3"/>
        <v>0.006622516556</v>
      </c>
      <c r="G9" s="46">
        <v>18.0</v>
      </c>
      <c r="H9" s="46">
        <v>92.0</v>
      </c>
      <c r="I9" s="48" t="str">
        <f>HYPERLINK("https://7news.com.au/lifestyle/health-wellbeing/coronavirus-in-australia-western-australia-records-17-more-cases-of-covid-19-c-957380","Source")</f>
        <v>Source</v>
      </c>
      <c r="J9" s="50"/>
      <c r="K9" s="28"/>
      <c r="L9" s="37">
        <v>436.0</v>
      </c>
      <c r="M9" s="53">
        <v>2.0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ht="30.0" customHeight="1">
      <c r="A10" s="35" t="s">
        <v>28</v>
      </c>
      <c r="B10" s="37">
        <v>407.0</v>
      </c>
      <c r="C10" s="38">
        <f t="shared" si="1"/>
        <v>0</v>
      </c>
      <c r="D10" s="53">
        <v>0.0</v>
      </c>
      <c r="E10" s="55">
        <f t="shared" si="2"/>
        <v>0</v>
      </c>
      <c r="F10" s="57">
        <f t="shared" si="3"/>
        <v>0</v>
      </c>
      <c r="G10" s="46">
        <v>8.0</v>
      </c>
      <c r="H10" s="46">
        <v>46.0</v>
      </c>
      <c r="I10" s="48" t="str">
        <f>HYPERLINK("https://www.sahealth.sa.gov.au/wps/wcm/connect/public+content/sa+health+internet/health+topics/health+topics+a+-+z/covid+2019/latest+updates/confirmed+and+suspected+cases+of+covid-19+in+south+australia","Source")</f>
        <v>Source</v>
      </c>
      <c r="J10" s="50"/>
      <c r="K10" s="28"/>
      <c r="L10" s="37">
        <v>407.0</v>
      </c>
      <c r="M10" s="53">
        <v>0.0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ht="30.0" customHeight="1">
      <c r="A11" s="35" t="s">
        <v>32</v>
      </c>
      <c r="B11" s="37">
        <v>96.0</v>
      </c>
      <c r="C11" s="38">
        <f t="shared" si="1"/>
        <v>3</v>
      </c>
      <c r="D11" s="53">
        <v>2.0</v>
      </c>
      <c r="E11" s="55">
        <f t="shared" si="2"/>
        <v>0</v>
      </c>
      <c r="F11" s="57">
        <f t="shared" si="3"/>
        <v>0.02083333333</v>
      </c>
      <c r="G11" s="46" t="s">
        <v>23</v>
      </c>
      <c r="H11" s="46">
        <v>28.0</v>
      </c>
      <c r="I11" s="48" t="str">
        <f>HYPERLINK("https://www.covid19.act.gov.au/news-articles/covid-19-update-5-april-2020","Source")</f>
        <v>Source</v>
      </c>
      <c r="J11" s="50"/>
      <c r="K11" s="28"/>
      <c r="L11" s="37">
        <v>93.0</v>
      </c>
      <c r="M11" s="53">
        <v>2.0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ht="30.0" customHeight="1">
      <c r="A12" s="35" t="s">
        <v>35</v>
      </c>
      <c r="B12" s="37">
        <v>82.0</v>
      </c>
      <c r="C12" s="38">
        <f t="shared" si="1"/>
        <v>2</v>
      </c>
      <c r="D12" s="53">
        <v>2.0</v>
      </c>
      <c r="E12" s="55">
        <f t="shared" si="2"/>
        <v>0</v>
      </c>
      <c r="F12" s="42">
        <f t="shared" si="3"/>
        <v>0.0243902439</v>
      </c>
      <c r="G12" s="46" t="s">
        <v>23</v>
      </c>
      <c r="H12" s="46">
        <v>5.0</v>
      </c>
      <c r="I12" s="48" t="str">
        <f>HYPERLINK("https://www.dhhs.tas.gov.au/news/2020/coronavirus_update_4_april_2020","Source")</f>
        <v>Source</v>
      </c>
      <c r="J12" s="50"/>
      <c r="K12" s="28"/>
      <c r="L12" s="37">
        <v>80.0</v>
      </c>
      <c r="M12" s="53">
        <v>2.0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ht="30.0" customHeight="1">
      <c r="A13" s="35" t="s">
        <v>38</v>
      </c>
      <c r="B13" s="37">
        <v>27.0</v>
      </c>
      <c r="C13" s="38">
        <f t="shared" si="1"/>
        <v>1</v>
      </c>
      <c r="D13" s="53">
        <v>0.0</v>
      </c>
      <c r="E13" s="55">
        <f t="shared" si="2"/>
        <v>0</v>
      </c>
      <c r="F13" s="57">
        <f t="shared" si="3"/>
        <v>0</v>
      </c>
      <c r="G13" s="46" t="s">
        <v>23</v>
      </c>
      <c r="H13" s="46">
        <v>1.0</v>
      </c>
      <c r="I13" s="48" t="str">
        <f>HYPERLINK("http://mediareleases.nt.gov.au/mediaRelease/32154","Source")</f>
        <v>Source</v>
      </c>
      <c r="J13" s="50"/>
      <c r="K13" s="28"/>
      <c r="L13" s="37">
        <v>26.0</v>
      </c>
      <c r="M13" s="53">
        <v>0.0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 ht="30.0" customHeight="1">
      <c r="A14" s="35" t="s">
        <v>41</v>
      </c>
      <c r="B14" s="37">
        <v>0.0</v>
      </c>
      <c r="C14" s="38">
        <f t="shared" si="1"/>
        <v>0</v>
      </c>
      <c r="D14" s="53">
        <v>0.0</v>
      </c>
      <c r="E14" s="40">
        <f t="shared" ref="E14:E15" si="4">MINUS(D14,L14)</f>
        <v>0</v>
      </c>
      <c r="F14" s="72" t="s">
        <v>42</v>
      </c>
      <c r="G14" s="46">
        <v>0.0</v>
      </c>
      <c r="H14" s="46">
        <v>0.0</v>
      </c>
      <c r="I14" s="73"/>
      <c r="J14" s="28"/>
      <c r="K14" s="28"/>
      <c r="L14" s="37">
        <v>0.0</v>
      </c>
      <c r="M14" s="53">
        <v>0.0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ht="30.0" customHeight="1">
      <c r="A15" s="35" t="s">
        <v>45</v>
      </c>
      <c r="B15" s="37">
        <v>0.0</v>
      </c>
      <c r="C15" s="38">
        <f t="shared" si="1"/>
        <v>0</v>
      </c>
      <c r="D15" s="53">
        <v>0.0</v>
      </c>
      <c r="E15" s="40">
        <f t="shared" si="4"/>
        <v>0</v>
      </c>
      <c r="F15" s="74" t="s">
        <v>42</v>
      </c>
      <c r="G15" s="46">
        <v>0.0</v>
      </c>
      <c r="H15" s="46">
        <v>0.0</v>
      </c>
      <c r="I15" s="73"/>
      <c r="J15" s="28"/>
      <c r="K15" s="28"/>
      <c r="L15" s="37">
        <v>0.0</v>
      </c>
      <c r="M15" s="53">
        <v>0.0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</row>
    <row r="16" ht="12.75" customHeight="1">
      <c r="A16" s="76"/>
      <c r="B16" s="77"/>
      <c r="C16" s="76"/>
      <c r="D16" s="78"/>
      <c r="E16" s="76"/>
      <c r="F16" s="79"/>
      <c r="G16" s="79"/>
      <c r="H16" s="79"/>
      <c r="I16" s="80"/>
      <c r="J16" s="28"/>
      <c r="K16" s="28"/>
      <c r="L16" s="77"/>
      <c r="M16" s="78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</row>
    <row r="17" ht="30.0" customHeight="1">
      <c r="A17" s="81" t="s">
        <v>51</v>
      </c>
      <c r="B17" s="82">
        <f>SUM(B6:B15)</f>
        <v>5687</v>
      </c>
      <c r="C17" s="38">
        <f>MINUS(B17,L17)</f>
        <v>137</v>
      </c>
      <c r="D17" s="82">
        <f>SUM(D6:D15)</f>
        <v>35</v>
      </c>
      <c r="E17" s="40">
        <f>MINUS(D17,M17)</f>
        <v>5</v>
      </c>
      <c r="F17" s="42">
        <f>DIVIDE(D17, B17)</f>
        <v>0.006154387199</v>
      </c>
      <c r="G17" s="82">
        <f t="shared" ref="G17:H17" si="5">SUM(G6:G15)</f>
        <v>76</v>
      </c>
      <c r="H17" s="82">
        <f t="shared" si="5"/>
        <v>757</v>
      </c>
      <c r="I17" s="83"/>
      <c r="J17" s="28"/>
      <c r="K17" s="28"/>
      <c r="L17" s="82">
        <f t="shared" ref="L17:M17" si="6">SUM(L6:L15)</f>
        <v>5550</v>
      </c>
      <c r="M17" s="82">
        <f t="shared" si="6"/>
        <v>30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>
      <c r="A18" s="84"/>
      <c r="B18" s="85"/>
      <c r="C18" s="85"/>
      <c r="D18" s="85"/>
      <c r="E18" s="85"/>
      <c r="F18" s="86"/>
      <c r="G18" s="86"/>
      <c r="H18" s="85"/>
      <c r="I18" s="87"/>
      <c r="J18" s="2"/>
      <c r="K18" s="2"/>
      <c r="L18" s="85"/>
      <c r="M18" s="8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88"/>
      <c r="B19" s="89"/>
      <c r="C19" s="89"/>
      <c r="D19" s="10"/>
      <c r="E19" s="10"/>
      <c r="F19" s="10"/>
      <c r="G19" s="10"/>
      <c r="H19" s="10"/>
      <c r="I19" s="5"/>
      <c r="J19" s="2"/>
      <c r="K19" s="2"/>
      <c r="L19" s="89"/>
      <c r="M19" s="10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90"/>
      <c r="B20" s="10"/>
      <c r="C20" s="10"/>
      <c r="D20" s="10"/>
      <c r="E20" s="10"/>
      <c r="F20" s="10"/>
      <c r="G20" s="10"/>
      <c r="H20" s="10"/>
      <c r="I20" s="5"/>
      <c r="J20" s="5"/>
      <c r="K20" s="5"/>
      <c r="L20" s="10"/>
      <c r="M20" s="10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90"/>
      <c r="B21" s="10"/>
      <c r="C21" s="10"/>
      <c r="D21" s="10"/>
      <c r="E21" s="10"/>
      <c r="F21" s="10"/>
      <c r="G21" s="10"/>
      <c r="H21" s="10"/>
      <c r="I21" s="5"/>
      <c r="J21" s="5"/>
      <c r="K21" s="5"/>
      <c r="L21" s="10"/>
      <c r="M21" s="10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0.57"/>
    <col customWidth="1" min="2" max="2" width="10.86"/>
    <col customWidth="1" min="3" max="3" width="9.43"/>
    <col customWidth="1" min="4" max="5" width="8.43"/>
    <col customWidth="1" min="6" max="7" width="9.71"/>
    <col customWidth="1" min="8" max="8" width="12.43"/>
    <col customWidth="1" min="9" max="9" width="11.29"/>
    <col customWidth="1" min="10" max="10" width="0.71"/>
    <col customWidth="1" min="12" max="12" width="10.86"/>
    <col customWidth="1" min="13" max="13" width="8.43"/>
  </cols>
  <sheetData>
    <row r="1" ht="12.75" customHeight="1">
      <c r="A1" s="1"/>
      <c r="J1" s="5"/>
      <c r="K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4" t="s">
        <v>1</v>
      </c>
      <c r="B2" s="4" t="s">
        <v>2</v>
      </c>
      <c r="C2" s="6" t="s">
        <v>3</v>
      </c>
      <c r="D2" s="4"/>
      <c r="E2" s="8" t="s">
        <v>4</v>
      </c>
      <c r="I2" s="9"/>
      <c r="J2" s="2"/>
      <c r="K2" s="5"/>
      <c r="L2" s="4" t="s">
        <v>2</v>
      </c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3">
        <f>SUM(B20, B21)</f>
        <v>15512</v>
      </c>
      <c r="B3" s="13">
        <f>SUM(D20, D21)</f>
        <v>280</v>
      </c>
      <c r="C3" s="14">
        <f>SUM(H20, H21)</f>
        <v>2859</v>
      </c>
      <c r="D3" s="13"/>
      <c r="E3" s="16">
        <f>MINUS(A3,B3 + C3)</f>
        <v>12373</v>
      </c>
      <c r="F3" s="16"/>
      <c r="G3" s="16"/>
      <c r="H3" s="6"/>
      <c r="I3" s="9"/>
      <c r="J3" s="2"/>
      <c r="K3" s="5"/>
      <c r="L3" s="13">
        <f>SUM(N20, N21)</f>
        <v>0</v>
      </c>
      <c r="M3" s="1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7"/>
      <c r="B4" s="9"/>
      <c r="C4" s="9"/>
      <c r="D4" s="9"/>
      <c r="E4" s="9"/>
      <c r="F4" s="7"/>
      <c r="G4" s="7"/>
      <c r="H4" s="7"/>
      <c r="I4" s="9"/>
      <c r="J4" s="2"/>
      <c r="K4" s="5"/>
      <c r="L4" s="9"/>
      <c r="M4" s="9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0.0" customHeight="1">
      <c r="A5" s="20" t="s">
        <v>73</v>
      </c>
      <c r="B5" s="21" t="s">
        <v>6</v>
      </c>
      <c r="C5" s="23" t="s">
        <v>9</v>
      </c>
      <c r="D5" s="21" t="s">
        <v>10</v>
      </c>
      <c r="E5" s="25" t="s">
        <v>11</v>
      </c>
      <c r="F5" s="25" t="s">
        <v>12</v>
      </c>
      <c r="G5" s="26" t="s">
        <v>13</v>
      </c>
      <c r="H5" s="26" t="s">
        <v>14</v>
      </c>
      <c r="I5" s="21" t="s">
        <v>15</v>
      </c>
      <c r="J5" s="28"/>
      <c r="K5" s="28"/>
      <c r="L5" s="21" t="s">
        <v>6</v>
      </c>
      <c r="M5" s="21" t="s">
        <v>10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30.0" customHeight="1">
      <c r="A6" s="35" t="s">
        <v>76</v>
      </c>
      <c r="B6" s="37">
        <v>7944.0</v>
      </c>
      <c r="C6" s="38">
        <f t="shared" ref="C6:C20" si="1">MINUS(B6,L6)</f>
        <v>947</v>
      </c>
      <c r="D6" s="53">
        <v>94.0</v>
      </c>
      <c r="E6" s="55">
        <f t="shared" ref="E6:E20" si="2">MINUS(D6,M6)</f>
        <v>19</v>
      </c>
      <c r="F6" s="42">
        <f t="shared" ref="F6:F18" si="3">DIVIDE(D6, B6)</f>
        <v>0.01183282981</v>
      </c>
      <c r="G6" s="46" t="s">
        <v>23</v>
      </c>
      <c r="H6" s="46">
        <v>306.0</v>
      </c>
      <c r="I6" s="48" t="str">
        <f>HYPERLINK("https://twitter.com/sante_qc/status/1246846401721532417","Source")</f>
        <v>Source</v>
      </c>
      <c r="J6" s="68"/>
      <c r="K6" s="28"/>
      <c r="L6" s="37">
        <v>6997.0</v>
      </c>
      <c r="M6" s="53">
        <v>75.0</v>
      </c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30.0" customHeight="1">
      <c r="A7" s="32" t="s">
        <v>81</v>
      </c>
      <c r="B7" s="34">
        <v>4038.0</v>
      </c>
      <c r="C7" s="38">
        <f t="shared" si="1"/>
        <v>408</v>
      </c>
      <c r="D7" s="62">
        <v>119.0</v>
      </c>
      <c r="E7" s="55">
        <f t="shared" si="2"/>
        <v>25</v>
      </c>
      <c r="F7" s="61">
        <f t="shared" si="3"/>
        <v>0.02947003467</v>
      </c>
      <c r="G7" s="46" t="s">
        <v>23</v>
      </c>
      <c r="H7" s="44">
        <v>1449.0</v>
      </c>
      <c r="I7" s="47" t="str">
        <f>HYPERLINK("https://www.ontario.ca/page/2019-novel-coronavirus","Source")</f>
        <v>Source</v>
      </c>
      <c r="J7" s="68"/>
      <c r="K7" s="28"/>
      <c r="L7" s="34">
        <v>3630.0</v>
      </c>
      <c r="M7" s="62">
        <v>94.0</v>
      </c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30.0" customHeight="1">
      <c r="A8" s="35" t="s">
        <v>84</v>
      </c>
      <c r="B8" s="37">
        <v>1250.0</v>
      </c>
      <c r="C8" s="38">
        <f t="shared" si="1"/>
        <v>69</v>
      </c>
      <c r="D8" s="53">
        <v>23.0</v>
      </c>
      <c r="E8" s="55">
        <f t="shared" si="2"/>
        <v>3</v>
      </c>
      <c r="F8" s="61">
        <f t="shared" si="3"/>
        <v>0.0184</v>
      </c>
      <c r="G8" s="46">
        <v>14.0</v>
      </c>
      <c r="H8" s="46">
        <v>196.0</v>
      </c>
      <c r="I8" s="48" t="str">
        <f>HYPERLINK("https://www.alberta.ca/coronavirus-info-for-albertans.aspx","Source")</f>
        <v>Source</v>
      </c>
      <c r="J8" s="68"/>
      <c r="K8" s="28"/>
      <c r="L8" s="37">
        <v>1181.0</v>
      </c>
      <c r="M8" s="53">
        <v>20.0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30.0" customHeight="1">
      <c r="A9" s="35" t="s">
        <v>87</v>
      </c>
      <c r="B9" s="37">
        <v>1203.0</v>
      </c>
      <c r="C9" s="38">
        <f t="shared" si="1"/>
        <v>0</v>
      </c>
      <c r="D9" s="37">
        <v>38.0</v>
      </c>
      <c r="E9" s="40">
        <f t="shared" si="2"/>
        <v>0</v>
      </c>
      <c r="F9" s="42">
        <f t="shared" si="3"/>
        <v>0.03158769742</v>
      </c>
      <c r="G9" s="43">
        <v>60.0</v>
      </c>
      <c r="H9" s="46">
        <v>704.0</v>
      </c>
      <c r="I9" s="48" t="str">
        <f>HYPERLINK("http://www.bccdc.ca/about/news-stories/stories/2020/information-on-novel-coronavirus","Source")</f>
        <v>Source</v>
      </c>
      <c r="J9" s="28"/>
      <c r="K9" s="28"/>
      <c r="L9" s="37">
        <v>1203.0</v>
      </c>
      <c r="M9" s="37">
        <v>38.0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30.0" customHeight="1">
      <c r="A10" s="35" t="s">
        <v>91</v>
      </c>
      <c r="B10" s="37">
        <v>249.0</v>
      </c>
      <c r="C10" s="38">
        <f t="shared" si="1"/>
        <v>18</v>
      </c>
      <c r="D10" s="53">
        <v>3.0</v>
      </c>
      <c r="E10" s="55">
        <f t="shared" si="2"/>
        <v>0</v>
      </c>
      <c r="F10" s="42">
        <f t="shared" si="3"/>
        <v>0.01204819277</v>
      </c>
      <c r="G10" s="46">
        <v>4.0</v>
      </c>
      <c r="H10" s="46">
        <v>67.0</v>
      </c>
      <c r="I10" s="48" t="str">
        <f>HYPERLINK("https://www.saskatchewan.ca/government/health-care-administration-and-provider-resources/treatment-procedures-and-guidelines/emerging-public-health-issues/2019-novel-coronavirus/cases-and-risk-of-covid-19-in-saskatchewan","Source")</f>
        <v>Source</v>
      </c>
      <c r="J10" s="68"/>
      <c r="K10" s="28"/>
      <c r="L10" s="37">
        <v>231.0</v>
      </c>
      <c r="M10" s="53">
        <v>3.0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30.0" customHeight="1">
      <c r="A11" s="35" t="s">
        <v>94</v>
      </c>
      <c r="B11" s="37">
        <v>262.0</v>
      </c>
      <c r="C11" s="38">
        <f t="shared" si="1"/>
        <v>26</v>
      </c>
      <c r="D11" s="53">
        <v>0.0</v>
      </c>
      <c r="E11" s="55">
        <f t="shared" si="2"/>
        <v>0</v>
      </c>
      <c r="F11" s="42">
        <f t="shared" si="3"/>
        <v>0</v>
      </c>
      <c r="G11" s="46" t="s">
        <v>23</v>
      </c>
      <c r="H11" s="46">
        <v>53.0</v>
      </c>
      <c r="I11" s="48" t="str">
        <f>HYPERLINK("https://novascotia.ca/coronavirus/#alerts","Source")</f>
        <v>Source</v>
      </c>
      <c r="J11" s="28"/>
      <c r="K11" s="28"/>
      <c r="L11" s="37">
        <v>236.0</v>
      </c>
      <c r="M11" s="53">
        <v>0.0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30.0" customHeight="1">
      <c r="A12" s="35" t="s">
        <v>98</v>
      </c>
      <c r="B12" s="37">
        <v>217.0</v>
      </c>
      <c r="C12" s="38">
        <f t="shared" si="1"/>
        <v>14</v>
      </c>
      <c r="D12" s="53">
        <v>1.0</v>
      </c>
      <c r="E12" s="55">
        <f t="shared" si="2"/>
        <v>0</v>
      </c>
      <c r="F12" s="61">
        <f t="shared" si="3"/>
        <v>0.004608294931</v>
      </c>
      <c r="G12" s="46">
        <v>4.0</v>
      </c>
      <c r="H12" s="46">
        <v>28.0</v>
      </c>
      <c r="I12" s="48" t="str">
        <f>HYPERLINK("https://www.gov.nl.ca/covid-19/pandemic-update/","Source")</f>
        <v>Source</v>
      </c>
      <c r="J12" s="28"/>
      <c r="K12" s="94"/>
      <c r="L12" s="37">
        <v>203.0</v>
      </c>
      <c r="M12" s="53">
        <v>1.0</v>
      </c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30.0" customHeight="1">
      <c r="A13" s="35" t="s">
        <v>101</v>
      </c>
      <c r="B13" s="37">
        <v>203.0</v>
      </c>
      <c r="C13" s="38">
        <f t="shared" si="1"/>
        <v>21</v>
      </c>
      <c r="D13" s="53">
        <v>2.0</v>
      </c>
      <c r="E13" s="55">
        <f t="shared" si="2"/>
        <v>0</v>
      </c>
      <c r="F13" s="42">
        <f t="shared" si="3"/>
        <v>0.009852216749</v>
      </c>
      <c r="G13" s="46">
        <v>7.0</v>
      </c>
      <c r="H13" s="46">
        <v>17.0</v>
      </c>
      <c r="I13" s="48" t="str">
        <f>HYPERLINK("https://news.gov.mb.ca/news/?archive=&amp;item=47385","Source")</f>
        <v>Source</v>
      </c>
      <c r="J13" s="28"/>
      <c r="K13" s="28"/>
      <c r="L13" s="37">
        <v>182.0</v>
      </c>
      <c r="M13" s="53">
        <v>2.0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30.0" customHeight="1">
      <c r="A14" s="35" t="s">
        <v>106</v>
      </c>
      <c r="B14" s="37">
        <v>101.0</v>
      </c>
      <c r="C14" s="38">
        <f t="shared" si="1"/>
        <v>6</v>
      </c>
      <c r="D14" s="53">
        <v>0.0</v>
      </c>
      <c r="E14" s="55">
        <f t="shared" si="2"/>
        <v>0</v>
      </c>
      <c r="F14" s="61">
        <f t="shared" si="3"/>
        <v>0</v>
      </c>
      <c r="G14" s="46" t="s">
        <v>23</v>
      </c>
      <c r="H14" s="46">
        <v>28.0</v>
      </c>
      <c r="I14" s="48" t="str">
        <f>HYPERLINK("https://www2.gnb.ca/content/gnb/en/departments/ocmoh/cdc/content/respiratory_diseases/coronavirus.html","Source")</f>
        <v>Source</v>
      </c>
      <c r="J14" s="28"/>
      <c r="K14" s="28"/>
      <c r="L14" s="37">
        <v>95.0</v>
      </c>
      <c r="M14" s="53">
        <v>0.0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30.0" customHeight="1">
      <c r="A15" s="35" t="s">
        <v>110</v>
      </c>
      <c r="B15" s="37">
        <v>22.0</v>
      </c>
      <c r="C15" s="38">
        <f t="shared" si="1"/>
        <v>0</v>
      </c>
      <c r="D15" s="53">
        <v>0.0</v>
      </c>
      <c r="E15" s="55">
        <f t="shared" si="2"/>
        <v>0</v>
      </c>
      <c r="F15" s="42">
        <f t="shared" si="3"/>
        <v>0</v>
      </c>
      <c r="G15" s="46" t="s">
        <v>23</v>
      </c>
      <c r="H15" s="46">
        <v>6.0</v>
      </c>
      <c r="I15" s="48" t="str">
        <f>HYPERLINK("https://www.princeedwardisland.ca/en/topic/covid-19","Source")</f>
        <v>Source</v>
      </c>
      <c r="J15" s="28"/>
      <c r="K15" s="28"/>
      <c r="L15" s="37">
        <v>22.0</v>
      </c>
      <c r="M15" s="53">
        <v>0.0</v>
      </c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30.0" customHeight="1">
      <c r="A16" s="35" t="s">
        <v>113</v>
      </c>
      <c r="B16" s="37">
        <v>13.0</v>
      </c>
      <c r="C16" s="38">
        <f t="shared" si="1"/>
        <v>0</v>
      </c>
      <c r="D16" s="53">
        <v>0.0</v>
      </c>
      <c r="E16" s="55">
        <f t="shared" si="2"/>
        <v>0</v>
      </c>
      <c r="F16" s="61">
        <f t="shared" si="3"/>
        <v>0</v>
      </c>
      <c r="G16" s="46" t="s">
        <v>23</v>
      </c>
      <c r="H16" s="46" t="s">
        <v>23</v>
      </c>
      <c r="I16" s="48" t="str">
        <f>HYPERLINK("https://www.canada.ca/en/public-health/services/diseases/2019-novel-coronavirus-infection.html#a1","Source")</f>
        <v>Source</v>
      </c>
      <c r="J16" s="28"/>
      <c r="K16" s="28"/>
      <c r="L16" s="37">
        <v>13.0</v>
      </c>
      <c r="M16" s="53">
        <v>0.0</v>
      </c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30.0" customHeight="1">
      <c r="A17" s="35" t="s">
        <v>117</v>
      </c>
      <c r="B17" s="37">
        <v>6.0</v>
      </c>
      <c r="C17" s="38">
        <f t="shared" si="1"/>
        <v>0</v>
      </c>
      <c r="D17" s="53">
        <v>0.0</v>
      </c>
      <c r="E17" s="55">
        <f t="shared" si="2"/>
        <v>0</v>
      </c>
      <c r="F17" s="61">
        <f t="shared" si="3"/>
        <v>0</v>
      </c>
      <c r="G17" s="46" t="s">
        <v>23</v>
      </c>
      <c r="H17" s="46">
        <v>4.0</v>
      </c>
      <c r="I17" s="48" t="str">
        <f>HYPERLINK("https://yukon.ca/covid-19","Source")</f>
        <v>Source</v>
      </c>
      <c r="J17" s="28"/>
      <c r="K17" s="28"/>
      <c r="L17" s="37">
        <v>6.0</v>
      </c>
      <c r="M17" s="53">
        <v>0.0</v>
      </c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30.0" customHeight="1">
      <c r="A18" s="35" t="s">
        <v>121</v>
      </c>
      <c r="B18" s="37">
        <v>4.0</v>
      </c>
      <c r="C18" s="38">
        <f t="shared" si="1"/>
        <v>0</v>
      </c>
      <c r="D18" s="53">
        <v>0.0</v>
      </c>
      <c r="E18" s="55">
        <f t="shared" si="2"/>
        <v>0</v>
      </c>
      <c r="F18" s="42">
        <f t="shared" si="3"/>
        <v>0</v>
      </c>
      <c r="G18" s="46" t="s">
        <v>23</v>
      </c>
      <c r="H18" s="46">
        <v>1.0</v>
      </c>
      <c r="I18" s="48" t="str">
        <f>HYPERLINK("https://www.cbc.ca/news/canada/north/nwt-first-case-covid19-1.5505701","Source")</f>
        <v>Source</v>
      </c>
      <c r="J18" s="28"/>
      <c r="K18" s="28"/>
      <c r="L18" s="37">
        <v>4.0</v>
      </c>
      <c r="M18" s="53">
        <v>0.0</v>
      </c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30.0" customHeight="1">
      <c r="A19" s="35" t="s">
        <v>123</v>
      </c>
      <c r="B19" s="37">
        <v>0.0</v>
      </c>
      <c r="C19" s="38">
        <f t="shared" si="1"/>
        <v>0</v>
      </c>
      <c r="D19" s="53">
        <v>0.0</v>
      </c>
      <c r="E19" s="55">
        <f t="shared" si="2"/>
        <v>0</v>
      </c>
      <c r="F19" s="95" t="s">
        <v>42</v>
      </c>
      <c r="G19" s="46" t="s">
        <v>42</v>
      </c>
      <c r="H19" s="46" t="s">
        <v>42</v>
      </c>
      <c r="I19" s="48" t="str">
        <f>HYPERLINK("https://www.gov.nu.ca/health/information/covid-19-novel-coronavirus","Source")</f>
        <v>Source</v>
      </c>
      <c r="J19" s="28"/>
      <c r="K19" s="28"/>
      <c r="L19" s="37">
        <v>0.0</v>
      </c>
      <c r="M19" s="53">
        <v>0.0</v>
      </c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30.0" customHeight="1">
      <c r="A20" s="81" t="s">
        <v>51</v>
      </c>
      <c r="B20" s="82">
        <f>SUM(B6:B19)</f>
        <v>15512</v>
      </c>
      <c r="C20" s="38">
        <f t="shared" si="1"/>
        <v>1509</v>
      </c>
      <c r="D20" s="82">
        <f>SUM(D6:D19)</f>
        <v>280</v>
      </c>
      <c r="E20" s="40">
        <f t="shared" si="2"/>
        <v>47</v>
      </c>
      <c r="F20" s="42">
        <f>DIVIDE(D20, B20)</f>
        <v>0.01805054152</v>
      </c>
      <c r="G20" s="82">
        <f t="shared" ref="G20:H20" si="4">SUM(G6:G19)</f>
        <v>89</v>
      </c>
      <c r="H20" s="82">
        <f t="shared" si="4"/>
        <v>2859</v>
      </c>
      <c r="I20" s="83"/>
      <c r="J20" s="28"/>
      <c r="K20" s="28"/>
      <c r="L20" s="82">
        <f t="shared" ref="L20:M20" si="5">SUM(L6:L19)</f>
        <v>14003</v>
      </c>
      <c r="M20" s="82">
        <f t="shared" si="5"/>
        <v>233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90"/>
      <c r="B21" s="10"/>
      <c r="C21" s="10"/>
      <c r="D21" s="10"/>
      <c r="E21" s="10"/>
      <c r="F21" s="10"/>
      <c r="G21" s="10"/>
      <c r="H21" s="10"/>
      <c r="I21" s="5"/>
      <c r="J21" s="2"/>
      <c r="K21" s="2"/>
      <c r="L21" s="10"/>
      <c r="M21" s="10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88"/>
      <c r="B22" s="89"/>
      <c r="C22" s="89"/>
      <c r="D22" s="10"/>
      <c r="E22" s="10"/>
      <c r="F22" s="10"/>
      <c r="G22" s="10"/>
      <c r="H22" s="10"/>
      <c r="I22" s="5"/>
      <c r="J22" s="2"/>
      <c r="K22" s="2"/>
      <c r="L22" s="89"/>
      <c r="M22" s="10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90"/>
      <c r="B23" s="10"/>
      <c r="C23" s="10"/>
      <c r="D23" s="10"/>
      <c r="E23" s="10"/>
      <c r="F23" s="10"/>
      <c r="G23" s="10"/>
      <c r="H23" s="10"/>
      <c r="I23" s="5"/>
      <c r="J23" s="2"/>
      <c r="K23" s="2"/>
      <c r="L23" s="10"/>
      <c r="M23" s="10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90"/>
      <c r="B24" s="10"/>
      <c r="C24" s="10"/>
      <c r="D24" s="10"/>
      <c r="E24" s="10"/>
      <c r="F24" s="10"/>
      <c r="G24" s="10"/>
      <c r="H24" s="10"/>
      <c r="I24" s="5"/>
      <c r="J24" s="2"/>
      <c r="K24" s="5"/>
      <c r="L24" s="10"/>
      <c r="M24" s="10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</sheetData>
  <mergeCells count="2">
    <mergeCell ref="A1:I1"/>
    <mergeCell ref="E2:H2"/>
  </mergeCells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0.57"/>
  </cols>
  <sheetData>
    <row r="1" ht="27.75" customHeight="1">
      <c r="A1" s="1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4" t="s">
        <v>1</v>
      </c>
      <c r="B2" s="4" t="s">
        <v>2</v>
      </c>
      <c r="D2" s="6" t="s">
        <v>3</v>
      </c>
      <c r="F2" s="8" t="s">
        <v>145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13">
        <f t="shared" ref="A3:B3" si="1">SUM(B15, B16)</f>
        <v>83423</v>
      </c>
      <c r="B3" s="13">
        <f t="shared" si="1"/>
        <v>3329</v>
      </c>
      <c r="D3" s="14">
        <f>SUM(F15, F16)</f>
        <v>77196</v>
      </c>
      <c r="F3" s="16">
        <f>MINUS(A3,B3 + D3)</f>
        <v>2898</v>
      </c>
      <c r="G3" s="16"/>
      <c r="H3" s="6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17"/>
      <c r="B4" s="9"/>
      <c r="C4" s="9"/>
      <c r="D4" s="7"/>
      <c r="E4" s="7"/>
      <c r="F4" s="7"/>
      <c r="G4" s="9"/>
      <c r="H4" s="2"/>
      <c r="I4" s="2"/>
      <c r="J4" s="2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ht="30.0" customHeight="1">
      <c r="A5" s="97" t="s">
        <v>150</v>
      </c>
      <c r="B5" s="98" t="s">
        <v>6</v>
      </c>
      <c r="C5" s="98" t="s">
        <v>10</v>
      </c>
      <c r="D5" s="99" t="s">
        <v>152</v>
      </c>
      <c r="E5" s="99" t="s">
        <v>153</v>
      </c>
      <c r="F5" s="99" t="s">
        <v>14</v>
      </c>
      <c r="G5" s="98"/>
      <c r="H5" s="28"/>
      <c r="I5" s="28"/>
      <c r="J5" s="28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 ht="30.0" customHeight="1">
      <c r="A6" s="76" t="s">
        <v>155</v>
      </c>
      <c r="B6" s="77">
        <v>67803.0</v>
      </c>
      <c r="C6" s="77">
        <v>3210.0</v>
      </c>
      <c r="D6" s="100">
        <v>267.0</v>
      </c>
      <c r="E6" s="79" t="s">
        <v>23</v>
      </c>
      <c r="F6" s="100">
        <v>63945.0</v>
      </c>
      <c r="G6" s="101" t="str">
        <f>HYPERLINK("http://www.nhc.gov.cn/yjb/s7860/202004/4f4e36d54fc941d48f6ce6554514075e.shtml","Source")</f>
        <v>Source</v>
      </c>
      <c r="H6" s="102"/>
      <c r="I6" s="28"/>
      <c r="J6" s="28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</row>
    <row r="7" ht="30.0" customHeight="1">
      <c r="A7" s="103" t="s">
        <v>158</v>
      </c>
      <c r="B7" s="104">
        <v>1450.0</v>
      </c>
      <c r="C7" s="105">
        <v>8.0</v>
      </c>
      <c r="D7" s="106">
        <v>2.0</v>
      </c>
      <c r="E7" s="106">
        <v>4.0</v>
      </c>
      <c r="F7" s="107">
        <v>1357.0</v>
      </c>
      <c r="G7" s="109" t="str">
        <f>HYPERLINK("http://wsjkw.gd.gov.cn/zwyw_yqxx/content/post_2963066.html","Source")</f>
        <v>Source</v>
      </c>
      <c r="H7" s="28"/>
      <c r="I7" s="28"/>
      <c r="J7" s="28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 ht="30.0" customHeight="1">
      <c r="A8" s="76" t="s">
        <v>163</v>
      </c>
      <c r="B8" s="77">
        <v>1276.0</v>
      </c>
      <c r="C8" s="78">
        <v>22.0</v>
      </c>
      <c r="D8" s="79">
        <v>0.0</v>
      </c>
      <c r="E8" s="79">
        <v>0.0</v>
      </c>
      <c r="F8" s="100">
        <v>1251.0</v>
      </c>
      <c r="G8" s="101" t="str">
        <f>HYPERLINK("https://m.weibo.cn/detail/4488452735550800","Source")</f>
        <v>Source</v>
      </c>
      <c r="H8" s="102"/>
      <c r="I8" s="28"/>
      <c r="J8" s="28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9" ht="30.0" customHeight="1">
      <c r="A9" s="76" t="s">
        <v>165</v>
      </c>
      <c r="B9" s="77">
        <v>1257.0</v>
      </c>
      <c r="C9" s="78">
        <v>1.0</v>
      </c>
      <c r="D9" s="79" t="s">
        <v>23</v>
      </c>
      <c r="E9" s="79" t="s">
        <v>23</v>
      </c>
      <c r="F9" s="100">
        <v>1226.0</v>
      </c>
      <c r="G9" s="113" t="str">
        <f>HYPERLINK("http://www.bjnews.com.cn/feature/2020/03/31/711060.html","Source")</f>
        <v>Source</v>
      </c>
      <c r="H9" s="28"/>
      <c r="I9" s="28"/>
      <c r="J9" s="28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 ht="30.0" customHeight="1">
      <c r="A10" s="76" t="s">
        <v>168</v>
      </c>
      <c r="B10" s="77">
        <v>1018.0</v>
      </c>
      <c r="C10" s="78">
        <v>4.0</v>
      </c>
      <c r="D10" s="79">
        <v>0.0</v>
      </c>
      <c r="E10" s="79">
        <v>0.0</v>
      </c>
      <c r="F10" s="100">
        <v>1014.0</v>
      </c>
      <c r="G10" s="101" t="str">
        <f>HYPERLINK("http://wjw.hunan.gov.cn/wjw/xxgk/gzdt/zyxw_1/202003/t20200331_11867420.html","Source")</f>
        <v>Source</v>
      </c>
      <c r="H10" s="28"/>
      <c r="I10" s="28"/>
      <c r="J10" s="28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ht="30.0" customHeight="1">
      <c r="A11" s="76" t="s">
        <v>170</v>
      </c>
      <c r="B11" s="77">
        <v>580.0</v>
      </c>
      <c r="C11" s="78">
        <v>8.0</v>
      </c>
      <c r="D11" s="79" t="s">
        <v>23</v>
      </c>
      <c r="E11" s="79" t="s">
        <v>23</v>
      </c>
      <c r="F11" s="79">
        <v>418.0</v>
      </c>
      <c r="G11" s="113" t="str">
        <f>HYPERLINK("http://wjw.beijing.gov.cn/xwzx_20031/wnxw/202004/t20200401_1771919.html","Source")</f>
        <v>Source</v>
      </c>
      <c r="H11" s="28"/>
      <c r="I11" s="28"/>
      <c r="J11" s="28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 ht="30.0" customHeight="1">
      <c r="A12" s="76" t="s">
        <v>172</v>
      </c>
      <c r="B12" s="77">
        <v>516.0</v>
      </c>
      <c r="C12" s="78">
        <v>6.0</v>
      </c>
      <c r="D12" s="79">
        <v>0.0</v>
      </c>
      <c r="E12" s="79">
        <v>5.0</v>
      </c>
      <c r="F12" s="79">
        <v>341.0</v>
      </c>
      <c r="G12" s="101" t="str">
        <f>HYPERLINK("http://wsjkw.sh.gov.cn/xwfb/20200401/50133c67b43d4c91a884d6de41dfce23.html","Source")</f>
        <v>Source</v>
      </c>
      <c r="H12" s="28"/>
      <c r="I12" s="28"/>
      <c r="J12" s="28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3" ht="30.0" customHeight="1">
      <c r="A13" s="76" t="s">
        <v>173</v>
      </c>
      <c r="B13" s="77">
        <v>7769.0</v>
      </c>
      <c r="C13" s="78">
        <v>70.0</v>
      </c>
      <c r="D13" s="79" t="s">
        <v>174</v>
      </c>
      <c r="E13" s="79" t="s">
        <v>23</v>
      </c>
      <c r="F13" s="100">
        <v>7412.0</v>
      </c>
      <c r="G13" s="101" t="str">
        <f>HYPERLINK("http://www.nhc.gov.cn/yjb/s7860/202004/4f4e36d54fc941d48f6ce6554514075e.shtml","Source")</f>
        <v>Source</v>
      </c>
      <c r="H13" s="102"/>
      <c r="I13" s="28"/>
      <c r="J13" s="28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 ht="30.0" customHeight="1">
      <c r="A14" s="76" t="s">
        <v>176</v>
      </c>
      <c r="B14" s="77">
        <v>1754.0</v>
      </c>
      <c r="C14" s="78">
        <v>0.0</v>
      </c>
      <c r="D14" s="79">
        <v>0.0</v>
      </c>
      <c r="E14" s="79">
        <v>0.0</v>
      </c>
      <c r="F14" s="100">
        <v>232.0</v>
      </c>
      <c r="G14" s="80"/>
      <c r="H14" s="102"/>
      <c r="I14" s="28"/>
      <c r="J14" s="28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 ht="30.0" customHeight="1">
      <c r="A15" s="84" t="s">
        <v>51</v>
      </c>
      <c r="B15" s="127">
        <f t="shared" ref="B15:C15" si="2">SUM(B6:B14)</f>
        <v>83423</v>
      </c>
      <c r="C15" s="127">
        <f t="shared" si="2"/>
        <v>3329</v>
      </c>
      <c r="D15" s="127">
        <v>295.0</v>
      </c>
      <c r="E15" s="127"/>
      <c r="F15" s="127">
        <f>SUM(F6:F14)</f>
        <v>77196</v>
      </c>
      <c r="G15" s="87"/>
      <c r="H15" s="28"/>
      <c r="I15" s="28"/>
      <c r="J15" s="28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</row>
    <row r="16">
      <c r="A16" s="84"/>
      <c r="B16" s="85"/>
      <c r="C16" s="85"/>
      <c r="D16" s="86"/>
      <c r="E16" s="131"/>
      <c r="F16" s="85"/>
      <c r="G16" s="87"/>
      <c r="H16" s="2"/>
      <c r="I16" s="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>
      <c r="A17" s="88"/>
      <c r="B17" s="89"/>
      <c r="C17" s="10"/>
      <c r="D17" s="10"/>
      <c r="E17" s="10"/>
      <c r="F17" s="10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>
      <c r="A18" s="90"/>
      <c r="B18" s="10"/>
      <c r="C18" s="10"/>
      <c r="D18" s="10"/>
      <c r="E18" s="10"/>
      <c r="F18" s="10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>
      <c r="A19" s="90"/>
      <c r="B19" s="10"/>
      <c r="C19" s="10"/>
      <c r="D19" s="10"/>
      <c r="E19" s="10"/>
      <c r="F19" s="10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</sheetData>
  <mergeCells count="6">
    <mergeCell ref="A1:G1"/>
    <mergeCell ref="B2:C2"/>
    <mergeCell ref="D2:E2"/>
    <mergeCell ref="F2:H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13.0"/>
  </cols>
  <sheetData>
    <row r="1" ht="27.75" customHeight="1">
      <c r="A1" s="1" t="s">
        <v>182</v>
      </c>
      <c r="F1" s="5"/>
      <c r="G1" s="5"/>
      <c r="H1" s="5"/>
    </row>
    <row r="2">
      <c r="A2" s="4" t="s">
        <v>183</v>
      </c>
      <c r="B2" s="4" t="s">
        <v>184</v>
      </c>
      <c r="D2" s="6" t="s">
        <v>185</v>
      </c>
      <c r="E2" s="7"/>
      <c r="F2" s="5"/>
      <c r="G2" s="5"/>
      <c r="H2" s="5"/>
    </row>
    <row r="3">
      <c r="A3" s="13">
        <f t="shared" ref="A3:B3" si="1">SUM(B24, B25)</f>
        <v>3196</v>
      </c>
      <c r="B3" s="13">
        <f t="shared" si="1"/>
        <v>33</v>
      </c>
      <c r="D3" s="14">
        <f>SUM(E24, E25)</f>
        <v>9</v>
      </c>
      <c r="E3" s="7"/>
      <c r="F3" s="5"/>
      <c r="G3" s="5"/>
      <c r="H3" s="5"/>
    </row>
    <row r="4">
      <c r="A4" s="17"/>
      <c r="B4" s="9"/>
      <c r="C4" s="9"/>
      <c r="D4" s="7"/>
      <c r="E4" s="7"/>
      <c r="F4" s="5"/>
      <c r="G4" s="5"/>
      <c r="H4" s="5"/>
    </row>
    <row r="5" ht="30.0" customHeight="1">
      <c r="A5" s="97" t="s">
        <v>187</v>
      </c>
      <c r="B5" s="98" t="s">
        <v>188</v>
      </c>
      <c r="C5" s="98" t="s">
        <v>189</v>
      </c>
      <c r="D5" s="99" t="s">
        <v>190</v>
      </c>
      <c r="E5" s="99" t="s">
        <v>191</v>
      </c>
      <c r="F5" s="30"/>
      <c r="G5" s="30"/>
      <c r="H5" s="30"/>
    </row>
    <row r="6" ht="30.0" customHeight="1">
      <c r="A6" s="76" t="s">
        <v>193</v>
      </c>
      <c r="B6" s="77">
        <v>977.0</v>
      </c>
      <c r="C6" s="78">
        <v>11.0</v>
      </c>
      <c r="D6" s="79"/>
      <c r="E6" s="79">
        <v>1.0</v>
      </c>
      <c r="F6" s="30"/>
      <c r="G6" s="30"/>
      <c r="H6" s="30"/>
    </row>
    <row r="7" ht="30.0" customHeight="1">
      <c r="A7" s="76" t="s">
        <v>104</v>
      </c>
      <c r="B7" s="77">
        <v>434.0</v>
      </c>
      <c r="C7" s="78">
        <v>0.0</v>
      </c>
      <c r="D7" s="79"/>
      <c r="E7" s="133"/>
      <c r="F7" s="30"/>
      <c r="G7" s="30"/>
      <c r="H7" s="30"/>
    </row>
    <row r="8" ht="30.0" customHeight="1">
      <c r="A8" s="76" t="s">
        <v>124</v>
      </c>
      <c r="B8" s="77">
        <v>426.0</v>
      </c>
      <c r="C8" s="77">
        <v>7.0</v>
      </c>
      <c r="D8" s="100">
        <v>6.0</v>
      </c>
      <c r="E8" s="79">
        <v>3.0</v>
      </c>
      <c r="F8" s="30"/>
      <c r="G8" s="30"/>
      <c r="H8" s="30"/>
    </row>
    <row r="9" ht="30.0" customHeight="1">
      <c r="A9" s="76" t="s">
        <v>141</v>
      </c>
      <c r="B9" s="77">
        <v>263.0</v>
      </c>
      <c r="C9" s="78">
        <v>3.0</v>
      </c>
      <c r="D9" s="79">
        <v>16.0</v>
      </c>
      <c r="E9" s="79">
        <v>2.0</v>
      </c>
      <c r="F9" s="30"/>
      <c r="G9" s="30"/>
      <c r="H9" s="30"/>
    </row>
    <row r="10" ht="30.0" customHeight="1">
      <c r="A10" s="76" t="s">
        <v>195</v>
      </c>
      <c r="B10" s="77">
        <v>203.0</v>
      </c>
      <c r="C10" s="78">
        <v>2.0</v>
      </c>
      <c r="D10" s="79">
        <v>3.0</v>
      </c>
      <c r="E10" s="79">
        <v>3.0</v>
      </c>
      <c r="F10" s="30"/>
      <c r="G10" s="30"/>
      <c r="H10" s="30"/>
    </row>
    <row r="11" ht="30.0" customHeight="1">
      <c r="A11" s="76" t="s">
        <v>196</v>
      </c>
      <c r="B11" s="77">
        <v>200.0</v>
      </c>
      <c r="C11" s="78">
        <v>1.0</v>
      </c>
      <c r="D11" s="79">
        <v>8.0</v>
      </c>
      <c r="E11" s="133"/>
      <c r="F11" s="30"/>
      <c r="G11" s="30"/>
      <c r="H11" s="30"/>
    </row>
    <row r="12" ht="30.0" customHeight="1">
      <c r="A12" s="76" t="s">
        <v>178</v>
      </c>
      <c r="B12" s="77">
        <v>158.0</v>
      </c>
      <c r="C12" s="78">
        <v>3.0</v>
      </c>
      <c r="D12" s="79"/>
      <c r="E12" s="133"/>
      <c r="F12" s="30"/>
      <c r="G12" s="30"/>
      <c r="H12" s="30"/>
    </row>
    <row r="13" ht="30.0" customHeight="1">
      <c r="A13" s="76" t="s">
        <v>181</v>
      </c>
      <c r="B13" s="77">
        <v>158.0</v>
      </c>
      <c r="C13" s="78">
        <v>0.0</v>
      </c>
      <c r="D13" s="79"/>
      <c r="E13" s="133"/>
      <c r="F13" s="30"/>
      <c r="G13" s="30"/>
      <c r="H13" s="30"/>
    </row>
    <row r="14" ht="30.0" customHeight="1">
      <c r="A14" s="76" t="s">
        <v>198</v>
      </c>
      <c r="B14" s="77">
        <v>113.0</v>
      </c>
      <c r="C14" s="78">
        <v>2.0</v>
      </c>
      <c r="D14" s="79"/>
      <c r="E14" s="133"/>
      <c r="F14" s="30"/>
      <c r="G14" s="30"/>
      <c r="H14" s="30"/>
    </row>
    <row r="15" ht="30.0" customHeight="1">
      <c r="A15" s="76" t="s">
        <v>199</v>
      </c>
      <c r="B15" s="77">
        <v>110.0</v>
      </c>
      <c r="C15" s="78"/>
      <c r="D15" s="79"/>
      <c r="E15" s="133"/>
      <c r="F15" s="30"/>
      <c r="G15" s="30"/>
      <c r="H15" s="30"/>
    </row>
    <row r="16" ht="30.0" customHeight="1">
      <c r="A16" s="76" t="s">
        <v>200</v>
      </c>
      <c r="B16" s="77">
        <v>72.0</v>
      </c>
      <c r="C16" s="78">
        <v>2.0</v>
      </c>
      <c r="D16" s="79"/>
      <c r="E16" s="133"/>
      <c r="F16" s="30"/>
      <c r="G16" s="30"/>
      <c r="H16" s="30"/>
    </row>
    <row r="17" ht="30.0" customHeight="1">
      <c r="A17" s="76" t="s">
        <v>201</v>
      </c>
      <c r="B17" s="77">
        <v>24.0</v>
      </c>
      <c r="C17" s="78">
        <v>0.0</v>
      </c>
      <c r="D17" s="79"/>
      <c r="E17" s="133"/>
      <c r="F17" s="30"/>
      <c r="G17" s="30"/>
      <c r="H17" s="30"/>
    </row>
    <row r="18" ht="30.0" customHeight="1">
      <c r="A18" s="76" t="s">
        <v>203</v>
      </c>
      <c r="B18" s="77">
        <v>21.0</v>
      </c>
      <c r="C18" s="78">
        <v>1.0</v>
      </c>
      <c r="D18" s="79"/>
      <c r="E18" s="133"/>
      <c r="F18" s="30"/>
      <c r="G18" s="30"/>
      <c r="H18" s="30"/>
    </row>
    <row r="19" ht="30.0" customHeight="1">
      <c r="A19" s="76" t="s">
        <v>204</v>
      </c>
      <c r="B19" s="77">
        <v>19.0</v>
      </c>
      <c r="C19" s="78">
        <v>0.0</v>
      </c>
      <c r="D19" s="79"/>
      <c r="E19" s="133"/>
      <c r="F19" s="30"/>
      <c r="G19" s="30"/>
      <c r="H19" s="30"/>
    </row>
    <row r="20" ht="30.0" customHeight="1">
      <c r="A20" s="76" t="s">
        <v>205</v>
      </c>
      <c r="B20" s="77">
        <v>18.0</v>
      </c>
      <c r="C20" s="78">
        <v>1.0</v>
      </c>
      <c r="D20" s="79"/>
      <c r="E20" s="133"/>
      <c r="F20" s="30"/>
      <c r="G20" s="30"/>
      <c r="H20" s="30"/>
    </row>
    <row r="21" ht="30.0" customHeight="1">
      <c r="A21" s="76" t="s">
        <v>206</v>
      </c>
      <c r="B21" s="77">
        <v>13.0</v>
      </c>
      <c r="C21" s="78">
        <v>1.0</v>
      </c>
      <c r="D21" s="79"/>
      <c r="E21" s="133"/>
      <c r="F21" s="30"/>
      <c r="G21" s="30"/>
      <c r="H21" s="30"/>
    </row>
    <row r="22" ht="30.0" customHeight="1">
      <c r="A22" s="76" t="s">
        <v>207</v>
      </c>
      <c r="B22" s="77">
        <v>3.0</v>
      </c>
      <c r="C22" s="78"/>
      <c r="D22" s="79"/>
      <c r="E22" s="133"/>
      <c r="F22" s="30"/>
      <c r="G22" s="30"/>
      <c r="H22" s="30"/>
    </row>
    <row r="23" ht="30.0" customHeight="1">
      <c r="A23" s="76" t="s">
        <v>208</v>
      </c>
      <c r="B23" s="77">
        <v>2.0</v>
      </c>
      <c r="C23" s="78"/>
      <c r="D23" s="79"/>
      <c r="E23" s="133"/>
      <c r="F23" s="30"/>
      <c r="G23" s="30"/>
      <c r="H23" s="30"/>
    </row>
    <row r="24" ht="30.0" customHeight="1">
      <c r="A24" s="84" t="s">
        <v>51</v>
      </c>
      <c r="B24" s="127">
        <f t="shared" ref="B24:C24" si="2">SUM(B6:B20)</f>
        <v>3196</v>
      </c>
      <c r="C24" s="127">
        <f t="shared" si="2"/>
        <v>33</v>
      </c>
      <c r="D24" s="127">
        <f t="shared" ref="D24:E24" si="3">SUM(D6:D16)</f>
        <v>33</v>
      </c>
      <c r="E24" s="127">
        <f t="shared" si="3"/>
        <v>9</v>
      </c>
      <c r="F24" s="30"/>
      <c r="G24" s="30"/>
      <c r="H24" s="30"/>
    </row>
    <row r="25">
      <c r="A25" s="90"/>
      <c r="B25" s="10"/>
      <c r="C25" s="10"/>
      <c r="D25" s="10"/>
      <c r="E25" s="10"/>
      <c r="F25" s="5"/>
      <c r="G25" s="5"/>
      <c r="H25" s="5"/>
    </row>
    <row r="26">
      <c r="A26" s="88"/>
      <c r="B26" s="89"/>
      <c r="C26" s="10"/>
      <c r="D26" s="10"/>
      <c r="E26" s="10"/>
      <c r="F26" s="5"/>
      <c r="G26" s="5"/>
      <c r="H26" s="5"/>
    </row>
    <row r="27">
      <c r="A27" s="90"/>
      <c r="B27" s="10"/>
      <c r="C27" s="10"/>
      <c r="D27" s="10"/>
      <c r="E27" s="10"/>
      <c r="F27" s="5"/>
      <c r="G27" s="5"/>
      <c r="H27" s="5"/>
    </row>
    <row r="28">
      <c r="A28" s="90"/>
      <c r="B28" s="10"/>
      <c r="C28" s="10"/>
      <c r="D28" s="10"/>
      <c r="E28" s="10"/>
      <c r="F28" s="5"/>
      <c r="G28" s="5"/>
      <c r="H28" s="5"/>
    </row>
  </sheetData>
  <mergeCells count="3">
    <mergeCell ref="A1:E1"/>
    <mergeCell ref="B2:C2"/>
    <mergeCell ref="B3:C3"/>
  </mergeCells>
  <drawing r:id="rId1"/>
  <tableParts count="1">
    <tablePart r:id="rId3"/>
  </tableParts>
</worksheet>
</file>