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23,620 confirmed or suspected cases in nursing homes</t>
      </text>
    </comment>
    <comment authorId="0" ref="L11">
      <text>
        <t xml:space="preserve">23,620 confirmed or suspected cases in nursing homes</t>
      </text>
    </comment>
  </commentList>
</comments>
</file>

<file path=xl/sharedStrings.xml><?xml version="1.0" encoding="utf-8"?>
<sst xmlns="http://schemas.openxmlformats.org/spreadsheetml/2006/main" count="817" uniqueCount="377">
  <si>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</si>
  <si>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</si>
  <si>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</si>
  <si>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</si>
  <si>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</si>
  <si>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</si>
  <si>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</si>
  <si>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Cases</t>
  </si>
  <si>
    <t>New cases</t>
  </si>
  <si>
    <t>LOCATION</t>
  </si>
  <si>
    <t>Deaths</t>
  </si>
  <si>
    <t>New deaths</t>
  </si>
  <si>
    <t>Death rate</t>
  </si>
  <si>
    <t>Serious &amp; Critical</t>
  </si>
  <si>
    <t>Recovered</t>
  </si>
  <si>
    <t>Links</t>
  </si>
  <si>
    <t>Washington</t>
  </si>
  <si>
    <t>New South Wales</t>
  </si>
  <si>
    <t>Disputed territories</t>
  </si>
  <si>
    <t>United States</t>
  </si>
  <si>
    <t>New York</t>
  </si>
  <si>
    <t>Snohomish</t>
  </si>
  <si>
    <t>Victoria</t>
  </si>
  <si>
    <t>New Jersey</t>
  </si>
  <si>
    <t>Donetsk People’s Republic</t>
  </si>
  <si>
    <t>Queensland</t>
  </si>
  <si>
    <t>N/A</t>
  </si>
  <si>
    <t>Spain</t>
  </si>
  <si>
    <t>Western Australia</t>
  </si>
  <si>
    <t>Daily</t>
  </si>
  <si>
    <t>Pierce</t>
  </si>
  <si>
    <t>Luhansk People's Republic</t>
  </si>
  <si>
    <t>Michigan</t>
  </si>
  <si>
    <t>South Australia</t>
  </si>
  <si>
    <t>Italy</t>
  </si>
  <si>
    <t>Kittitas</t>
  </si>
  <si>
    <t>Canberra (ACT)</t>
  </si>
  <si>
    <t>Germany</t>
  </si>
  <si>
    <t>California</t>
  </si>
  <si>
    <t>Frequent</t>
  </si>
  <si>
    <t>Grant</t>
  </si>
  <si>
    <t>France</t>
  </si>
  <si>
    <t>Tasmania</t>
  </si>
  <si>
    <t>Louisiana</t>
  </si>
  <si>
    <t>Northern Territory</t>
  </si>
  <si>
    <t>Yakima</t>
  </si>
  <si>
    <t>China</t>
  </si>
  <si>
    <t>Massachusetts</t>
  </si>
  <si>
    <t>External territories</t>
  </si>
  <si>
    <t>-</t>
  </si>
  <si>
    <t>Whatcom</t>
  </si>
  <si>
    <t>Iran</t>
  </si>
  <si>
    <t>Florida</t>
  </si>
  <si>
    <t>Jervis Bay</t>
  </si>
  <si>
    <t>United Kingdom</t>
  </si>
  <si>
    <t>King</t>
  </si>
  <si>
    <t>Pennsylvania</t>
  </si>
  <si>
    <t>TOTAL</t>
  </si>
  <si>
    <t>Turkey</t>
  </si>
  <si>
    <t>Spokane</t>
  </si>
  <si>
    <t>Illinois</t>
  </si>
  <si>
    <t>Island</t>
  </si>
  <si>
    <t>Switzerland</t>
  </si>
  <si>
    <t>To check for inclusion</t>
  </si>
  <si>
    <t>Belgium</t>
  </si>
  <si>
    <t>Benton</t>
  </si>
  <si>
    <t>Reunion</t>
  </si>
  <si>
    <t>Georgia</t>
  </si>
  <si>
    <t>Netherlands</t>
  </si>
  <si>
    <t>Several</t>
  </si>
  <si>
    <t>Other</t>
  </si>
  <si>
    <t>Saint Pierre and Miquelon</t>
  </si>
  <si>
    <t>Texas</t>
  </si>
  <si>
    <t>Canada</t>
  </si>
  <si>
    <t>Franklin</t>
  </si>
  <si>
    <t>Connecticut</t>
  </si>
  <si>
    <t>Guantanamo</t>
  </si>
  <si>
    <t>Total</t>
  </si>
  <si>
    <t>Austria</t>
  </si>
  <si>
    <t>Colorado</t>
  </si>
  <si>
    <t>Throughout</t>
  </si>
  <si>
    <t>Somaliland</t>
  </si>
  <si>
    <t>Brazil</t>
  </si>
  <si>
    <t>Indiana</t>
  </si>
  <si>
    <t>Sint Eustatius</t>
  </si>
  <si>
    <t>Portugal</t>
  </si>
  <si>
    <t>Ohio</t>
  </si>
  <si>
    <t>São Tomé and Príncipe</t>
  </si>
  <si>
    <t>South Korea</t>
  </si>
  <si>
    <t>Maryland</t>
  </si>
  <si>
    <t>CANADA</t>
  </si>
  <si>
    <t>Åland Islands</t>
  </si>
  <si>
    <t>Israel</t>
  </si>
  <si>
    <t>Tennessee</t>
  </si>
  <si>
    <t>Quebec</t>
  </si>
  <si>
    <t>Akrotiri and Dhekelia</t>
  </si>
  <si>
    <t>Sweden</t>
  </si>
  <si>
    <t>North Carolina</t>
  </si>
  <si>
    <t>Ontario</t>
  </si>
  <si>
    <t>Saint Martin</t>
  </si>
  <si>
    <t>Virginia</t>
  </si>
  <si>
    <t>Russia</t>
  </si>
  <si>
    <t>Alberta</t>
  </si>
  <si>
    <t>French Guiana</t>
  </si>
  <si>
    <t>Missouri</t>
  </si>
  <si>
    <t>Australia</t>
  </si>
  <si>
    <t>British Columbia</t>
  </si>
  <si>
    <t>Arizona</t>
  </si>
  <si>
    <t>Guadeloupe</t>
  </si>
  <si>
    <t>Norway</t>
  </si>
  <si>
    <t>Saskatchewan</t>
  </si>
  <si>
    <t>Wisconsin</t>
  </si>
  <si>
    <t>Martinique</t>
  </si>
  <si>
    <t>South Carolina</t>
  </si>
  <si>
    <t>Ireland</t>
  </si>
  <si>
    <t>Nova Scotia</t>
  </si>
  <si>
    <t>Alabama</t>
  </si>
  <si>
    <t>Mayotte</t>
  </si>
  <si>
    <t>Newfoundland &amp; Labrador</t>
  </si>
  <si>
    <t>Denmark</t>
  </si>
  <si>
    <t>Nevada</t>
  </si>
  <si>
    <t>Vessels</t>
  </si>
  <si>
    <t>Chile</t>
  </si>
  <si>
    <t>Manitoba</t>
  </si>
  <si>
    <t>Mississippi</t>
  </si>
  <si>
    <t>India</t>
  </si>
  <si>
    <t>Utah</t>
  </si>
  <si>
    <t>New Brunswick</t>
  </si>
  <si>
    <t>Czech Republic</t>
  </si>
  <si>
    <t>Oklahoma</t>
  </si>
  <si>
    <t>Prince Edward Island</t>
  </si>
  <si>
    <t>Numerous</t>
  </si>
  <si>
    <t>Poland</t>
  </si>
  <si>
    <t>Idaho</t>
  </si>
  <si>
    <t>Repatriated travellers</t>
  </si>
  <si>
    <t>Romania</t>
  </si>
  <si>
    <t>Oregon</t>
  </si>
  <si>
    <t>Daily + deaths</t>
  </si>
  <si>
    <t>Yukon</t>
  </si>
  <si>
    <t>Japan</t>
  </si>
  <si>
    <t>Northwest Territories</t>
  </si>
  <si>
    <t>District of Columbia</t>
  </si>
  <si>
    <t>Malaysia</t>
  </si>
  <si>
    <t>Nunavut</t>
  </si>
  <si>
    <t>Rhode Island</t>
  </si>
  <si>
    <t>Ecuador</t>
  </si>
  <si>
    <t>2 updates</t>
  </si>
  <si>
    <t>Kentucky</t>
  </si>
  <si>
    <t>Philippines</t>
  </si>
  <si>
    <t>Minnesota</t>
  </si>
  <si>
    <t>Pakistan</t>
  </si>
  <si>
    <t>Iowa</t>
  </si>
  <si>
    <t>Any time</t>
  </si>
  <si>
    <t>Luxembourg</t>
  </si>
  <si>
    <t>Arkansas</t>
  </si>
  <si>
    <t>3 times/day</t>
  </si>
  <si>
    <t>Saudi Arabia</t>
  </si>
  <si>
    <t>Kansas</t>
  </si>
  <si>
    <t>Indonesia</t>
  </si>
  <si>
    <t>Delaware</t>
  </si>
  <si>
    <t>New Hampshire</t>
  </si>
  <si>
    <t>Mexico</t>
  </si>
  <si>
    <t>New Mexico</t>
  </si>
  <si>
    <t>Peru</t>
  </si>
  <si>
    <t>ACTIVE CASES</t>
  </si>
  <si>
    <t>Puerto Rico</t>
  </si>
  <si>
    <t>Thailand</t>
  </si>
  <si>
    <t>MAINLAND CHINA</t>
  </si>
  <si>
    <t>Vermont</t>
  </si>
  <si>
    <t>Serbia</t>
  </si>
  <si>
    <t>Serious</t>
  </si>
  <si>
    <t>Critical</t>
  </si>
  <si>
    <t>Hubei province (includes Wuhan)</t>
  </si>
  <si>
    <t>Maine</t>
  </si>
  <si>
    <t>Finland</t>
  </si>
  <si>
    <t>Guangdong province</t>
  </si>
  <si>
    <t>Panama</t>
  </si>
  <si>
    <t>Nebraska</t>
  </si>
  <si>
    <t>Henan province</t>
  </si>
  <si>
    <t>United Arab Emirates</t>
  </si>
  <si>
    <t>Hawaii</t>
  </si>
  <si>
    <t>Zhejiang province</t>
  </si>
  <si>
    <t>Dominican Republic</t>
  </si>
  <si>
    <t>West Virginia</t>
  </si>
  <si>
    <t>Hunan province</t>
  </si>
  <si>
    <t>Beijing</t>
  </si>
  <si>
    <t>Qatar</t>
  </si>
  <si>
    <t>Montana</t>
  </si>
  <si>
    <t>Shanghai</t>
  </si>
  <si>
    <t>Other regions/TBD</t>
  </si>
  <si>
    <t>Twice a day</t>
  </si>
  <si>
    <t>&lt;16</t>
  </si>
  <si>
    <t>Greece</t>
  </si>
  <si>
    <t>South Dakota</t>
  </si>
  <si>
    <t>Asymptomatic</t>
  </si>
  <si>
    <t>North Dakota</t>
  </si>
  <si>
    <t>Wyoming</t>
  </si>
  <si>
    <t>South Africa</t>
  </si>
  <si>
    <t>Alaska</t>
  </si>
  <si>
    <t>Argentina</t>
  </si>
  <si>
    <t>Guam</t>
  </si>
  <si>
    <t>Iceland</t>
  </si>
  <si>
    <t>Diamond Princess (repatriated)</t>
  </si>
  <si>
    <t>A Marzo 21</t>
  </si>
  <si>
    <t>Colombia</t>
  </si>
  <si>
    <t>CASOS</t>
  </si>
  <si>
    <t>MUERTES</t>
  </si>
  <si>
    <t>RECUPERADOS</t>
  </si>
  <si>
    <t>U.S. Virgin Islands</t>
  </si>
  <si>
    <t>Algeria</t>
  </si>
  <si>
    <t>Mundo Hispano</t>
  </si>
  <si>
    <t>Casos</t>
  </si>
  <si>
    <t>Muertes</t>
  </si>
  <si>
    <t>Serios</t>
  </si>
  <si>
    <t>Recuperados</t>
  </si>
  <si>
    <t>Brasil</t>
  </si>
  <si>
    <t>Grand Princess</t>
  </si>
  <si>
    <t>Singapore</t>
  </si>
  <si>
    <t>México</t>
  </si>
  <si>
    <t>Panamá</t>
  </si>
  <si>
    <t>Northern Mariana Islands</t>
  </si>
  <si>
    <t>Egypt</t>
  </si>
  <si>
    <t>Costa Rica</t>
  </si>
  <si>
    <t>Uruguay</t>
  </si>
  <si>
    <t>Rep. Dominicana</t>
  </si>
  <si>
    <t>Honduras</t>
  </si>
  <si>
    <t>Wuhan (repatriated)</t>
  </si>
  <si>
    <t>Cuba</t>
  </si>
  <si>
    <t>Ukraine</t>
  </si>
  <si>
    <t>Bolivia</t>
  </si>
  <si>
    <t>Paraguay</t>
  </si>
  <si>
    <t>Guatemala</t>
  </si>
  <si>
    <t>El Salvador</t>
  </si>
  <si>
    <t>2 times/day</t>
  </si>
  <si>
    <t>Nicaragua</t>
  </si>
  <si>
    <t>American Samoa</t>
  </si>
  <si>
    <t>Croatia</t>
  </si>
  <si>
    <t>TBD</t>
  </si>
  <si>
    <t>New Zealand</t>
  </si>
  <si>
    <t>U.S. TOTAL</t>
  </si>
  <si>
    <t>Morocco</t>
  </si>
  <si>
    <t>At least 3</t>
  </si>
  <si>
    <t>Estonia</t>
  </si>
  <si>
    <t>Iraq</t>
  </si>
  <si>
    <t>Slovenia</t>
  </si>
  <si>
    <t>% of deaths</t>
  </si>
  <si>
    <t>Hong Kong</t>
  </si>
  <si>
    <t>Moldova</t>
  </si>
  <si>
    <t>Lithuania</t>
  </si>
  <si>
    <t>Armenia</t>
  </si>
  <si>
    <t>Bahrain</t>
  </si>
  <si>
    <t>Hungary</t>
  </si>
  <si>
    <t>Diamond Princess</t>
  </si>
  <si>
    <t>Belarus</t>
  </si>
  <si>
    <t>Bosnia</t>
  </si>
  <si>
    <t>Kuwait</t>
  </si>
  <si>
    <t>Cameroon</t>
  </si>
  <si>
    <t>Kazakhstan</t>
  </si>
  <si>
    <t>Azerbaijan</t>
  </si>
  <si>
    <t>North Macedonia</t>
  </si>
  <si>
    <t>Latvia</t>
  </si>
  <si>
    <t>Tunisia</t>
  </si>
  <si>
    <t>Bulgaria</t>
  </si>
  <si>
    <t>Lebanon</t>
  </si>
  <si>
    <t>Andorra</t>
  </si>
  <si>
    <t>Slovakia</t>
  </si>
  <si>
    <t>Uzbekistan</t>
  </si>
  <si>
    <t>Cyprus</t>
  </si>
  <si>
    <t>Taiwan</t>
  </si>
  <si>
    <t>Afghanistan</t>
  </si>
  <si>
    <t>Albania</t>
  </si>
  <si>
    <t>Burkina Faso</t>
  </si>
  <si>
    <t>Jordan</t>
  </si>
  <si>
    <t>Oman</t>
  </si>
  <si>
    <t>San Marino</t>
  </si>
  <si>
    <t>Palestine</t>
  </si>
  <si>
    <t>Ivory Coast</t>
  </si>
  <si>
    <t>Vietnam</t>
  </si>
  <si>
    <t>Nigeria</t>
  </si>
  <si>
    <t>Mauritius</t>
  </si>
  <si>
    <t>Malta</t>
  </si>
  <si>
    <t>Senegal</t>
  </si>
  <si>
    <t>Montenegro</t>
  </si>
  <si>
    <t>At least 2</t>
  </si>
  <si>
    <t>Kyrgyzstan</t>
  </si>
  <si>
    <t>Ghana</t>
  </si>
  <si>
    <t>Sri Lanka</t>
  </si>
  <si>
    <t>Venezuela</t>
  </si>
  <si>
    <t>Guernsey</t>
  </si>
  <si>
    <t>DR Congo</t>
  </si>
  <si>
    <t>Kosovo</t>
  </si>
  <si>
    <t>Niger</t>
  </si>
  <si>
    <t>Kenya</t>
  </si>
  <si>
    <t>Isle of Man</t>
  </si>
  <si>
    <t>Brunei</t>
  </si>
  <si>
    <t>Jersey</t>
  </si>
  <si>
    <t>Bangladesh</t>
  </si>
  <si>
    <t>Guinea</t>
  </si>
  <si>
    <t>Cambodia</t>
  </si>
  <si>
    <t>Trinidad and Tobago</t>
  </si>
  <si>
    <t>Rwanda</t>
  </si>
  <si>
    <t>Gibraltar</t>
  </si>
  <si>
    <t>Northern Cyprus</t>
  </si>
  <si>
    <t>Liechtenstein</t>
  </si>
  <si>
    <t>Monaco</t>
  </si>
  <si>
    <t>Madagascar</t>
  </si>
  <si>
    <t>Aruba</t>
  </si>
  <si>
    <t>Djibouti</t>
  </si>
  <si>
    <t>Jamaica</t>
  </si>
  <si>
    <t>Barbados</t>
  </si>
  <si>
    <t>Uganda</t>
  </si>
  <si>
    <t>Mali</t>
  </si>
  <si>
    <t>Congo Republic</t>
  </si>
  <si>
    <t>Togo</t>
  </si>
  <si>
    <t>Ethiopia</t>
  </si>
  <si>
    <t>Macau</t>
  </si>
  <si>
    <t>French Polynesia</t>
  </si>
  <si>
    <t>Zambia</t>
  </si>
  <si>
    <t>Bermuda</t>
  </si>
  <si>
    <t>Sint Maarten</t>
  </si>
  <si>
    <t>Cayman Islands</t>
  </si>
  <si>
    <t>Guyana</t>
  </si>
  <si>
    <t>Eritrea</t>
  </si>
  <si>
    <t>Bahamas</t>
  </si>
  <si>
    <t>Gabon</t>
  </si>
  <si>
    <t>Myanmar</t>
  </si>
  <si>
    <t>Haiti</t>
  </si>
  <si>
    <t>Tanzania</t>
  </si>
  <si>
    <t>Syria</t>
  </si>
  <si>
    <t>Maldives</t>
  </si>
  <si>
    <t>Libya</t>
  </si>
  <si>
    <t>New Caledonia</t>
  </si>
  <si>
    <t>Guinea-Bissau</t>
  </si>
  <si>
    <t>Namibia</t>
  </si>
  <si>
    <t>Benin</t>
  </si>
  <si>
    <t>Equatorial Guinea</t>
  </si>
  <si>
    <t>Antigua and Barbuda</t>
  </si>
  <si>
    <t>Mongolia</t>
  </si>
  <si>
    <t>Saint Lucia</t>
  </si>
  <si>
    <t>Fiji</t>
  </si>
  <si>
    <t>Liberia</t>
  </si>
  <si>
    <t>Grenada</t>
  </si>
  <si>
    <t>Laos</t>
  </si>
  <si>
    <t>Curaçao</t>
  </si>
  <si>
    <t>Greenland</t>
  </si>
  <si>
    <t>Sudan</t>
  </si>
  <si>
    <t>Angola</t>
  </si>
  <si>
    <t>Suriname</t>
  </si>
  <si>
    <t>Seychelles</t>
  </si>
  <si>
    <t>Mozambique</t>
  </si>
  <si>
    <t>St. Kitts and Nevis</t>
  </si>
  <si>
    <t>Zimbabwe</t>
  </si>
  <si>
    <t>Eswatini</t>
  </si>
  <si>
    <t>Nepal</t>
  </si>
  <si>
    <t>Chad</t>
  </si>
  <si>
    <t>Central African Republic</t>
  </si>
  <si>
    <t>Cape Verde</t>
  </si>
  <si>
    <t>Vatican City</t>
  </si>
  <si>
    <t>Saint Vincent and the Grenadines</t>
  </si>
  <si>
    <t>Somalia</t>
  </si>
  <si>
    <t>Montserrat</t>
  </si>
  <si>
    <t>St. Barthélemy</t>
  </si>
  <si>
    <t>Mauritania</t>
  </si>
  <si>
    <t>Turks and Caicos Islands</t>
  </si>
  <si>
    <t>Bhutan</t>
  </si>
  <si>
    <t>Belize</t>
  </si>
  <si>
    <t>The Gambia</t>
  </si>
  <si>
    <t>Botswana</t>
  </si>
  <si>
    <t>Sierra Leone</t>
  </si>
  <si>
    <t>Malawi</t>
  </si>
  <si>
    <t>British Virgin Islands</t>
  </si>
  <si>
    <t>Anguilla</t>
  </si>
  <si>
    <t>Burundi</t>
  </si>
  <si>
    <t>Falkland Islands</t>
  </si>
  <si>
    <t>Timor-Leste</t>
  </si>
  <si>
    <t>South Sudan</t>
  </si>
  <si>
    <t>Papua New Guinea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</si>
</sst>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5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b/>
      <sz val="11.0"/>
      <color theme="1"/>
      <name val="Arial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000FF"/>
    </font>
    <font>
      <u/>
      <sz val="11.0"/>
      <color rgb="FF0000FF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00000"/>
      <name val="Arial"/>
    </font>
    <font>
      <sz val="11.0"/>
      <color rgb="FFFFFFFF"/>
      <name val="Roboto"/>
    </font>
    <font>
      <b/>
      <sz val="11.0"/>
      <color rgb="FF38761D"/>
      <name val="Roboto"/>
    </font>
    <font>
      <sz val="19.0"/>
      <color rgb="FF333333"/>
      <name val="Arial"/>
    </font>
    <font>
      <u/>
      <sz val="11.0"/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bottom"/>
    </xf>
    <xf borderId="0" fillId="2" fontId="4" numFmtId="0" xfId="0" applyFill="1" applyFont="1"/>
    <xf borderId="0" fillId="0" fontId="5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left" readingOrder="0" vertical="bottom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center" vertical="bottom"/>
    </xf>
    <xf borderId="0" fillId="2" fontId="9" numFmtId="3" xfId="0" applyAlignment="1" applyFont="1" applyNumberFormat="1">
      <alignment horizontal="left"/>
    </xf>
    <xf borderId="0" fillId="0" fontId="7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0" fillId="0" fontId="4" numFmtId="0" xfId="0" applyAlignment="1" applyFont="1">
      <alignment readingOrder="0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2" fontId="4" numFmtId="0" xfId="0" applyAlignment="1" applyFont="1">
      <alignment vertical="center"/>
    </xf>
    <xf borderId="0" fillId="2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2" fontId="1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1" fillId="0" fontId="13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vertical="center"/>
    </xf>
    <xf borderId="1" fillId="0" fontId="13" numFmtId="3" xfId="0" applyAlignment="1" applyBorder="1" applyFont="1" applyNumberFormat="1">
      <alignment horizontal="center" readingOrder="0" shrinkToFit="0" vertical="center" wrapText="1"/>
    </xf>
    <xf borderId="0" fillId="2" fontId="12" numFmtId="0" xfId="0" applyAlignment="1" applyFont="1">
      <alignment horizontal="center" readingOrder="0" vertical="center"/>
    </xf>
    <xf borderId="1" fillId="0" fontId="13" numFmtId="0" xfId="0" applyAlignment="1" applyBorder="1" applyFont="1">
      <alignment horizontal="left" readingOrder="0" shrinkToFit="0" vertical="center" wrapText="1"/>
    </xf>
    <xf borderId="1" fillId="4" fontId="13" numFmtId="3" xfId="0" applyAlignment="1" applyBorder="1" applyFill="1" applyFont="1" applyNumberFormat="1">
      <alignment horizontal="center" readingOrder="0" shrinkToFit="0" vertical="center" wrapText="1"/>
    </xf>
    <xf borderId="1" fillId="5" fontId="13" numFmtId="0" xfId="0" applyAlignment="1" applyBorder="1" applyFill="1" applyFont="1">
      <alignment horizontal="left" readingOrder="0" shrinkToFit="0" vertical="center" wrapText="1"/>
    </xf>
    <xf borderId="1" fillId="6" fontId="13" numFmtId="3" xfId="0" applyAlignment="1" applyBorder="1" applyFill="1" applyFont="1" applyNumberFormat="1">
      <alignment horizontal="center" readingOrder="0" shrinkToFit="0" vertical="center" wrapText="1"/>
    </xf>
    <xf borderId="1" fillId="5" fontId="13" numFmtId="3" xfId="0" applyAlignment="1" applyBorder="1" applyFont="1" applyNumberFormat="1">
      <alignment horizontal="center" readingOrder="0" shrinkToFit="0" vertical="center" wrapText="1"/>
    </xf>
    <xf borderId="1" fillId="2" fontId="4" numFmtId="10" xfId="0" applyAlignment="1" applyBorder="1" applyFont="1" applyNumberFormat="1">
      <alignment horizontal="center" readingOrder="0" vertical="center"/>
    </xf>
    <xf borderId="1" fillId="0" fontId="13" numFmtId="3" xfId="0" applyAlignment="1" applyBorder="1" applyFont="1" applyNumberFormat="1">
      <alignment horizontal="center" readingOrder="0" vertical="center"/>
    </xf>
    <xf borderId="1" fillId="0" fontId="4" numFmtId="3" xfId="0" applyAlignment="1" applyBorder="1" applyFont="1" applyNumberFormat="1">
      <alignment horizontal="center" readingOrder="0" shrinkToFit="0" vertical="center" wrapText="1"/>
    </xf>
    <xf borderId="1" fillId="7" fontId="13" numFmtId="3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5" fontId="4" numFmtId="3" xfId="0" applyAlignment="1" applyBorder="1" applyFont="1" applyNumberFormat="1">
      <alignment horizontal="center" readingOrder="0" shrinkToFit="0" vertical="center" wrapText="1"/>
    </xf>
    <xf borderId="1" fillId="6" fontId="4" numFmtId="3" xfId="0" applyAlignment="1" applyBorder="1" applyFont="1" applyNumberForma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1"/>
    </xf>
    <xf borderId="1" fillId="5" fontId="15" numFmtId="0" xfId="0" applyAlignment="1" applyBorder="1" applyFont="1">
      <alignment horizontal="center" readingOrder="0" shrinkToFit="0" vertical="center" wrapText="1"/>
    </xf>
    <xf borderId="1" fillId="0" fontId="4" numFmtId="3" xfId="0" applyAlignment="1" applyBorder="1" applyFont="1" applyNumberFormat="1">
      <alignment horizontal="center" readingOrder="0" vertical="center"/>
    </xf>
    <xf borderId="0" fillId="2" fontId="12" numFmtId="0" xfId="0" applyAlignment="1" applyFont="1">
      <alignment horizontal="left" readingOrder="0" vertical="center"/>
    </xf>
    <xf borderId="0" fillId="2" fontId="16" numFmtId="0" xfId="0" applyAlignment="1" applyFont="1">
      <alignment vertical="center"/>
    </xf>
    <xf borderId="0" fillId="2" fontId="4" numFmtId="3" xfId="0" applyAlignment="1" applyFont="1" applyNumberForma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vertical="center"/>
    </xf>
    <xf borderId="1" fillId="0" fontId="13" numFmtId="0" xfId="0" applyAlignment="1" applyBorder="1" applyFont="1">
      <alignment horizontal="center" readingOrder="0" shrinkToFit="0" vertical="center" wrapText="1"/>
    </xf>
    <xf borderId="0" fillId="2" fontId="18" numFmtId="0" xfId="0" applyAlignment="1" applyFont="1">
      <alignment horizontal="left" readingOrder="0" vertical="center"/>
    </xf>
    <xf borderId="1" fillId="6" fontId="13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left" readingOrder="0" vertical="center"/>
    </xf>
    <xf borderId="1" fillId="3" fontId="4" numFmtId="10" xfId="0" applyAlignment="1" applyBorder="1" applyFont="1" applyNumberFormat="1">
      <alignment horizontal="center" readingOrder="0" vertical="center"/>
    </xf>
    <xf borderId="1" fillId="3" fontId="13" numFmtId="0" xfId="0" applyAlignment="1" applyBorder="1" applyFont="1">
      <alignment horizontal="left" readingOrder="0" shrinkToFit="0" vertical="center" wrapText="1"/>
    </xf>
    <xf borderId="0" fillId="8" fontId="4" numFmtId="0" xfId="0" applyAlignment="1" applyFill="1" applyFont="1">
      <alignment horizontal="center" vertical="center"/>
    </xf>
    <xf borderId="1" fillId="3" fontId="13" numFmtId="3" xfId="0" applyAlignment="1" applyBorder="1" applyFont="1" applyNumberFormat="1">
      <alignment horizontal="center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1" fillId="5" fontId="13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readingOrder="0" vertical="center"/>
    </xf>
    <xf borderId="1" fillId="5" fontId="4" numFmtId="10" xfId="0" applyAlignment="1" applyBorder="1" applyFont="1" applyNumberFormat="1">
      <alignment horizontal="center" readingOrder="0" vertical="center"/>
    </xf>
    <xf borderId="1" fillId="5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13" numFmtId="3" xfId="0" applyAlignment="1" applyBorder="1" applyFont="1" applyNumberFormat="1">
      <alignment horizontal="center" readingOrder="0" vertical="center"/>
    </xf>
    <xf borderId="1" fillId="3" fontId="20" numFmtId="0" xfId="0" applyAlignment="1" applyBorder="1" applyFont="1">
      <alignment horizontal="center" readingOrder="0" shrinkToFit="0" vertical="center" wrapText="1"/>
    </xf>
    <xf borderId="0" fillId="9" fontId="4" numFmtId="0" xfId="0" applyAlignment="1" applyFill="1" applyFont="1">
      <alignment vertical="center"/>
    </xf>
    <xf borderId="0" fillId="8" fontId="4" numFmtId="0" xfId="0" applyAlignment="1" applyFont="1">
      <alignment horizontal="center" vertical="center"/>
    </xf>
    <xf borderId="0" fillId="2" fontId="4" numFmtId="0" xfId="0" applyAlignment="1" applyFont="1">
      <alignment horizontal="left" readingOrder="0" vertical="center"/>
    </xf>
    <xf borderId="0" fillId="0" fontId="4" numFmtId="0" xfId="0" applyAlignment="1" applyFont="1">
      <alignment horizontal="center" vertical="center"/>
    </xf>
    <xf borderId="1" fillId="3" fontId="4" numFmtId="3" xfId="0" applyAlignment="1" applyBorder="1" applyFont="1" applyNumberFormat="1">
      <alignment horizontal="center" readingOrder="0" shrinkToFit="0" vertical="center" wrapText="1"/>
    </xf>
    <xf borderId="0" fillId="8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left" vertical="center"/>
    </xf>
    <xf borderId="1" fillId="2" fontId="4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left" readingOrder="0" shrinkToFit="0" vertical="center" wrapText="1"/>
    </xf>
    <xf borderId="0" fillId="0" fontId="13" numFmtId="3" xfId="0" applyAlignment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22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3" fontId="2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4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/>
    </xf>
    <xf borderId="0" fillId="2" fontId="12" numFmtId="3" xfId="0" applyAlignment="1" applyFont="1" applyNumberFormat="1">
      <alignment horizontal="center" readingOrder="0" vertical="center"/>
    </xf>
    <xf borderId="0" fillId="2" fontId="12" numFmtId="0" xfId="0" applyAlignment="1" applyFont="1">
      <alignment horizontal="left" vertical="center"/>
    </xf>
    <xf borderId="0" fillId="2" fontId="25" numFmtId="0" xfId="0" applyAlignment="1" applyFont="1">
      <alignment vertical="center"/>
    </xf>
    <xf borderId="0" fillId="2" fontId="26" numFmtId="0" xfId="0" applyFont="1"/>
    <xf borderId="1" fillId="5" fontId="4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5" fontId="13" numFmtId="0" xfId="0" applyAlignment="1" applyFont="1">
      <alignment horizontal="left" readingOrder="0" shrinkToFit="0" vertical="center" wrapText="1"/>
    </xf>
    <xf borderId="0" fillId="5" fontId="13" numFmtId="3" xfId="0" applyAlignment="1" applyFont="1" applyNumberFormat="1">
      <alignment horizontal="center" readingOrder="0" shrinkToFit="0" vertical="center" wrapText="1"/>
    </xf>
    <xf borderId="0" fillId="5" fontId="13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5" fontId="4" numFmtId="3" xfId="0" applyAlignment="1" applyFont="1" applyNumberFormat="1">
      <alignment horizontal="center" readingOrder="0" shrinkToFit="0" vertical="center" wrapText="1"/>
    </xf>
    <xf borderId="0" fillId="5" fontId="28" numFmtId="0" xfId="0" applyAlignment="1" applyFont="1">
      <alignment horizontal="center" readingOrder="0" shrinkToFit="0" vertical="center" wrapText="1"/>
    </xf>
    <xf borderId="0" fillId="3" fontId="29" numFmtId="0" xfId="0" applyAlignment="1" applyFont="1">
      <alignment horizontal="center" readingOrder="0" shrinkToFit="0" vertical="center" wrapText="1"/>
    </xf>
    <xf borderId="0" fillId="0" fontId="22" numFmtId="3" xfId="0" applyAlignment="1" applyFont="1" applyNumberFormat="1">
      <alignment horizontal="center" readingOrder="0" shrinkToFit="0" vertical="center" wrapText="1"/>
    </xf>
    <xf borderId="0" fillId="0" fontId="23" numFmtId="0" xfId="0" applyAlignment="1" applyFont="1">
      <alignment horizontal="center" shrinkToFit="0" vertical="center" wrapText="1"/>
    </xf>
    <xf borderId="0" fillId="2" fontId="30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1" fillId="3" fontId="21" numFmtId="0" xfId="0" applyAlignment="1" applyBorder="1" applyFont="1">
      <alignment horizontal="center" readingOrder="0" shrinkToFit="0" vertical="center" wrapText="1"/>
    </xf>
    <xf borderId="0" fillId="2" fontId="31" numFmtId="0" xfId="0" applyAlignment="1" applyFont="1">
      <alignment horizontal="left" readingOrder="0" shrinkToFit="0" vertical="center" wrapText="1"/>
    </xf>
    <xf borderId="0" fillId="2" fontId="31" numFmtId="3" xfId="0" applyAlignment="1" applyFont="1" applyNumberFormat="1">
      <alignment horizontal="center" readingOrder="0" shrinkToFit="0" vertical="center" wrapText="1"/>
    </xf>
    <xf borderId="0" fillId="2" fontId="31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shrinkToFit="0" vertical="center" wrapText="1"/>
    </xf>
    <xf borderId="0" fillId="2" fontId="31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vertical="center"/>
    </xf>
    <xf borderId="0" fillId="5" fontId="7" numFmtId="0" xfId="0" applyAlignment="1" applyFont="1">
      <alignment horizontal="left" readingOrder="0" shrinkToFit="0" vertical="center" wrapText="1"/>
    </xf>
    <xf borderId="0" fillId="5" fontId="22" numFmtId="3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5" fontId="7" numFmtId="10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5" fontId="32" numFmtId="3" xfId="0" applyAlignment="1" applyFont="1" applyNumberFormat="1">
      <alignment horizontal="center" readingOrder="0" shrinkToFit="0" vertical="center" wrapText="1"/>
    </xf>
    <xf borderId="0" fillId="5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10" fontId="4" numFmtId="0" xfId="0" applyAlignment="1" applyFill="1" applyFont="1">
      <alignment vertical="center"/>
    </xf>
    <xf borderId="0" fillId="2" fontId="33" numFmtId="0" xfId="0" applyAlignment="1" applyFont="1">
      <alignment horizontal="center" readingOrder="0"/>
    </xf>
    <xf borderId="2" fillId="0" fontId="13" numFmtId="0" xfId="0" applyAlignment="1" applyBorder="1" applyFont="1">
      <alignment horizontal="center" readingOrder="0" vertical="center"/>
    </xf>
    <xf borderId="3" fillId="7" fontId="13" numFmtId="3" xfId="0" applyAlignment="1" applyBorder="1" applyFont="1" applyNumberFormat="1">
      <alignment horizontal="center" readingOrder="0" vertical="center"/>
    </xf>
    <xf borderId="4" fillId="0" fontId="13" numFmtId="0" xfId="0" applyAlignment="1" applyBorder="1" applyFont="1">
      <alignment horizontal="center" readingOrder="0" vertical="center"/>
    </xf>
    <xf borderId="3" fillId="6" fontId="4" numFmtId="3" xfId="0" applyAlignment="1" applyBorder="1" applyFont="1" applyNumberFormat="1">
      <alignment horizontal="center" readingOrder="0" vertical="center"/>
    </xf>
    <xf borderId="1" fillId="5" fontId="13" numFmtId="0" xfId="0" applyAlignment="1" applyBorder="1" applyFont="1">
      <alignment horizontal="left" readingOrder="0" shrinkToFit="0" vertical="center" wrapText="1"/>
    </xf>
    <xf borderId="1" fillId="5" fontId="13" numFmtId="0" xfId="0" applyAlignment="1" applyBorder="1" applyFont="1">
      <alignment horizontal="center" readingOrder="0" vertical="center"/>
    </xf>
    <xf borderId="1" fillId="5" fontId="30" numFmtId="10" xfId="0" applyAlignment="1" applyBorder="1" applyFont="1" applyNumberFormat="1">
      <alignment horizontal="center" readingOrder="0" vertical="center"/>
    </xf>
    <xf borderId="1" fillId="5" fontId="30" numFmtId="0" xfId="0" applyAlignment="1" applyBorder="1" applyFont="1">
      <alignment horizontal="center" readingOrder="0" vertical="center"/>
    </xf>
    <xf borderId="1" fillId="5" fontId="34" numFmtId="0" xfId="0" applyAlignment="1" applyBorder="1" applyFont="1">
      <alignment horizontal="center" readingOrder="0" vertical="center"/>
    </xf>
    <xf borderId="0" fillId="2" fontId="30" numFmtId="0" xfId="0" applyAlignment="1" applyFont="1">
      <alignment horizontal="center" vertical="center"/>
    </xf>
    <xf borderId="0" fillId="2" fontId="31" numFmtId="0" xfId="0" applyAlignment="1" applyFont="1">
      <alignment horizontal="left" readingOrder="0" vertical="center"/>
    </xf>
    <xf borderId="0" fillId="2" fontId="31" numFmtId="0" xfId="0" applyAlignment="1" applyFont="1">
      <alignment horizontal="center" readingOrder="0" vertical="center"/>
    </xf>
    <xf borderId="0" fillId="2" fontId="31" numFmtId="3" xfId="0" applyAlignment="1" applyFont="1" applyNumberFormat="1">
      <alignment horizontal="center" readingOrder="0" vertical="center"/>
    </xf>
    <xf borderId="0" fillId="2" fontId="16" numFmtId="3" xfId="0" applyAlignment="1" applyFont="1" applyNumberFormat="1">
      <alignment horizontal="center" readingOrder="0" vertical="center"/>
    </xf>
    <xf borderId="0" fillId="2" fontId="16" numFmtId="0" xfId="0" applyAlignment="1" applyFont="1">
      <alignment horizontal="center" readingOrder="0" vertical="center"/>
    </xf>
    <xf borderId="0" fillId="2" fontId="31" numFmtId="0" xfId="0" applyAlignment="1" applyFont="1">
      <alignment horizontal="center" readingOrder="0" vertical="center"/>
    </xf>
    <xf borderId="0" fillId="5" fontId="7" numFmtId="0" xfId="0" applyAlignment="1" applyFont="1">
      <alignment horizontal="left" readingOrder="0" vertical="center"/>
    </xf>
    <xf borderId="0" fillId="5" fontId="23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5" fontId="22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5" fontId="7" numFmtId="10" xfId="0" applyAlignment="1" applyFont="1" applyNumberFormat="1">
      <alignment horizontal="center" readingOrder="0" vertical="center"/>
    </xf>
    <xf borderId="0" fillId="5" fontId="7" numFmtId="3" xfId="0" applyAlignment="1" applyFont="1" applyNumberFormat="1">
      <alignment horizontal="center" readingOrder="0" vertical="center"/>
    </xf>
    <xf borderId="0" fillId="5" fontId="32" numFmtId="3" xfId="0" applyAlignment="1" applyFont="1" applyNumberFormat="1">
      <alignment horizontal="center" readingOrder="0" vertical="center"/>
    </xf>
    <xf borderId="0" fillId="5" fontId="4" numFmtId="0" xfId="0" applyAlignment="1" applyFont="1">
      <alignment horizontal="center" vertical="center"/>
    </xf>
    <xf borderId="0" fillId="2" fontId="26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26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World!$A$7:$A$208</c:f>
            </c:strRef>
          </c:cat>
          <c:val>
            <c:numRef>
              <c:f>World!$B$7:$B$208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World!$A$7:$A$208</c:f>
            </c:strRef>
          </c:cat>
          <c:val>
            <c:numRef>
              <c:f>World!$D$7:$D$209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6:I211" displayName="Table_10" id="10">
  <tableColumns count="9">
    <tableColumn name="LOCATION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A5:I20" displayName="Table_4" id="4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6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6" id="6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M6:M211" displayName="Table_11" id="11">
  <tableColumns count="1">
    <tableColumn name="Deaths" id="1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L6:L211" displayName="Table_12" id="12">
  <tableColumns count="1">
    <tableColumn name="Case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I68" displayName="Table_7" id="7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M5:T6" displayName="Table_8" id="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US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L5:L6" displayName="Table_9" id="9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L5:M20" displayName="Table_3" id="3">
  <tableColumns count="2">
    <tableColumn name="Cases" id="1"/>
    <tableColumn name="Deaths" id="2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1" t="s">
        <v>0</v>
      </c>
      <c r="B1" s="3"/>
      <c r="C1" s="3"/>
      <c r="D1" s="3"/>
      <c r="E1" s="5"/>
      <c r="F1" s="5"/>
      <c r="G1" s="5"/>
      <c r="H1" s="7"/>
      <c r="I1" s="8"/>
      <c r="J1" s="4"/>
      <c r="K1" s="9"/>
      <c r="L1" s="3"/>
      <c r="M1" s="3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/>
      <c r="B2" s="3"/>
      <c r="C2" s="3"/>
      <c r="D2" s="3"/>
      <c r="E2" s="5"/>
      <c r="F2" s="5"/>
      <c r="G2" s="5"/>
      <c r="H2" s="7"/>
      <c r="I2" s="8"/>
      <c r="J2" s="4"/>
      <c r="K2" s="6"/>
      <c r="L2" s="3"/>
      <c r="M2" s="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 t="s">
        <v>1</v>
      </c>
      <c r="B3" s="12" t="s">
        <v>2</v>
      </c>
      <c r="C3" s="5" t="s">
        <v>3</v>
      </c>
      <c r="E3" s="11" t="s">
        <v>4</v>
      </c>
      <c r="H3" s="7"/>
      <c r="I3" s="8"/>
      <c r="J3" s="4"/>
      <c r="K3" s="6"/>
      <c r="L3" s="12" t="s">
        <v>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3">
        <f>SUM(B210, B211)</f>
        <v>1347845</v>
      </c>
      <c r="B4" s="16">
        <f>SUM(D210, D211)</f>
        <v>74748</v>
      </c>
      <c r="C4" s="14">
        <f>SUM(H210, H211)</f>
        <v>279098</v>
      </c>
      <c r="E4" s="15">
        <f>MINUS(A4,B4 + C4)</f>
        <v>993999</v>
      </c>
      <c r="F4" s="15"/>
      <c r="G4" s="5"/>
      <c r="H4" s="7"/>
      <c r="I4" s="8"/>
      <c r="J4" s="4"/>
      <c r="K4" s="6"/>
      <c r="L4" s="18">
        <f>SUM(N210, N211)</f>
        <v>0</v>
      </c>
      <c r="N4" s="1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7"/>
      <c r="B5" s="8"/>
      <c r="C5" s="8"/>
      <c r="D5" s="8"/>
      <c r="E5" s="7"/>
      <c r="F5" s="7"/>
      <c r="G5" s="7"/>
      <c r="H5" s="7"/>
      <c r="I5" s="8"/>
      <c r="J5" s="4"/>
      <c r="K5" s="6"/>
      <c r="L5" s="8"/>
      <c r="M5" s="8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0.0" customHeight="1">
      <c r="A6" s="23" t="s">
        <v>9</v>
      </c>
      <c r="B6" s="25" t="s">
        <v>7</v>
      </c>
      <c r="C6" s="22" t="s">
        <v>8</v>
      </c>
      <c r="D6" s="25" t="s">
        <v>10</v>
      </c>
      <c r="E6" s="24" t="s">
        <v>11</v>
      </c>
      <c r="F6" s="24" t="s">
        <v>12</v>
      </c>
      <c r="G6" s="24" t="s">
        <v>13</v>
      </c>
      <c r="H6" s="27" t="s">
        <v>14</v>
      </c>
      <c r="I6" s="25" t="s">
        <v>15</v>
      </c>
      <c r="J6" s="28"/>
      <c r="K6" s="29"/>
      <c r="L6" s="25" t="s">
        <v>7</v>
      </c>
      <c r="M6" s="25" t="s">
        <v>10</v>
      </c>
      <c r="N6" s="30"/>
      <c r="O6" s="32"/>
      <c r="P6" s="30"/>
      <c r="Q6" s="34" t="s">
        <v>18</v>
      </c>
      <c r="R6" s="30"/>
      <c r="S6" s="30"/>
      <c r="T6" s="30"/>
      <c r="U6" s="30"/>
      <c r="V6" s="30"/>
      <c r="W6" s="30"/>
      <c r="X6" s="30"/>
      <c r="Y6" s="30"/>
      <c r="Z6" s="30"/>
    </row>
    <row r="7" ht="30.0" customHeight="1">
      <c r="A7" s="37" t="s">
        <v>19</v>
      </c>
      <c r="B7" s="43">
        <f>USA!A3</f>
        <v>366848</v>
      </c>
      <c r="C7" s="45">
        <f t="shared" ref="C7:C190" si="1">MINUS(B7,L7)</f>
        <v>0</v>
      </c>
      <c r="D7" s="43">
        <f>USA!B3</f>
        <v>10915</v>
      </c>
      <c r="E7" s="48">
        <f t="shared" ref="E7:E209" si="2">MINUS(D7, M7)</f>
        <v>0</v>
      </c>
      <c r="F7" s="42">
        <f t="shared" ref="F7:F208" si="3">DIVIDE(D7, B7)</f>
        <v>0.02975346738</v>
      </c>
      <c r="G7" s="51">
        <f>USA!G66</f>
        <v>6151</v>
      </c>
      <c r="H7" s="51">
        <f>USA!C3</f>
        <v>16438</v>
      </c>
      <c r="I7" s="55" t="str">
        <f>HYPERLINK("https://bnonews.com/index.php/2019/12/tracking-coronavirus-u-s-data/","Source")</f>
        <v>Source</v>
      </c>
      <c r="J7" s="57"/>
      <c r="K7" s="64"/>
      <c r="L7" s="43">
        <v>366848.0</v>
      </c>
      <c r="M7" s="43">
        <v>10915.0</v>
      </c>
      <c r="N7" s="30"/>
      <c r="O7" s="30"/>
      <c r="P7" s="30"/>
      <c r="Q7" s="32" t="s">
        <v>24</v>
      </c>
      <c r="R7" s="30"/>
      <c r="S7" s="67">
        <v>5.0</v>
      </c>
      <c r="T7" s="69" t="str">
        <f>HYPERLINK("https://tass.com/world/1141003","Source")</f>
        <v>Source</v>
      </c>
      <c r="U7" s="30"/>
      <c r="V7" s="30"/>
      <c r="W7" s="30"/>
      <c r="X7" s="30"/>
      <c r="Y7" s="30"/>
      <c r="Z7" s="30"/>
    </row>
    <row r="8" ht="30.0" customHeight="1">
      <c r="A8" s="37" t="s">
        <v>27</v>
      </c>
      <c r="B8" s="43">
        <v>135032.0</v>
      </c>
      <c r="C8" s="45">
        <f t="shared" si="1"/>
        <v>0</v>
      </c>
      <c r="D8" s="73">
        <v>13169.0</v>
      </c>
      <c r="E8" s="48">
        <f t="shared" si="2"/>
        <v>0</v>
      </c>
      <c r="F8" s="70">
        <f t="shared" si="3"/>
        <v>0.0975250311</v>
      </c>
      <c r="G8" s="51">
        <v>6931.0</v>
      </c>
      <c r="H8" s="51">
        <v>40437.0</v>
      </c>
      <c r="I8" s="55" t="str">
        <f>HYPERLINK("https://twitter.com/SaludPublicaEs/status/1247097105426022400","Source")</f>
        <v>Source</v>
      </c>
      <c r="J8" s="75"/>
      <c r="K8" s="76"/>
      <c r="L8" s="43">
        <v>135032.0</v>
      </c>
      <c r="M8" s="73">
        <v>13169.0</v>
      </c>
      <c r="N8" s="30"/>
      <c r="O8" s="30"/>
      <c r="P8" s="30"/>
      <c r="Q8" s="32" t="s">
        <v>31</v>
      </c>
      <c r="R8" s="30"/>
      <c r="S8" s="67">
        <v>4.0</v>
      </c>
      <c r="T8" s="69" t="str">
        <f>HYPERLINK("https://ria.ru/20200405/1569597185.html","Source")</f>
        <v>Source</v>
      </c>
      <c r="U8" s="30"/>
      <c r="V8" s="30"/>
      <c r="W8" s="30"/>
      <c r="X8" s="30"/>
      <c r="Y8" s="30"/>
      <c r="Z8" s="30"/>
    </row>
    <row r="9" ht="30.0" customHeight="1">
      <c r="A9" s="37" t="s">
        <v>34</v>
      </c>
      <c r="B9" s="43">
        <v>132547.0</v>
      </c>
      <c r="C9" s="45">
        <f t="shared" si="1"/>
        <v>0</v>
      </c>
      <c r="D9" s="43">
        <v>16523.0</v>
      </c>
      <c r="E9" s="48">
        <f t="shared" si="2"/>
        <v>0</v>
      </c>
      <c r="F9" s="70">
        <f t="shared" si="3"/>
        <v>0.1246576686</v>
      </c>
      <c r="G9" s="51">
        <v>3898.0</v>
      </c>
      <c r="H9" s="51">
        <v>22837.0</v>
      </c>
      <c r="I9" s="55" t="str">
        <f>HYPERLINK("https://pbs.twimg.com/media/EU7s5c9XYAEAysp?format=jpg&amp;name=medium","Source")</f>
        <v>Source</v>
      </c>
      <c r="J9" s="28"/>
      <c r="K9" s="76"/>
      <c r="L9" s="43">
        <v>132547.0</v>
      </c>
      <c r="M9" s="43">
        <v>16523.0</v>
      </c>
      <c r="N9" s="30"/>
      <c r="O9" s="30"/>
      <c r="P9" s="30"/>
      <c r="Q9" s="32"/>
      <c r="R9" s="30"/>
      <c r="S9" s="67"/>
      <c r="T9" s="30"/>
      <c r="U9" s="30"/>
      <c r="V9" s="30"/>
      <c r="W9" s="30"/>
      <c r="X9" s="30"/>
      <c r="Y9" s="30"/>
      <c r="Z9" s="30"/>
    </row>
    <row r="10" ht="30.0" customHeight="1">
      <c r="A10" s="37" t="s">
        <v>37</v>
      </c>
      <c r="B10" s="73">
        <v>103121.0</v>
      </c>
      <c r="C10" s="45">
        <f t="shared" si="1"/>
        <v>0</v>
      </c>
      <c r="D10" s="43">
        <v>1772.0</v>
      </c>
      <c r="E10" s="48">
        <f t="shared" si="2"/>
        <v>0</v>
      </c>
      <c r="F10" s="42">
        <f t="shared" si="3"/>
        <v>0.01718369682</v>
      </c>
      <c r="G10" s="51">
        <v>2550.0</v>
      </c>
      <c r="H10" s="51">
        <v>38669.0</v>
      </c>
      <c r="I10" s="55" t="str">
        <f>HYPERLINK("https://dts-nachrichtenagentur.de/corona-fallzahlen","Source")</f>
        <v>Source</v>
      </c>
      <c r="J10" s="75"/>
      <c r="K10" s="76"/>
      <c r="L10" s="73">
        <v>103121.0</v>
      </c>
      <c r="M10" s="43">
        <v>1772.0</v>
      </c>
      <c r="N10" s="30"/>
      <c r="O10" s="30"/>
      <c r="P10" s="30"/>
      <c r="Q10" s="30"/>
      <c r="R10" s="30"/>
      <c r="S10" s="78"/>
      <c r="T10" s="30"/>
      <c r="U10" s="30"/>
      <c r="V10" s="30"/>
      <c r="W10" s="30"/>
      <c r="X10" s="30"/>
      <c r="Y10" s="30"/>
      <c r="Z10" s="30"/>
    </row>
    <row r="11" ht="30.0" customHeight="1">
      <c r="A11" s="37" t="s">
        <v>41</v>
      </c>
      <c r="B11" s="43">
        <v>98010.0</v>
      </c>
      <c r="C11" s="45">
        <f t="shared" si="1"/>
        <v>0</v>
      </c>
      <c r="D11" s="43">
        <v>8911.0</v>
      </c>
      <c r="E11" s="48">
        <f t="shared" si="2"/>
        <v>0</v>
      </c>
      <c r="F11" s="70">
        <f t="shared" si="3"/>
        <v>0.09091929395</v>
      </c>
      <c r="G11" s="51">
        <v>7072.0</v>
      </c>
      <c r="H11" s="51">
        <v>17250.0</v>
      </c>
      <c r="I11" s="55" t="str">
        <f>HYPERLINK("https://news.trust.org/item/20200406182338-qqk9s","Source")</f>
        <v>Source</v>
      </c>
      <c r="J11" s="28"/>
      <c r="K11" s="80" t="s">
        <v>29</v>
      </c>
      <c r="L11" s="43">
        <v>98010.0</v>
      </c>
      <c r="M11" s="43">
        <v>8911.0</v>
      </c>
      <c r="N11" s="30"/>
      <c r="O11" s="30"/>
      <c r="P11" s="30"/>
      <c r="Q11" s="30"/>
      <c r="R11" s="30"/>
      <c r="S11" s="78"/>
      <c r="T11" s="30"/>
      <c r="U11" s="30"/>
      <c r="V11" s="30"/>
      <c r="W11" s="30"/>
      <c r="X11" s="30"/>
      <c r="Y11" s="30"/>
      <c r="Z11" s="30"/>
    </row>
    <row r="12" ht="30.0" customHeight="1">
      <c r="A12" s="37" t="s">
        <v>46</v>
      </c>
      <c r="B12" s="43">
        <f>China!A3</f>
        <v>83595</v>
      </c>
      <c r="C12" s="45">
        <f t="shared" si="1"/>
        <v>60</v>
      </c>
      <c r="D12" s="43">
        <f>China!B3</f>
        <v>3331</v>
      </c>
      <c r="E12" s="48">
        <f t="shared" si="2"/>
        <v>0</v>
      </c>
      <c r="F12" s="42">
        <f t="shared" si="3"/>
        <v>0.03984688079</v>
      </c>
      <c r="G12" s="51">
        <f>China!D15</f>
        <v>211</v>
      </c>
      <c r="H12" s="51">
        <f>China!D3</f>
        <v>77451</v>
      </c>
      <c r="I12" s="55" t="str">
        <f>HYPERLINK("https://bnonews.com/index.php/2020/03/tracking-coronavirus-china-data/","Source")</f>
        <v>Source</v>
      </c>
      <c r="J12" s="28"/>
      <c r="K12" s="80" t="s">
        <v>29</v>
      </c>
      <c r="L12" s="43">
        <v>83535.0</v>
      </c>
      <c r="M12" s="43">
        <v>3331.0</v>
      </c>
      <c r="N12" s="30"/>
      <c r="O12" s="30"/>
      <c r="P12" s="30"/>
      <c r="Q12" s="30"/>
      <c r="R12" s="30"/>
      <c r="S12" s="78"/>
      <c r="T12" s="30"/>
      <c r="U12" s="30"/>
      <c r="V12" s="30"/>
      <c r="W12" s="30"/>
      <c r="X12" s="30"/>
      <c r="Y12" s="30"/>
      <c r="Z12" s="30"/>
    </row>
    <row r="13" ht="30.0" customHeight="1">
      <c r="A13" s="37" t="s">
        <v>51</v>
      </c>
      <c r="B13" s="43">
        <v>60500.0</v>
      </c>
      <c r="C13" s="45">
        <f t="shared" si="1"/>
        <v>0</v>
      </c>
      <c r="D13" s="43">
        <v>3739.0</v>
      </c>
      <c r="E13" s="48">
        <f t="shared" si="2"/>
        <v>0</v>
      </c>
      <c r="F13" s="42">
        <f t="shared" si="3"/>
        <v>0.06180165289</v>
      </c>
      <c r="G13" s="51">
        <v>4083.0</v>
      </c>
      <c r="H13" s="51">
        <v>24236.0</v>
      </c>
      <c r="I13" s="55" t="str">
        <f>HYPERLINK("https://twitter.com/AbasAslani/status/1247100328325140485","Source")</f>
        <v>Source</v>
      </c>
      <c r="J13" s="28"/>
      <c r="K13" s="80" t="s">
        <v>29</v>
      </c>
      <c r="L13" s="43">
        <v>60500.0</v>
      </c>
      <c r="M13" s="43">
        <v>3739.0</v>
      </c>
      <c r="N13" s="30"/>
      <c r="O13" s="30"/>
      <c r="P13" s="30"/>
      <c r="Q13" s="30"/>
      <c r="R13" s="30"/>
      <c r="S13" s="78"/>
      <c r="T13" s="30"/>
      <c r="U13" s="30"/>
      <c r="V13" s="30"/>
      <c r="W13" s="30"/>
      <c r="X13" s="30"/>
      <c r="Y13" s="30"/>
      <c r="Z13" s="30"/>
    </row>
    <row r="14" ht="30.0" customHeight="1">
      <c r="A14" s="37" t="s">
        <v>54</v>
      </c>
      <c r="B14" s="43">
        <v>51608.0</v>
      </c>
      <c r="C14" s="45">
        <f t="shared" si="1"/>
        <v>0</v>
      </c>
      <c r="D14" s="43">
        <v>5373.0</v>
      </c>
      <c r="E14" s="48">
        <f t="shared" si="2"/>
        <v>0</v>
      </c>
      <c r="F14" s="70">
        <f t="shared" si="3"/>
        <v>0.1041117656</v>
      </c>
      <c r="G14" s="85" t="s">
        <v>26</v>
      </c>
      <c r="H14" s="85">
        <v>135.0</v>
      </c>
      <c r="I14" s="55" t="str">
        <f>HYPERLINK("https://twitter.com/DHSCgovuk/status/1247185091517911040","Source")</f>
        <v>Source</v>
      </c>
      <c r="J14" s="28"/>
      <c r="K14" s="76"/>
      <c r="L14" s="43">
        <v>51608.0</v>
      </c>
      <c r="M14" s="43">
        <v>5373.0</v>
      </c>
      <c r="N14" s="30"/>
      <c r="O14" s="30"/>
      <c r="P14" s="30"/>
      <c r="Q14" s="34" t="s">
        <v>57</v>
      </c>
      <c r="R14" s="30"/>
      <c r="S14" s="78">
        <f>SUM(S7:S13)</f>
        <v>9</v>
      </c>
      <c r="T14" s="30"/>
      <c r="U14" s="30"/>
      <c r="V14" s="30"/>
      <c r="W14" s="30"/>
      <c r="X14" s="30"/>
      <c r="Y14" s="30"/>
      <c r="Z14" s="30"/>
    </row>
    <row r="15" ht="27.75" customHeight="1">
      <c r="A15" s="37" t="s">
        <v>58</v>
      </c>
      <c r="B15" s="43">
        <v>30217.0</v>
      </c>
      <c r="C15" s="45">
        <f t="shared" si="1"/>
        <v>0</v>
      </c>
      <c r="D15" s="91">
        <v>649.0</v>
      </c>
      <c r="E15" s="48">
        <f t="shared" si="2"/>
        <v>0</v>
      </c>
      <c r="F15" s="70">
        <f t="shared" si="3"/>
        <v>0.02147797597</v>
      </c>
      <c r="G15" s="51">
        <v>1415.0</v>
      </c>
      <c r="H15" s="51">
        <v>1326.0</v>
      </c>
      <c r="I15" s="55" t="str">
        <f>HYPERLINK("https://covid19.saglik.gov.tr/","Source")</f>
        <v>Source</v>
      </c>
      <c r="J15" s="28"/>
      <c r="K15" s="80" t="s">
        <v>29</v>
      </c>
      <c r="L15" s="43">
        <v>30217.0</v>
      </c>
      <c r="M15" s="91">
        <v>649.0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30.0" customHeight="1">
      <c r="A16" s="37" t="s">
        <v>62</v>
      </c>
      <c r="B16" s="43">
        <v>21663.0</v>
      </c>
      <c r="C16" s="45">
        <f t="shared" si="1"/>
        <v>0</v>
      </c>
      <c r="D16" s="91">
        <v>765.0</v>
      </c>
      <c r="E16" s="48">
        <f t="shared" si="2"/>
        <v>0</v>
      </c>
      <c r="F16" s="42">
        <f t="shared" si="3"/>
        <v>0.03531366847</v>
      </c>
      <c r="G16" s="85" t="s">
        <v>26</v>
      </c>
      <c r="H16" s="51">
        <v>8056.0</v>
      </c>
      <c r="I16" s="55" t="str">
        <f>HYPERLINK("https://rsalzer.github.io/COVID_19_CH/","Source")</f>
        <v>Source</v>
      </c>
      <c r="J16" s="75"/>
      <c r="K16" s="76"/>
      <c r="L16" s="43">
        <v>21663.0</v>
      </c>
      <c r="M16" s="91">
        <v>765.0</v>
      </c>
      <c r="N16" s="30"/>
      <c r="O16" s="30"/>
      <c r="P16" s="30"/>
      <c r="Q16" s="34" t="s">
        <v>63</v>
      </c>
      <c r="R16" s="30"/>
      <c r="S16" s="30"/>
      <c r="T16" s="30"/>
      <c r="U16" s="30"/>
      <c r="V16" s="30"/>
      <c r="W16" s="30"/>
      <c r="X16" s="30"/>
      <c r="Y16" s="30"/>
      <c r="Z16" s="30"/>
    </row>
    <row r="17" ht="30.0" customHeight="1">
      <c r="A17" s="37" t="s">
        <v>64</v>
      </c>
      <c r="B17" s="43">
        <v>20814.0</v>
      </c>
      <c r="C17" s="45">
        <f t="shared" si="1"/>
        <v>0</v>
      </c>
      <c r="D17" s="43">
        <v>1632.0</v>
      </c>
      <c r="E17" s="48">
        <f t="shared" si="2"/>
        <v>0</v>
      </c>
      <c r="F17" s="42">
        <f t="shared" si="3"/>
        <v>0.07840876333</v>
      </c>
      <c r="G17" s="51">
        <v>2257.0</v>
      </c>
      <c r="H17" s="51">
        <v>3751.0</v>
      </c>
      <c r="I17" s="55" t="str">
        <f>HYPERLINK("https://www.youtube.com/watch?v=WM26twyn8Oc","Source")</f>
        <v>Source</v>
      </c>
      <c r="J17" s="28"/>
      <c r="K17" s="80" t="s">
        <v>29</v>
      </c>
      <c r="L17" s="43">
        <v>20814.0</v>
      </c>
      <c r="M17" s="43">
        <v>1632.0</v>
      </c>
      <c r="N17" s="30"/>
      <c r="O17" s="30"/>
      <c r="P17" s="30"/>
      <c r="Q17" s="32" t="s">
        <v>66</v>
      </c>
      <c r="R17" s="69" t="str">
        <f>HYPERLINK("https://en.wikipedia.org/wiki/2020_coronavirus_pandemic_in_R%C3%A9union","Link")</f>
        <v>Link</v>
      </c>
      <c r="S17" s="69" t="str">
        <f>HYPERLINK("http://www.reunion.gouv.fr/point-de-situation-du-06-04-2020-5-nouveaux-cas-a6489.html","Link")</f>
        <v>Link</v>
      </c>
      <c r="T17" s="30"/>
      <c r="U17" s="30"/>
      <c r="V17" s="30"/>
      <c r="W17" s="30"/>
      <c r="X17" s="30"/>
      <c r="Y17" s="30"/>
      <c r="Z17" s="30"/>
    </row>
    <row r="18" ht="30.0" customHeight="1">
      <c r="A18" s="37" t="s">
        <v>68</v>
      </c>
      <c r="B18" s="43">
        <v>18803.0</v>
      </c>
      <c r="C18" s="45">
        <f t="shared" si="1"/>
        <v>0</v>
      </c>
      <c r="D18" s="73">
        <v>1867.0</v>
      </c>
      <c r="E18" s="48">
        <f t="shared" si="2"/>
        <v>0</v>
      </c>
      <c r="F18" s="42">
        <f t="shared" si="3"/>
        <v>0.09929266606</v>
      </c>
      <c r="G18" s="51">
        <v>1200.0</v>
      </c>
      <c r="H18" s="85">
        <v>32.0</v>
      </c>
      <c r="I18" s="55" t="str">
        <f>HYPERLINK("https://www.rivm.nl/nieuws/actuele-informatie-over-coronavirus","Source")</f>
        <v>Source</v>
      </c>
      <c r="J18" s="28"/>
      <c r="K18" s="80" t="s">
        <v>29</v>
      </c>
      <c r="L18" s="43">
        <v>18803.0</v>
      </c>
      <c r="M18" s="73">
        <v>1867.0</v>
      </c>
      <c r="N18" s="30"/>
      <c r="O18" s="30"/>
      <c r="P18" s="30"/>
      <c r="Q18" s="102" t="s">
        <v>71</v>
      </c>
      <c r="R18" s="69" t="str">
        <f>HYPERLINK("https://en.wikipedia.org/wiki/2020_coronavirus_pandemic_in_Saint_Pierre_and_Miquelon","Link")</f>
        <v>Link</v>
      </c>
      <c r="S18" s="32"/>
      <c r="T18" s="30"/>
      <c r="U18" s="30"/>
      <c r="V18" s="30"/>
      <c r="W18" s="30"/>
      <c r="X18" s="30"/>
      <c r="Y18" s="30"/>
      <c r="Z18" s="30"/>
    </row>
    <row r="19" ht="30.0" customHeight="1">
      <c r="A19" s="37" t="s">
        <v>73</v>
      </c>
      <c r="B19" s="43">
        <f>Canada!A3</f>
        <v>16529</v>
      </c>
      <c r="C19" s="45">
        <f t="shared" si="1"/>
        <v>0</v>
      </c>
      <c r="D19" s="43">
        <f>Canada!B3</f>
        <v>322</v>
      </c>
      <c r="E19" s="48">
        <f t="shared" si="2"/>
        <v>0</v>
      </c>
      <c r="F19" s="42">
        <f t="shared" si="3"/>
        <v>0.01948091234</v>
      </c>
      <c r="G19" s="51">
        <f>Canada!G20</f>
        <v>317</v>
      </c>
      <c r="H19" s="51">
        <f>Canada!C3</f>
        <v>3113</v>
      </c>
      <c r="I19" s="55" t="str">
        <f>HYPERLINK("https://bnonews.com/index.php/2019/12/tracking-coronavirus-canada-data/","Source")</f>
        <v>Source</v>
      </c>
      <c r="J19" s="28"/>
      <c r="K19" s="76"/>
      <c r="L19" s="43">
        <v>16529.0</v>
      </c>
      <c r="M19" s="91">
        <v>322.0</v>
      </c>
      <c r="N19" s="30"/>
      <c r="O19" s="30"/>
      <c r="P19" s="30"/>
      <c r="Q19" s="32" t="s">
        <v>76</v>
      </c>
      <c r="R19" s="69" t="str">
        <f>HYPERLINK("https://en.wikipedia.org/wiki/2020_coronavirus_pandemic_in_the_Guantanamo_Bay_Naval_Base","Link")</f>
        <v>Link</v>
      </c>
      <c r="S19" s="69" t="str">
        <f>HYPERLINK("https://www.navy.mil/submit/display.asp?story_id=112454","Link")</f>
        <v>Link</v>
      </c>
      <c r="T19" s="30"/>
      <c r="U19" s="30"/>
      <c r="V19" s="30"/>
      <c r="W19" s="30"/>
      <c r="X19" s="30"/>
      <c r="Y19" s="30"/>
      <c r="Z19" s="30"/>
    </row>
    <row r="20" ht="30.0" customHeight="1">
      <c r="A20" s="37" t="s">
        <v>78</v>
      </c>
      <c r="B20" s="43">
        <v>12286.0</v>
      </c>
      <c r="C20" s="45">
        <f t="shared" si="1"/>
        <v>0</v>
      </c>
      <c r="D20" s="91">
        <v>220.0</v>
      </c>
      <c r="E20" s="48">
        <f t="shared" si="2"/>
        <v>0</v>
      </c>
      <c r="F20" s="70">
        <f t="shared" si="3"/>
        <v>0.01790656031</v>
      </c>
      <c r="G20" s="85">
        <v>250.0</v>
      </c>
      <c r="H20" s="51">
        <v>3463.0</v>
      </c>
      <c r="I20" s="55" t="str">
        <f>HYPERLINK("https://info.gesundheitsministerium.at/","Source")</f>
        <v>Source</v>
      </c>
      <c r="J20" s="75"/>
      <c r="K20" s="80" t="s">
        <v>80</v>
      </c>
      <c r="L20" s="43">
        <v>12286.0</v>
      </c>
      <c r="M20" s="91">
        <v>220.0</v>
      </c>
      <c r="N20" s="30"/>
      <c r="O20" s="30"/>
      <c r="P20" s="30"/>
      <c r="Q20" s="32" t="s">
        <v>81</v>
      </c>
      <c r="R20" s="69" t="str">
        <f>HYPERLINK("https://en.wikipedia.org/wiki/2020_coronavirus_pandemic_in_Somaliland","Link")</f>
        <v>Link</v>
      </c>
      <c r="S20" s="30"/>
      <c r="T20" s="30"/>
      <c r="U20" s="30"/>
      <c r="V20" s="30"/>
      <c r="W20" s="30"/>
      <c r="X20" s="30"/>
      <c r="Y20" s="30"/>
      <c r="Z20" s="30"/>
    </row>
    <row r="21" ht="30.0" customHeight="1">
      <c r="A21" s="37" t="s">
        <v>82</v>
      </c>
      <c r="B21" s="43">
        <v>12239.0</v>
      </c>
      <c r="C21" s="45">
        <f t="shared" si="1"/>
        <v>0</v>
      </c>
      <c r="D21" s="91">
        <v>566.0</v>
      </c>
      <c r="E21" s="48">
        <f t="shared" si="2"/>
        <v>0</v>
      </c>
      <c r="F21" s="42">
        <f t="shared" si="3"/>
        <v>0.0462456083</v>
      </c>
      <c r="G21" s="85">
        <v>148.0</v>
      </c>
      <c r="H21" s="85">
        <v>1.0</v>
      </c>
      <c r="I21" s="55" t="str">
        <f>HYPERLINK("https://g1.globo.com/bemestar/coronavirus/noticia/2020/04/06/casos-de-coronavirus-no-brasil-em-6-de-abril.ghtml","Source")</f>
        <v>Source</v>
      </c>
      <c r="J21" s="75"/>
      <c r="K21" s="76"/>
      <c r="L21" s="43">
        <v>12239.0</v>
      </c>
      <c r="M21" s="91">
        <v>566.0</v>
      </c>
      <c r="N21" s="30"/>
      <c r="O21" s="30"/>
      <c r="P21" s="30"/>
      <c r="Q21" s="32" t="s">
        <v>84</v>
      </c>
      <c r="R21" s="69" t="str">
        <f>HYPERLINK("https://en.wikipedia.org/wiki/2020_coronavirus_pandemic_in_Sint_Eustatius","Link")</f>
        <v>Link</v>
      </c>
      <c r="S21" s="30"/>
      <c r="T21" s="30"/>
      <c r="U21" s="30"/>
      <c r="V21" s="30"/>
      <c r="W21" s="30"/>
      <c r="X21" s="30"/>
      <c r="Y21" s="30"/>
      <c r="Z21" s="30"/>
    </row>
    <row r="22" ht="30.0" customHeight="1">
      <c r="A22" s="37" t="s">
        <v>85</v>
      </c>
      <c r="B22" s="43">
        <v>11730.0</v>
      </c>
      <c r="C22" s="45">
        <f t="shared" si="1"/>
        <v>0</v>
      </c>
      <c r="D22" s="91">
        <v>311.0</v>
      </c>
      <c r="E22" s="48">
        <f t="shared" si="2"/>
        <v>0</v>
      </c>
      <c r="F22" s="70">
        <f t="shared" si="3"/>
        <v>0.02651321398</v>
      </c>
      <c r="G22" s="85">
        <v>270.0</v>
      </c>
      <c r="H22" s="85">
        <v>140.0</v>
      </c>
      <c r="I22" s="55" t="str">
        <f>HYPERLINK("https://covid19.min-saude.pt/ponto-de-situacao-atual-em-portugal/","Source")</f>
        <v>Source</v>
      </c>
      <c r="J22" s="28"/>
      <c r="K22" s="80" t="s">
        <v>29</v>
      </c>
      <c r="L22" s="43">
        <v>11730.0</v>
      </c>
      <c r="M22" s="91">
        <v>311.0</v>
      </c>
      <c r="N22" s="30"/>
      <c r="O22" s="30"/>
      <c r="P22" s="30"/>
      <c r="Q22" s="102" t="s">
        <v>87</v>
      </c>
      <c r="R22" s="69" t="str">
        <f>HYPERLINK("https://en.wikipedia.org/wiki/2020_coronavirus_pandemic_in_S%C3%A3o_Tom%C3%A9_and_Pr%C3%ADncipe","Link")</f>
        <v>Link</v>
      </c>
      <c r="S22" s="30"/>
      <c r="T22" s="30"/>
      <c r="U22" s="30"/>
      <c r="V22" s="30"/>
      <c r="W22" s="30"/>
      <c r="X22" s="30"/>
      <c r="Y22" s="30"/>
      <c r="Z22" s="30"/>
    </row>
    <row r="23" ht="30.0" customHeight="1">
      <c r="A23" s="37" t="s">
        <v>88</v>
      </c>
      <c r="B23" s="43">
        <v>10331.0</v>
      </c>
      <c r="C23" s="45">
        <f t="shared" si="1"/>
        <v>47</v>
      </c>
      <c r="D23" s="91">
        <v>192.0</v>
      </c>
      <c r="E23" s="48">
        <f t="shared" si="2"/>
        <v>6</v>
      </c>
      <c r="F23" s="70">
        <f t="shared" si="3"/>
        <v>0.01858484174</v>
      </c>
      <c r="G23" s="85" t="s">
        <v>26</v>
      </c>
      <c r="H23" s="51">
        <v>6694.0</v>
      </c>
      <c r="I23" s="55" t="str">
        <f>HYPERLINK("http://ncov.mohw.go.kr/tcmBoardView.do?brdId=&amp;brdGubun=&amp;dataGubun=&amp;ncvContSeq=353916&amp;contSeq=353916&amp;board_id=&amp;gubun=ALL","Source")</f>
        <v>Source</v>
      </c>
      <c r="J23" s="28"/>
      <c r="K23" s="80" t="s">
        <v>29</v>
      </c>
      <c r="L23" s="43">
        <v>10284.0</v>
      </c>
      <c r="M23" s="91">
        <v>186.0</v>
      </c>
      <c r="N23" s="30"/>
      <c r="O23" s="30"/>
      <c r="P23" s="30"/>
      <c r="Q23" s="32" t="s">
        <v>91</v>
      </c>
      <c r="R23" s="69" t="str">
        <f>HYPERLINK("https://en.wikipedia.org/wiki/2020_coronavirus_pandemic_in_the_%C3%85land_Islands","Link")</f>
        <v>Link</v>
      </c>
      <c r="S23" s="30"/>
      <c r="T23" s="30"/>
      <c r="U23" s="30"/>
      <c r="V23" s="30"/>
      <c r="W23" s="30"/>
      <c r="X23" s="30"/>
      <c r="Y23" s="30"/>
      <c r="Z23" s="30"/>
    </row>
    <row r="24" ht="30.0" customHeight="1">
      <c r="A24" s="37" t="s">
        <v>92</v>
      </c>
      <c r="B24" s="43">
        <v>8649.0</v>
      </c>
      <c r="C24" s="45">
        <f t="shared" si="1"/>
        <v>0</v>
      </c>
      <c r="D24" s="91">
        <v>56.0</v>
      </c>
      <c r="E24" s="48">
        <f t="shared" si="2"/>
        <v>0</v>
      </c>
      <c r="F24" s="42">
        <f t="shared" si="3"/>
        <v>0.006474736964</v>
      </c>
      <c r="G24" s="85">
        <v>141.0</v>
      </c>
      <c r="H24" s="85">
        <v>585.0</v>
      </c>
      <c r="I24" s="55" t="str">
        <f>HYPERLINK("https://www.ynetnews.com/article/NLQULTUEU","Source")</f>
        <v>Source</v>
      </c>
      <c r="J24" s="75"/>
      <c r="K24" s="80" t="s">
        <v>69</v>
      </c>
      <c r="L24" s="43">
        <v>8649.0</v>
      </c>
      <c r="M24" s="91">
        <v>56.0</v>
      </c>
      <c r="N24" s="30"/>
      <c r="O24" s="30"/>
      <c r="P24" s="30"/>
      <c r="Q24" s="102" t="s">
        <v>95</v>
      </c>
      <c r="R24" s="69" t="str">
        <f>HYPERLINK("https://en.wikipedia.org/wiki/2020_coronavirus_pandemic_in_Akrotiri_and_Dhekelia","Link")</f>
        <v>Link</v>
      </c>
      <c r="S24" s="30"/>
      <c r="T24" s="30"/>
      <c r="U24" s="30"/>
      <c r="V24" s="30"/>
      <c r="W24" s="30"/>
      <c r="X24" s="30"/>
      <c r="Y24" s="30"/>
      <c r="Z24" s="30"/>
    </row>
    <row r="25" ht="30.0" customHeight="1">
      <c r="A25" s="37" t="s">
        <v>96</v>
      </c>
      <c r="B25" s="43">
        <v>7206.0</v>
      </c>
      <c r="C25" s="45">
        <f t="shared" si="1"/>
        <v>0</v>
      </c>
      <c r="D25" s="91">
        <v>477.0</v>
      </c>
      <c r="E25" s="48">
        <f t="shared" si="2"/>
        <v>0</v>
      </c>
      <c r="F25" s="70">
        <f t="shared" si="3"/>
        <v>0.06619483764</v>
      </c>
      <c r="G25" s="85">
        <v>590.0</v>
      </c>
      <c r="H25" s="85" t="s">
        <v>26</v>
      </c>
      <c r="I25" s="55" t="str">
        <f>HYPERLINK("https://experience.arcgis.com/experience/09f821667ce64bf7be6f9f87457ed9aa","Source")</f>
        <v>Source</v>
      </c>
      <c r="J25" s="28"/>
      <c r="K25" s="80" t="s">
        <v>29</v>
      </c>
      <c r="L25" s="43">
        <v>7206.0</v>
      </c>
      <c r="M25" s="91">
        <v>477.0</v>
      </c>
      <c r="N25" s="30"/>
      <c r="O25" s="30"/>
      <c r="P25" s="30"/>
      <c r="Q25" s="32" t="s">
        <v>99</v>
      </c>
      <c r="R25" s="69" t="str">
        <f>HYPERLINK("https://en.wikipedia.org/wiki/2020_coronavirus_pandemic_in_the_Collectivity_of_Saint_Martin","Link")</f>
        <v>Link</v>
      </c>
      <c r="S25" s="30"/>
      <c r="T25" s="30"/>
      <c r="U25" s="30"/>
      <c r="V25" s="30"/>
      <c r="W25" s="30"/>
      <c r="X25" s="30"/>
      <c r="Y25" s="30"/>
      <c r="Z25" s="30"/>
    </row>
    <row r="26" ht="30.0" customHeight="1">
      <c r="A26" s="37" t="s">
        <v>101</v>
      </c>
      <c r="B26" s="43">
        <v>6343.0</v>
      </c>
      <c r="C26" s="45">
        <f t="shared" si="1"/>
        <v>0</v>
      </c>
      <c r="D26" s="91">
        <v>47.0</v>
      </c>
      <c r="E26" s="48">
        <f t="shared" si="2"/>
        <v>0</v>
      </c>
      <c r="F26" s="42">
        <f t="shared" si="3"/>
        <v>0.007409743024</v>
      </c>
      <c r="G26" s="85" t="s">
        <v>26</v>
      </c>
      <c r="H26" s="85">
        <v>406.0</v>
      </c>
      <c r="I26" s="55" t="str">
        <f>HYPERLINK("https://xn--80aesfpebagmfblc0a.xn--p1ai/#operational-data","Source")</f>
        <v>Source</v>
      </c>
      <c r="J26" s="28"/>
      <c r="K26" s="56" t="s">
        <v>29</v>
      </c>
      <c r="L26" s="43">
        <v>6343.0</v>
      </c>
      <c r="M26" s="91">
        <v>47.0</v>
      </c>
      <c r="N26" s="30"/>
      <c r="O26" s="30"/>
      <c r="P26" s="30"/>
      <c r="Q26" s="32" t="s">
        <v>103</v>
      </c>
      <c r="R26" s="69" t="str">
        <f>HYPERLINK("https://en.wikipedia.org/wiki/2020_coronavirus_pandemic_in_French_Guiana","Link")</f>
        <v>Link</v>
      </c>
      <c r="S26" s="69" t="str">
        <f>HYPERLINK("http://www.guyane.gouv.fr/Politiques-publiques/Sante/Coronavirus-Covid-19/COVID-INFO","Link")</f>
        <v>Link</v>
      </c>
      <c r="T26" s="30"/>
      <c r="U26" s="30"/>
      <c r="V26" s="30"/>
      <c r="W26" s="30"/>
      <c r="X26" s="30"/>
      <c r="Y26" s="30"/>
      <c r="Z26" s="30"/>
    </row>
    <row r="27" ht="30.0" customHeight="1">
      <c r="A27" s="37" t="s">
        <v>105</v>
      </c>
      <c r="B27" s="43">
        <f>Australia!A3</f>
        <v>5797</v>
      </c>
      <c r="C27" s="45">
        <f t="shared" si="1"/>
        <v>0</v>
      </c>
      <c r="D27" s="43">
        <f>Australia!B3</f>
        <v>40</v>
      </c>
      <c r="E27" s="48">
        <f t="shared" si="2"/>
        <v>0</v>
      </c>
      <c r="F27" s="70">
        <f t="shared" si="3"/>
        <v>0.006900120752</v>
      </c>
      <c r="G27" s="51">
        <f>Australia!G17</f>
        <v>79</v>
      </c>
      <c r="H27" s="51">
        <f>Australia!C3</f>
        <v>1080</v>
      </c>
      <c r="I27" s="55" t="str">
        <f>HYPERLINK("https://bnonews.com/index.php/2019/12/tracking-coronavirus-australia-data/","Source")</f>
        <v>Source</v>
      </c>
      <c r="J27" s="28"/>
      <c r="K27" s="76"/>
      <c r="L27" s="91">
        <v>5797.0</v>
      </c>
      <c r="M27" s="91">
        <v>40.0</v>
      </c>
      <c r="N27" s="30"/>
      <c r="O27" s="30"/>
      <c r="P27" s="30"/>
      <c r="Q27" s="32" t="s">
        <v>108</v>
      </c>
      <c r="R27" s="69" t="str">
        <f>HYPERLINK("https://en.wikipedia.org/wiki/2020_coronavirus_pandemic_in_Guadeloupe","Link")</f>
        <v>Link</v>
      </c>
      <c r="S27" s="30"/>
      <c r="T27" s="30"/>
      <c r="U27" s="30"/>
      <c r="V27" s="30"/>
      <c r="W27" s="30"/>
      <c r="X27" s="30"/>
      <c r="Y27" s="30"/>
      <c r="Z27" s="30"/>
    </row>
    <row r="28" ht="30.0" customHeight="1">
      <c r="A28" s="37" t="s">
        <v>109</v>
      </c>
      <c r="B28" s="43">
        <v>5760.0</v>
      </c>
      <c r="C28" s="45">
        <f t="shared" si="1"/>
        <v>0</v>
      </c>
      <c r="D28" s="91">
        <v>71.0</v>
      </c>
      <c r="E28" s="48">
        <f t="shared" si="2"/>
        <v>0</v>
      </c>
      <c r="F28" s="42">
        <f t="shared" si="3"/>
        <v>0.01232638889</v>
      </c>
      <c r="G28" s="85">
        <v>89.0</v>
      </c>
      <c r="H28" s="85" t="s">
        <v>26</v>
      </c>
      <c r="I28" s="55" t="str">
        <f>HYPERLINK("https://www.vg.no/spesial/2020/corona/","Source")</f>
        <v>Source</v>
      </c>
      <c r="J28" s="75"/>
      <c r="K28" s="29"/>
      <c r="L28" s="43">
        <v>5760.0</v>
      </c>
      <c r="M28" s="91">
        <v>71.0</v>
      </c>
      <c r="N28" s="30"/>
      <c r="O28" s="30"/>
      <c r="P28" s="30"/>
      <c r="Q28" s="32" t="s">
        <v>112</v>
      </c>
      <c r="R28" s="69" t="str">
        <f>HYPERLINK("https://en.wikipedia.org/wiki/2020_coronavirus_pandemic_in_Martinique","Link")</f>
        <v>Link</v>
      </c>
      <c r="S28" s="30"/>
      <c r="T28" s="30"/>
      <c r="U28" s="30"/>
      <c r="V28" s="30"/>
      <c r="W28" s="30"/>
      <c r="X28" s="30"/>
      <c r="Y28" s="30"/>
      <c r="Z28" s="30"/>
    </row>
    <row r="29" ht="30.0" customHeight="1">
      <c r="A29" s="37" t="s">
        <v>114</v>
      </c>
      <c r="B29" s="43">
        <v>5364.0</v>
      </c>
      <c r="C29" s="45">
        <f t="shared" si="1"/>
        <v>0</v>
      </c>
      <c r="D29" s="91">
        <v>174.0</v>
      </c>
      <c r="E29" s="48">
        <f t="shared" si="2"/>
        <v>0</v>
      </c>
      <c r="F29" s="42">
        <f t="shared" si="3"/>
        <v>0.03243847875</v>
      </c>
      <c r="G29" s="85">
        <v>25.0</v>
      </c>
      <c r="H29" s="85" t="s">
        <v>26</v>
      </c>
      <c r="I29" s="55" t="str">
        <f>HYPERLINK("https://www.gov.ie/en/press-release/ec2aa4-statement-from-the-national-public-health-emergency-team-monday-6-ap/","Source")</f>
        <v>Source</v>
      </c>
      <c r="J29" s="106"/>
      <c r="K29" s="56" t="s">
        <v>29</v>
      </c>
      <c r="L29" s="43">
        <v>5364.0</v>
      </c>
      <c r="M29" s="91">
        <v>174.0</v>
      </c>
      <c r="N29" s="30"/>
      <c r="O29" s="30"/>
      <c r="P29" s="30"/>
      <c r="Q29" s="32" t="s">
        <v>117</v>
      </c>
      <c r="R29" s="69" t="str">
        <f>HYPERLINK("https://en.wikipedia.org/wiki/2020_coronavirus_pandemic_in_Mayotte","Link")</f>
        <v>Link</v>
      </c>
      <c r="S29" s="30"/>
      <c r="T29" s="30"/>
      <c r="U29" s="30"/>
      <c r="V29" s="30"/>
      <c r="W29" s="30"/>
      <c r="X29" s="30"/>
      <c r="Y29" s="30"/>
      <c r="Z29" s="30"/>
    </row>
    <row r="30" ht="30.0" customHeight="1">
      <c r="A30" s="37" t="s">
        <v>119</v>
      </c>
      <c r="B30" s="43">
        <v>4830.0</v>
      </c>
      <c r="C30" s="45">
        <f t="shared" si="1"/>
        <v>0</v>
      </c>
      <c r="D30" s="91">
        <v>179.0</v>
      </c>
      <c r="E30" s="48">
        <f t="shared" si="2"/>
        <v>0</v>
      </c>
      <c r="F30" s="42">
        <f t="shared" si="3"/>
        <v>0.03706004141</v>
      </c>
      <c r="G30" s="85">
        <v>153.0</v>
      </c>
      <c r="H30" s="85">
        <v>3.0</v>
      </c>
      <c r="I30" s="55" t="str">
        <f>HYPERLINK("https://www.sst.dk/da/corona/tal-og-overvaagning","Source")</f>
        <v>Source</v>
      </c>
      <c r="J30" s="28"/>
      <c r="K30" s="56" t="s">
        <v>29</v>
      </c>
      <c r="L30" s="43">
        <v>4830.0</v>
      </c>
      <c r="M30" s="91">
        <v>179.0</v>
      </c>
      <c r="N30" s="30"/>
      <c r="O30" s="30"/>
      <c r="P30" s="30"/>
      <c r="Q30" s="32" t="s">
        <v>121</v>
      </c>
      <c r="R30" s="69" t="str">
        <f>HYPERLINK("https://en.wikipedia.org/wiki/2020_coronavirus_pandemic_on_cruise_ships","Link")</f>
        <v>Link</v>
      </c>
      <c r="S30" s="69" t="str">
        <f>HYPERLINK("https://en.wikipedia.org/wiki/2020_coronavirus_pandemic_on_USS_Theodore_Roosevelt_(CVN-71)","Link")</f>
        <v>Link</v>
      </c>
      <c r="T30" s="30"/>
      <c r="U30" s="30"/>
      <c r="V30" s="30"/>
      <c r="W30" s="30"/>
      <c r="X30" s="30"/>
      <c r="Y30" s="30"/>
      <c r="Z30" s="30"/>
    </row>
    <row r="31" ht="30.0" customHeight="1">
      <c r="A31" s="37" t="s">
        <v>122</v>
      </c>
      <c r="B31" s="43">
        <v>4815.0</v>
      </c>
      <c r="C31" s="45">
        <f t="shared" si="1"/>
        <v>0</v>
      </c>
      <c r="D31" s="91">
        <v>37.0</v>
      </c>
      <c r="E31" s="48">
        <f t="shared" si="2"/>
        <v>0</v>
      </c>
      <c r="F31" s="70">
        <f t="shared" si="3"/>
        <v>0.007684319834</v>
      </c>
      <c r="G31" s="85">
        <v>142.0</v>
      </c>
      <c r="H31" s="85">
        <v>728.0</v>
      </c>
      <c r="I31" s="55" t="str">
        <f>HYPERLINK("https://www.gob.cl/coronavirus/cifrasoficiales/","Source")</f>
        <v>Source</v>
      </c>
      <c r="J31" s="28"/>
      <c r="K31" s="56" t="s">
        <v>29</v>
      </c>
      <c r="L31" s="43">
        <v>4815.0</v>
      </c>
      <c r="M31" s="91">
        <v>37.0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30.0" customHeight="1">
      <c r="A32" s="37" t="s">
        <v>125</v>
      </c>
      <c r="B32" s="43">
        <v>4773.0</v>
      </c>
      <c r="C32" s="45">
        <f t="shared" si="1"/>
        <v>0</v>
      </c>
      <c r="D32" s="91">
        <v>135.0</v>
      </c>
      <c r="E32" s="48">
        <f t="shared" si="2"/>
        <v>0</v>
      </c>
      <c r="F32" s="70">
        <f t="shared" si="3"/>
        <v>0.02828409805</v>
      </c>
      <c r="G32" s="85" t="s">
        <v>26</v>
      </c>
      <c r="H32" s="85">
        <v>328.0</v>
      </c>
      <c r="I32" s="55" t="str">
        <f>HYPERLINK("https://www.covid19india.org/","Source")</f>
        <v>Source</v>
      </c>
      <c r="J32" s="75"/>
      <c r="K32" s="29"/>
      <c r="L32" s="43">
        <v>4773.0</v>
      </c>
      <c r="M32" s="91">
        <v>135.0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30.0" customHeight="1">
      <c r="A33" s="37" t="s">
        <v>128</v>
      </c>
      <c r="B33" s="43">
        <v>4735.0</v>
      </c>
      <c r="C33" s="45">
        <f t="shared" si="1"/>
        <v>0</v>
      </c>
      <c r="D33" s="91">
        <v>78.0</v>
      </c>
      <c r="E33" s="48">
        <f t="shared" si="2"/>
        <v>0</v>
      </c>
      <c r="F33" s="70">
        <f t="shared" si="3"/>
        <v>0.01647307286</v>
      </c>
      <c r="G33" s="85">
        <v>84.0</v>
      </c>
      <c r="H33" s="85">
        <v>121.0</v>
      </c>
      <c r="I33" s="55" t="str">
        <f>HYPERLINK("https://onemocneni-aktualne.mzcr.cz/covid-19","Source")</f>
        <v>Source</v>
      </c>
      <c r="J33" s="75"/>
      <c r="K33" s="56" t="s">
        <v>131</v>
      </c>
      <c r="L33" s="43">
        <v>4735.0</v>
      </c>
      <c r="M33" s="91">
        <v>78.0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27.75" customHeight="1">
      <c r="A34" s="37" t="s">
        <v>132</v>
      </c>
      <c r="B34" s="43">
        <v>4413.0</v>
      </c>
      <c r="C34" s="45">
        <f t="shared" si="1"/>
        <v>0</v>
      </c>
      <c r="D34" s="91">
        <v>107.0</v>
      </c>
      <c r="E34" s="48">
        <f t="shared" si="2"/>
        <v>0</v>
      </c>
      <c r="F34" s="70">
        <f t="shared" si="3"/>
        <v>0.0242465443</v>
      </c>
      <c r="G34" s="85" t="s">
        <v>26</v>
      </c>
      <c r="H34" s="85">
        <v>207.0</v>
      </c>
      <c r="I34" s="55" t="str">
        <f>HYPERLINK("https://twitter.com/MZ_GOV_PL/status/1247186933878489091","Source")</f>
        <v>Source</v>
      </c>
      <c r="J34" s="75"/>
      <c r="K34" s="56" t="s">
        <v>69</v>
      </c>
      <c r="L34" s="43">
        <v>4413.0</v>
      </c>
      <c r="M34" s="91">
        <v>107.0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30.0" customHeight="1">
      <c r="A35" s="37" t="s">
        <v>135</v>
      </c>
      <c r="B35" s="43">
        <v>4057.0</v>
      </c>
      <c r="C35" s="45">
        <f t="shared" si="1"/>
        <v>0</v>
      </c>
      <c r="D35" s="91">
        <v>176.0</v>
      </c>
      <c r="E35" s="48">
        <f t="shared" si="2"/>
        <v>0</v>
      </c>
      <c r="F35" s="42">
        <f t="shared" si="3"/>
        <v>0.04338180922</v>
      </c>
      <c r="G35" s="85">
        <v>119.0</v>
      </c>
      <c r="H35" s="85">
        <v>406.0</v>
      </c>
      <c r="I35" s="55" t="str">
        <f>HYPERLINK("http://www.ms.ro/2020/04/06/deces-169-176/","Source")</f>
        <v>Source</v>
      </c>
      <c r="J35" s="75"/>
      <c r="K35" s="56" t="s">
        <v>137</v>
      </c>
      <c r="L35" s="43">
        <v>4057.0</v>
      </c>
      <c r="M35" s="91">
        <v>176.0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30.0" customHeight="1">
      <c r="A36" s="37" t="s">
        <v>139</v>
      </c>
      <c r="B36" s="43">
        <v>3880.0</v>
      </c>
      <c r="C36" s="45">
        <f t="shared" si="1"/>
        <v>0</v>
      </c>
      <c r="D36" s="91">
        <v>95.0</v>
      </c>
      <c r="E36" s="48">
        <f t="shared" si="2"/>
        <v>0</v>
      </c>
      <c r="F36" s="70">
        <f t="shared" si="3"/>
        <v>0.02448453608</v>
      </c>
      <c r="G36" s="85">
        <v>60.0</v>
      </c>
      <c r="H36" s="85">
        <v>514.0</v>
      </c>
      <c r="I36" s="55" t="str">
        <f>HYPERLINK("https://www3.nhk.or.jp/news/html/20200406/k10012370151000.html?utm_int=word_contents_list-items_011&amp;word_result=%E6%96%B0%E5%9E%8B%E3%82%B3%E3%83%AD%E3%83%8A%E3%82%A6%E3%82%A4%E3%83%AB%E3%82%B9","Source")</f>
        <v>Source</v>
      </c>
      <c r="J36" s="106"/>
      <c r="K36" s="29"/>
      <c r="L36" s="43">
        <v>3880.0</v>
      </c>
      <c r="M36" s="91">
        <v>95.0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30.0" customHeight="1">
      <c r="A37" s="37" t="s">
        <v>142</v>
      </c>
      <c r="B37" s="43">
        <v>3793.0</v>
      </c>
      <c r="C37" s="45">
        <f t="shared" si="1"/>
        <v>0</v>
      </c>
      <c r="D37" s="91">
        <v>62.0</v>
      </c>
      <c r="E37" s="48">
        <f t="shared" si="2"/>
        <v>0</v>
      </c>
      <c r="F37" s="70">
        <f t="shared" si="3"/>
        <v>0.01634590034</v>
      </c>
      <c r="G37" s="85">
        <v>102.0</v>
      </c>
      <c r="H37" s="51">
        <v>1241.0</v>
      </c>
      <c r="I37" s="55" t="str">
        <f>HYPERLINK("https://twitter.com/KKMPutrajaya/status/1247094833279143937","Source")</f>
        <v>Source</v>
      </c>
      <c r="J37" s="28"/>
      <c r="K37" s="56" t="s">
        <v>29</v>
      </c>
      <c r="L37" s="43">
        <v>3793.0</v>
      </c>
      <c r="M37" s="91">
        <v>62.0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30.0" customHeight="1">
      <c r="A38" s="37" t="s">
        <v>145</v>
      </c>
      <c r="B38" s="43">
        <v>3747.0</v>
      </c>
      <c r="C38" s="45">
        <f t="shared" si="1"/>
        <v>0</v>
      </c>
      <c r="D38" s="91">
        <v>191.0</v>
      </c>
      <c r="E38" s="48">
        <f t="shared" si="2"/>
        <v>0</v>
      </c>
      <c r="F38" s="42">
        <f t="shared" si="3"/>
        <v>0.05097411262</v>
      </c>
      <c r="G38" s="85">
        <v>128.0</v>
      </c>
      <c r="H38" s="85">
        <v>100.0</v>
      </c>
      <c r="I38" s="55" t="str">
        <f>HYPERLINK("https://twitter.com/Salud_Ec/status/1247193354343002112","Source")</f>
        <v>Source</v>
      </c>
      <c r="J38" s="75"/>
      <c r="K38" s="56" t="s">
        <v>146</v>
      </c>
      <c r="L38" s="43">
        <v>3747.0</v>
      </c>
      <c r="M38" s="91">
        <v>191.0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30.0" customHeight="1">
      <c r="A39" s="37" t="s">
        <v>148</v>
      </c>
      <c r="B39" s="43">
        <v>3660.0</v>
      </c>
      <c r="C39" s="45">
        <f t="shared" si="1"/>
        <v>0</v>
      </c>
      <c r="D39" s="91">
        <v>163.0</v>
      </c>
      <c r="E39" s="48">
        <f t="shared" si="2"/>
        <v>0</v>
      </c>
      <c r="F39" s="42">
        <f t="shared" si="3"/>
        <v>0.04453551913</v>
      </c>
      <c r="G39" s="85" t="s">
        <v>26</v>
      </c>
      <c r="H39" s="85">
        <v>73.0</v>
      </c>
      <c r="I39" s="109" t="str">
        <f>HYPERLINK("https://www.doh.gov.ph/2019-nCoV","Source")</f>
        <v>Source</v>
      </c>
      <c r="J39" s="28"/>
      <c r="K39" s="56" t="s">
        <v>29</v>
      </c>
      <c r="L39" s="43">
        <v>3660.0</v>
      </c>
      <c r="M39" s="91">
        <v>163.0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30.0" customHeight="1">
      <c r="A40" s="37" t="s">
        <v>150</v>
      </c>
      <c r="B40" s="43">
        <v>3278.0</v>
      </c>
      <c r="C40" s="45">
        <f t="shared" si="1"/>
        <v>0</v>
      </c>
      <c r="D40" s="91">
        <v>50.0</v>
      </c>
      <c r="E40" s="48">
        <f t="shared" si="2"/>
        <v>0</v>
      </c>
      <c r="F40" s="42">
        <f t="shared" si="3"/>
        <v>0.01525320317</v>
      </c>
      <c r="G40" s="85">
        <v>17.0</v>
      </c>
      <c r="H40" s="85">
        <v>257.0</v>
      </c>
      <c r="I40" s="55" t="str">
        <f>HYPERLINK("https://www.dawn.com/live-blog/","Source")</f>
        <v>Source</v>
      </c>
      <c r="J40" s="75"/>
      <c r="K40" s="56" t="s">
        <v>152</v>
      </c>
      <c r="L40" s="43">
        <v>3278.0</v>
      </c>
      <c r="M40" s="91">
        <v>50.0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30.0" customHeight="1">
      <c r="A41" s="37" t="s">
        <v>153</v>
      </c>
      <c r="B41" s="43">
        <v>2843.0</v>
      </c>
      <c r="C41" s="45">
        <f t="shared" si="1"/>
        <v>0</v>
      </c>
      <c r="D41" s="91">
        <v>41.0</v>
      </c>
      <c r="E41" s="48">
        <f t="shared" si="2"/>
        <v>0</v>
      </c>
      <c r="F41" s="42">
        <f t="shared" si="3"/>
        <v>0.01442138586</v>
      </c>
      <c r="G41" s="85">
        <v>32.0</v>
      </c>
      <c r="H41" s="85">
        <v>253.0</v>
      </c>
      <c r="I41" s="109" t="str">
        <f>HYPERLINK("https://gouvernement.lu/fr/dossiers.gouv_msan+fr+dossiers+2020+corona-virus.html","Source")</f>
        <v>Source</v>
      </c>
      <c r="J41" s="28"/>
      <c r="K41" s="56" t="s">
        <v>29</v>
      </c>
      <c r="L41" s="43">
        <v>2843.0</v>
      </c>
      <c r="M41" s="91">
        <v>41.0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30.0" customHeight="1">
      <c r="A42" s="37" t="s">
        <v>156</v>
      </c>
      <c r="B42" s="43">
        <v>2605.0</v>
      </c>
      <c r="C42" s="45">
        <f t="shared" si="1"/>
        <v>0</v>
      </c>
      <c r="D42" s="91">
        <v>34.0</v>
      </c>
      <c r="E42" s="48">
        <f t="shared" si="2"/>
        <v>0</v>
      </c>
      <c r="F42" s="42">
        <f t="shared" si="3"/>
        <v>0.01305182342</v>
      </c>
      <c r="G42" s="85" t="s">
        <v>26</v>
      </c>
      <c r="H42" s="85">
        <v>551.0</v>
      </c>
      <c r="I42" s="55" t="str">
        <f>HYPERLINK("https://covid19.cdc.gov.sa/daily-updates/","Source")</f>
        <v>Source</v>
      </c>
      <c r="J42" s="28"/>
      <c r="K42" s="56" t="s">
        <v>29</v>
      </c>
      <c r="L42" s="43">
        <v>2605.0</v>
      </c>
      <c r="M42" s="91">
        <v>34.0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30.0" customHeight="1">
      <c r="A43" s="37" t="s">
        <v>158</v>
      </c>
      <c r="B43" s="43">
        <v>2491.0</v>
      </c>
      <c r="C43" s="45">
        <f t="shared" si="1"/>
        <v>0</v>
      </c>
      <c r="D43" s="91">
        <v>209.0</v>
      </c>
      <c r="E43" s="48">
        <f t="shared" si="2"/>
        <v>0</v>
      </c>
      <c r="F43" s="70">
        <f t="shared" si="3"/>
        <v>0.08390204737</v>
      </c>
      <c r="G43" s="85" t="s">
        <v>26</v>
      </c>
      <c r="H43" s="85">
        <v>192.0</v>
      </c>
      <c r="I43" s="55" t="str">
        <f>HYPERLINK("https://www.cnnindonesia.com/nasional/20200406141046-20-490780/update-corona-6-april-2491-kasus-209-meninggal-192-sembuh","Source")</f>
        <v>Source</v>
      </c>
      <c r="J43" s="28"/>
      <c r="K43" s="56" t="s">
        <v>29</v>
      </c>
      <c r="L43" s="43">
        <v>2491.0</v>
      </c>
      <c r="M43" s="91">
        <v>209.0</v>
      </c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30.0" customHeight="1">
      <c r="A44" s="37" t="s">
        <v>161</v>
      </c>
      <c r="B44" s="43">
        <v>2439.0</v>
      </c>
      <c r="C44" s="45">
        <f t="shared" si="1"/>
        <v>0</v>
      </c>
      <c r="D44" s="91">
        <v>125.0</v>
      </c>
      <c r="E44" s="48">
        <f t="shared" si="2"/>
        <v>0</v>
      </c>
      <c r="F44" s="42">
        <f t="shared" si="3"/>
        <v>0.05125051251</v>
      </c>
      <c r="G44" s="85">
        <v>17.0</v>
      </c>
      <c r="H44" s="85">
        <v>35.0</v>
      </c>
      <c r="I44" s="109" t="str">
        <f>HYPERLINK("https://twitter.com/HLGatell/status/1246611865851113474","Source")</f>
        <v>Source</v>
      </c>
      <c r="J44" s="28"/>
      <c r="K44" s="56" t="s">
        <v>29</v>
      </c>
      <c r="L44" s="43">
        <v>2439.0</v>
      </c>
      <c r="M44" s="91">
        <v>125.0</v>
      </c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30.0" customHeight="1">
      <c r="A45" s="37" t="s">
        <v>163</v>
      </c>
      <c r="B45" s="43">
        <v>2281.0</v>
      </c>
      <c r="C45" s="45">
        <f t="shared" si="1"/>
        <v>0</v>
      </c>
      <c r="D45" s="91">
        <v>83.0</v>
      </c>
      <c r="E45" s="48">
        <f t="shared" si="2"/>
        <v>0</v>
      </c>
      <c r="F45" s="70">
        <f t="shared" si="3"/>
        <v>0.03638754932</v>
      </c>
      <c r="G45" s="85">
        <v>81.0</v>
      </c>
      <c r="H45" s="85">
        <v>989.0</v>
      </c>
      <c r="I45" s="109" t="str">
        <f>HYPERLINK("https://www.gob.pe/institucion/minsa/noticias/111888-minsa-casos-confirmados-por-coronavirus-covid-19-ascienden-a-2281-en-el-peru-comunicado-n-55","Source")</f>
        <v>Source</v>
      </c>
      <c r="J45" s="28"/>
      <c r="K45" s="29"/>
      <c r="L45" s="43">
        <v>2281.0</v>
      </c>
      <c r="M45" s="91">
        <v>83.0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30.0" customHeight="1">
      <c r="A46" s="37" t="s">
        <v>166</v>
      </c>
      <c r="B46" s="43">
        <v>2220.0</v>
      </c>
      <c r="C46" s="45">
        <f t="shared" si="1"/>
        <v>0</v>
      </c>
      <c r="D46" s="91">
        <v>26.0</v>
      </c>
      <c r="E46" s="48">
        <f t="shared" si="2"/>
        <v>0</v>
      </c>
      <c r="F46" s="70">
        <f t="shared" si="3"/>
        <v>0.01171171171</v>
      </c>
      <c r="G46" s="85">
        <v>12.0</v>
      </c>
      <c r="H46" s="85">
        <v>793.0</v>
      </c>
      <c r="I46" s="55" t="str">
        <f>HYPERLINK("https://www.thaienquirer.com/10626/thailand-confirms-102-new-cases-of-coronavirus-3-more-fatalities/","Source")</f>
        <v>Source</v>
      </c>
      <c r="J46" s="28"/>
      <c r="K46" s="56" t="s">
        <v>29</v>
      </c>
      <c r="L46" s="43">
        <v>2220.0</v>
      </c>
      <c r="M46" s="91">
        <v>26.0</v>
      </c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27.75" customHeight="1">
      <c r="A47" s="37" t="s">
        <v>169</v>
      </c>
      <c r="B47" s="43">
        <v>2200.0</v>
      </c>
      <c r="C47" s="45">
        <f t="shared" si="1"/>
        <v>0</v>
      </c>
      <c r="D47" s="91">
        <v>58.0</v>
      </c>
      <c r="E47" s="48">
        <f t="shared" si="2"/>
        <v>0</v>
      </c>
      <c r="F47" s="42">
        <f t="shared" si="3"/>
        <v>0.02636363636</v>
      </c>
      <c r="G47" s="85">
        <v>49.0</v>
      </c>
      <c r="H47" s="85" t="s">
        <v>26</v>
      </c>
      <c r="I47" s="55" t="str">
        <f>HYPERLINK("https://covid19.rs/information-about-coronavirus-covid-19-06-04-2020-at-1500/","Source")</f>
        <v>Source</v>
      </c>
      <c r="J47" s="28"/>
      <c r="K47" s="56" t="s">
        <v>29</v>
      </c>
      <c r="L47" s="43">
        <v>2200.0</v>
      </c>
      <c r="M47" s="91">
        <v>58.0</v>
      </c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30.0" customHeight="1">
      <c r="A48" s="37" t="s">
        <v>174</v>
      </c>
      <c r="B48" s="43">
        <v>2176.0</v>
      </c>
      <c r="C48" s="45">
        <f t="shared" si="1"/>
        <v>0</v>
      </c>
      <c r="D48" s="91">
        <v>28.0</v>
      </c>
      <c r="E48" s="48">
        <f t="shared" si="2"/>
        <v>0</v>
      </c>
      <c r="F48" s="42">
        <f t="shared" si="3"/>
        <v>0.01286764706</v>
      </c>
      <c r="G48" s="85">
        <v>65.0</v>
      </c>
      <c r="H48" s="85">
        <v>10.0</v>
      </c>
      <c r="I48" s="55" t="str">
        <f>HYPERLINK("https://yle.fi/uutiset/3-11212596","Source")</f>
        <v>Source</v>
      </c>
      <c r="J48" s="28"/>
      <c r="K48" s="56" t="s">
        <v>29</v>
      </c>
      <c r="L48" s="43">
        <v>2176.0</v>
      </c>
      <c r="M48" s="91">
        <v>28.0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27.75" customHeight="1">
      <c r="A49" s="37" t="s">
        <v>176</v>
      </c>
      <c r="B49" s="43">
        <v>2100.0</v>
      </c>
      <c r="C49" s="45">
        <f t="shared" si="1"/>
        <v>0</v>
      </c>
      <c r="D49" s="91">
        <v>55.0</v>
      </c>
      <c r="E49" s="48">
        <f t="shared" si="2"/>
        <v>0</v>
      </c>
      <c r="F49" s="70">
        <f t="shared" si="3"/>
        <v>0.02619047619</v>
      </c>
      <c r="G49" s="85">
        <v>75.0</v>
      </c>
      <c r="H49" s="85">
        <v>14.0</v>
      </c>
      <c r="I49" s="109" t="str">
        <f>HYPERLINK("https://www.tvn-2.com/nacionales/coronavirus-en-panama_0_5549445053.html","Source")</f>
        <v>Source</v>
      </c>
      <c r="J49" s="28"/>
      <c r="K49" s="56" t="s">
        <v>29</v>
      </c>
      <c r="L49" s="43">
        <v>2100.0</v>
      </c>
      <c r="M49" s="91">
        <v>55.0</v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30.0" customHeight="1">
      <c r="A50" s="37" t="s">
        <v>179</v>
      </c>
      <c r="B50" s="43">
        <v>2076.0</v>
      </c>
      <c r="C50" s="45">
        <f t="shared" si="1"/>
        <v>0</v>
      </c>
      <c r="D50" s="91">
        <v>11.0</v>
      </c>
      <c r="E50" s="48">
        <f t="shared" si="2"/>
        <v>0</v>
      </c>
      <c r="F50" s="70">
        <f t="shared" si="3"/>
        <v>0.005298651252</v>
      </c>
      <c r="G50" s="85" t="s">
        <v>26</v>
      </c>
      <c r="H50" s="85">
        <v>167.0</v>
      </c>
      <c r="I50" s="55" t="str">
        <f>HYPERLINK("https://twitter.com/DHA_Dubai/status/1247154991883677704","Source")</f>
        <v>Source</v>
      </c>
      <c r="J50" s="28"/>
      <c r="K50" s="56" t="s">
        <v>29</v>
      </c>
      <c r="L50" s="43">
        <v>2076.0</v>
      </c>
      <c r="M50" s="91">
        <v>11.0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30.0" customHeight="1">
      <c r="A51" s="37" t="s">
        <v>182</v>
      </c>
      <c r="B51" s="43">
        <v>1828.0</v>
      </c>
      <c r="C51" s="45">
        <f t="shared" si="1"/>
        <v>0</v>
      </c>
      <c r="D51" s="91">
        <v>86.0</v>
      </c>
      <c r="E51" s="48">
        <f t="shared" si="2"/>
        <v>0</v>
      </c>
      <c r="F51" s="70">
        <f t="shared" si="3"/>
        <v>0.04704595186</v>
      </c>
      <c r="G51" s="85" t="s">
        <v>26</v>
      </c>
      <c r="H51" s="85">
        <v>33.0</v>
      </c>
      <c r="I51" s="55" t="str">
        <f>HYPERLINK("https://twitter.com/SaludPublicaRD/status/1247179349306093569","Source")</f>
        <v>Source</v>
      </c>
      <c r="J51" s="57"/>
      <c r="K51" s="56" t="s">
        <v>29</v>
      </c>
      <c r="L51" s="43">
        <v>1828.0</v>
      </c>
      <c r="M51" s="91">
        <v>86.0</v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30.0" customHeight="1">
      <c r="A52" s="37" t="s">
        <v>186</v>
      </c>
      <c r="B52" s="43">
        <v>1832.0</v>
      </c>
      <c r="C52" s="45">
        <f t="shared" si="1"/>
        <v>0</v>
      </c>
      <c r="D52" s="91">
        <v>4.0</v>
      </c>
      <c r="E52" s="48">
        <f t="shared" si="2"/>
        <v>0</v>
      </c>
      <c r="F52" s="42">
        <f t="shared" si="3"/>
        <v>0.002183406114</v>
      </c>
      <c r="G52" s="85" t="s">
        <v>26</v>
      </c>
      <c r="H52" s="85">
        <v>131.0</v>
      </c>
      <c r="I52" s="55" t="str">
        <f>HYPERLINK("https://twitter.com/MOPHQatar/status/1247196061384531968","Source")</f>
        <v>Source</v>
      </c>
      <c r="J52" s="28"/>
      <c r="K52" s="29"/>
      <c r="L52" s="43">
        <v>1832.0</v>
      </c>
      <c r="M52" s="91">
        <v>4.0</v>
      </c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30.0" customHeight="1">
      <c r="A53" s="37" t="s">
        <v>192</v>
      </c>
      <c r="B53" s="43">
        <v>1755.0</v>
      </c>
      <c r="C53" s="45">
        <f t="shared" si="1"/>
        <v>0</v>
      </c>
      <c r="D53" s="91">
        <v>79.0</v>
      </c>
      <c r="E53" s="48">
        <f t="shared" si="2"/>
        <v>0</v>
      </c>
      <c r="F53" s="70">
        <f t="shared" si="3"/>
        <v>0.04501424501</v>
      </c>
      <c r="G53" s="85">
        <v>90.0</v>
      </c>
      <c r="H53" s="85">
        <v>52.0</v>
      </c>
      <c r="I53" s="55" t="str">
        <f>HYPERLINK("https://www.moh.gov.gr/articles/ministry/grafeio-typoy/press-releases/7047-enhmerwsh-diapisteymenwn-syntaktwn-ygeias-apo-ton-yfypoyrgo-politikhs-prostasias-kai-diaxeirishs-krisewn-niko-xardalia-kai-ton-ekproswpo-toy-ypoyrgeioy-ygeias-gia-to-neo-koronoio-k"&amp;"athhghth-swthrh-tsiodra-6-4-2020","Source")</f>
        <v>Source</v>
      </c>
      <c r="J53" s="28"/>
      <c r="K53" s="56" t="s">
        <v>29</v>
      </c>
      <c r="L53" s="43">
        <v>1755.0</v>
      </c>
      <c r="M53" s="91">
        <v>79.0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27.75" customHeight="1">
      <c r="A54" s="37" t="s">
        <v>197</v>
      </c>
      <c r="B54" s="43">
        <v>1686.0</v>
      </c>
      <c r="C54" s="45">
        <f t="shared" si="1"/>
        <v>0</v>
      </c>
      <c r="D54" s="91">
        <v>12.0</v>
      </c>
      <c r="E54" s="48">
        <f t="shared" si="2"/>
        <v>0</v>
      </c>
      <c r="F54" s="70">
        <f t="shared" si="3"/>
        <v>0.007117437722</v>
      </c>
      <c r="G54" s="85">
        <v>4.0</v>
      </c>
      <c r="H54" s="85">
        <v>45.0</v>
      </c>
      <c r="I54" s="55" t="str">
        <f>HYPERLINK("https://twitter.com/DrZweliMkhize/status/1247243157085052930","Source")</f>
        <v>Source</v>
      </c>
      <c r="J54" s="28"/>
      <c r="K54" s="56" t="s">
        <v>29</v>
      </c>
      <c r="L54" s="43">
        <v>1686.0</v>
      </c>
      <c r="M54" s="91">
        <v>12.0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27.75" customHeight="1">
      <c r="A55" s="37" t="s">
        <v>199</v>
      </c>
      <c r="B55" s="43">
        <v>1628.0</v>
      </c>
      <c r="C55" s="45">
        <f t="shared" si="1"/>
        <v>0</v>
      </c>
      <c r="D55" s="91">
        <v>53.0</v>
      </c>
      <c r="E55" s="48">
        <f t="shared" si="2"/>
        <v>0</v>
      </c>
      <c r="F55" s="42">
        <f t="shared" si="3"/>
        <v>0.03255528256</v>
      </c>
      <c r="G55" s="85" t="s">
        <v>26</v>
      </c>
      <c r="H55" s="85">
        <v>266.0</v>
      </c>
      <c r="I55" s="109" t="str">
        <f>HYPERLINK("https://www.clarin.com/politica/coronavirus-argentina-confirman-nuevo-muerto-44-victimas-fatales-pais_0_Vgtu4_tBt.html","Source")</f>
        <v>Source</v>
      </c>
      <c r="J55" s="28"/>
      <c r="K55" s="29"/>
      <c r="L55" s="43">
        <v>1628.0</v>
      </c>
      <c r="M55" s="91">
        <v>53.0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30.0" customHeight="1">
      <c r="A56" s="37" t="s">
        <v>201</v>
      </c>
      <c r="B56" s="43">
        <v>1562.0</v>
      </c>
      <c r="C56" s="45">
        <f t="shared" si="1"/>
        <v>0</v>
      </c>
      <c r="D56" s="91">
        <v>4.0</v>
      </c>
      <c r="E56" s="48">
        <f t="shared" si="2"/>
        <v>0</v>
      </c>
      <c r="F56" s="42">
        <f t="shared" si="3"/>
        <v>0.002560819462</v>
      </c>
      <c r="G56" s="85">
        <v>11.0</v>
      </c>
      <c r="H56" s="85">
        <v>460.0</v>
      </c>
      <c r="I56" s="55" t="str">
        <f>HYPERLINK("https://www.covid.is/tolulegar-upplysingar","Source")</f>
        <v>Source</v>
      </c>
      <c r="J56" s="124"/>
      <c r="K56" s="56" t="s">
        <v>29</v>
      </c>
      <c r="L56" s="43">
        <v>1562.0</v>
      </c>
      <c r="M56" s="91">
        <v>4.0</v>
      </c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27.75" customHeight="1">
      <c r="A57" s="37" t="s">
        <v>204</v>
      </c>
      <c r="B57" s="43">
        <v>1485.0</v>
      </c>
      <c r="C57" s="45">
        <f t="shared" si="1"/>
        <v>0</v>
      </c>
      <c r="D57" s="91">
        <v>35.0</v>
      </c>
      <c r="E57" s="48">
        <f t="shared" si="2"/>
        <v>0</v>
      </c>
      <c r="F57" s="42">
        <f t="shared" si="3"/>
        <v>0.02356902357</v>
      </c>
      <c r="G57" s="85" t="s">
        <v>26</v>
      </c>
      <c r="H57" s="85">
        <v>88.0</v>
      </c>
      <c r="I57" s="109" t="str">
        <f>HYPERLINK("https://coronaviruscolombia.gov.co/Covid19/index.html","Source")</f>
        <v>Source</v>
      </c>
      <c r="J57" s="28"/>
      <c r="K57" s="29"/>
      <c r="L57" s="43">
        <v>1485.0</v>
      </c>
      <c r="M57" s="91">
        <v>35.0</v>
      </c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30.0" customHeight="1">
      <c r="A58" s="37" t="s">
        <v>209</v>
      </c>
      <c r="B58" s="43">
        <v>1423.0</v>
      </c>
      <c r="C58" s="45">
        <f t="shared" si="1"/>
        <v>0</v>
      </c>
      <c r="D58" s="91">
        <v>173.0</v>
      </c>
      <c r="E58" s="48">
        <f t="shared" si="2"/>
        <v>0</v>
      </c>
      <c r="F58" s="42">
        <f t="shared" si="3"/>
        <v>0.1215741391</v>
      </c>
      <c r="G58" s="85" t="s">
        <v>26</v>
      </c>
      <c r="H58" s="85">
        <v>61.0</v>
      </c>
      <c r="I58" s="55" t="str">
        <f>HYPERLINK("http://www.aps.dz/sante-science-technologie/103791-coronavirus-103-nouveaux-cas-confirmes-et-21-nouveaux-deces-en-algerie","Source")</f>
        <v>Source</v>
      </c>
      <c r="J58" s="28"/>
      <c r="K58" s="56" t="s">
        <v>29</v>
      </c>
      <c r="L58" s="43">
        <v>1423.0</v>
      </c>
      <c r="M58" s="91">
        <v>173.0</v>
      </c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30.0" customHeight="1">
      <c r="A59" s="37" t="s">
        <v>217</v>
      </c>
      <c r="B59" s="43">
        <v>1375.0</v>
      </c>
      <c r="C59" s="45">
        <f t="shared" si="1"/>
        <v>0</v>
      </c>
      <c r="D59" s="91">
        <v>6.0</v>
      </c>
      <c r="E59" s="48">
        <f t="shared" si="2"/>
        <v>0</v>
      </c>
      <c r="F59" s="42">
        <f t="shared" si="3"/>
        <v>0.004363636364</v>
      </c>
      <c r="G59" s="85">
        <v>25.0</v>
      </c>
      <c r="H59" s="85">
        <v>344.0</v>
      </c>
      <c r="I59" s="55" t="str">
        <f>HYPERLINK("https://www.moh.gov.sg/news-highlights/details/24-more-cases-discharged-66-new-cases-of-covid-19-infection-confirmed","Source")</f>
        <v>Source</v>
      </c>
      <c r="J59" s="28"/>
      <c r="K59" s="29"/>
      <c r="L59" s="43">
        <v>1375.0</v>
      </c>
      <c r="M59" s="91">
        <v>6.0</v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30.0" customHeight="1">
      <c r="A60" s="37" t="s">
        <v>221</v>
      </c>
      <c r="B60" s="43">
        <v>1322.0</v>
      </c>
      <c r="C60" s="45">
        <f t="shared" si="1"/>
        <v>0</v>
      </c>
      <c r="D60" s="91">
        <v>85.0</v>
      </c>
      <c r="E60" s="48">
        <f t="shared" si="2"/>
        <v>0</v>
      </c>
      <c r="F60" s="70">
        <f t="shared" si="3"/>
        <v>0.06429652042</v>
      </c>
      <c r="G60" s="85" t="s">
        <v>26</v>
      </c>
      <c r="H60" s="85">
        <v>259.0</v>
      </c>
      <c r="I60" s="109" t="str">
        <f>HYPERLINK("https://www.facebook.com/EgyMohpSpokes/posts/1141772786159889?__tn__=K-R","Source")</f>
        <v>Source</v>
      </c>
      <c r="J60" s="28"/>
      <c r="K60" s="56" t="s">
        <v>29</v>
      </c>
      <c r="L60" s="43">
        <v>1322.0</v>
      </c>
      <c r="M60" s="91">
        <v>85.0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30.0" customHeight="1">
      <c r="A61" s="37" t="s">
        <v>228</v>
      </c>
      <c r="B61" s="43">
        <v>1319.0</v>
      </c>
      <c r="C61" s="45">
        <f t="shared" si="1"/>
        <v>0</v>
      </c>
      <c r="D61" s="91">
        <v>38.0</v>
      </c>
      <c r="E61" s="48">
        <f t="shared" si="2"/>
        <v>0</v>
      </c>
      <c r="F61" s="70">
        <f t="shared" si="3"/>
        <v>0.02880970432</v>
      </c>
      <c r="G61" s="85" t="s">
        <v>26</v>
      </c>
      <c r="H61" s="85">
        <v>28.0</v>
      </c>
      <c r="I61" s="55" t="str">
        <f>HYPERLINK("https://t.me/s/COVID19_Ukraine","Source")</f>
        <v>Source</v>
      </c>
      <c r="J61" s="75"/>
      <c r="K61" s="56" t="s">
        <v>233</v>
      </c>
      <c r="L61" s="43">
        <v>1319.0</v>
      </c>
      <c r="M61" s="91">
        <v>38.0</v>
      </c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30.0" customHeight="1">
      <c r="A62" s="37" t="s">
        <v>236</v>
      </c>
      <c r="B62" s="43">
        <v>1182.0</v>
      </c>
      <c r="C62" s="45">
        <f t="shared" si="1"/>
        <v>0</v>
      </c>
      <c r="D62" s="91">
        <v>15.0</v>
      </c>
      <c r="E62" s="48">
        <f t="shared" si="2"/>
        <v>0</v>
      </c>
      <c r="F62" s="42">
        <f t="shared" si="3"/>
        <v>0.01269035533</v>
      </c>
      <c r="G62" s="85">
        <v>39.0</v>
      </c>
      <c r="H62" s="85">
        <v>125.0</v>
      </c>
      <c r="I62" s="55" t="str">
        <f>HYPERLINK("https://www.koronavirus.hr/najnovije/ukupno-dosad-1182-osobe-zarazene-koronavirusom/35","Source")</f>
        <v>Source</v>
      </c>
      <c r="J62" s="106"/>
      <c r="K62" s="29"/>
      <c r="L62" s="43">
        <v>1182.0</v>
      </c>
      <c r="M62" s="91">
        <v>15.0</v>
      </c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30.0" customHeight="1">
      <c r="A63" s="37" t="s">
        <v>238</v>
      </c>
      <c r="B63" s="43">
        <v>1160.0</v>
      </c>
      <c r="C63" s="45">
        <f t="shared" si="1"/>
        <v>0</v>
      </c>
      <c r="D63" s="91">
        <v>1.0</v>
      </c>
      <c r="E63" s="48">
        <f t="shared" si="2"/>
        <v>0</v>
      </c>
      <c r="F63" s="42">
        <f t="shared" si="3"/>
        <v>0.0008620689655</v>
      </c>
      <c r="G63" s="85">
        <v>1.0</v>
      </c>
      <c r="H63" s="85">
        <v>127.0</v>
      </c>
      <c r="I63" s="55" t="str">
        <f>HYPERLINK("https://www.nzherald.co.nz/nz/news/article.cfm?c_id=1&amp;objectid=12322752","Source")</f>
        <v>Source</v>
      </c>
      <c r="J63" s="28"/>
      <c r="K63" s="29"/>
      <c r="L63" s="43">
        <v>1160.0</v>
      </c>
      <c r="M63" s="91">
        <v>1.0</v>
      </c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30.0" customHeight="1">
      <c r="A64" s="37" t="s">
        <v>240</v>
      </c>
      <c r="B64" s="43">
        <v>1120.0</v>
      </c>
      <c r="C64" s="45">
        <f t="shared" si="1"/>
        <v>0</v>
      </c>
      <c r="D64" s="91">
        <v>80.0</v>
      </c>
      <c r="E64" s="48">
        <f t="shared" si="2"/>
        <v>0</v>
      </c>
      <c r="F64" s="70">
        <f t="shared" si="3"/>
        <v>0.07142857143</v>
      </c>
      <c r="G64" s="85" t="s">
        <v>26</v>
      </c>
      <c r="H64" s="85">
        <v>81.0</v>
      </c>
      <c r="I64" s="55" t="str">
        <f>HYPERLINK("http://www.covidmaroc.ma/Pages/AccueilAR.aspx","Source")</f>
        <v>Source</v>
      </c>
      <c r="J64" s="75"/>
      <c r="K64" s="56" t="s">
        <v>241</v>
      </c>
      <c r="L64" s="43">
        <v>1120.0</v>
      </c>
      <c r="M64" s="91">
        <v>80.0</v>
      </c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30.0" customHeight="1">
      <c r="A65" s="37" t="s">
        <v>242</v>
      </c>
      <c r="B65" s="43">
        <v>1108.0</v>
      </c>
      <c r="C65" s="45">
        <f t="shared" si="1"/>
        <v>0</v>
      </c>
      <c r="D65" s="91">
        <v>19.0</v>
      </c>
      <c r="E65" s="48">
        <f t="shared" si="2"/>
        <v>0</v>
      </c>
      <c r="F65" s="42">
        <f t="shared" si="3"/>
        <v>0.01714801444</v>
      </c>
      <c r="G65" s="85">
        <v>20.0</v>
      </c>
      <c r="H65" s="85">
        <v>59.0</v>
      </c>
      <c r="I65" s="109" t="str">
        <f>HYPERLINK("https://www.terviseamet.ee/et/uudised/oopaevaga-lisandus-103-positiivset-testi","Source")</f>
        <v>Source</v>
      </c>
      <c r="J65" s="28"/>
      <c r="K65" s="56" t="s">
        <v>29</v>
      </c>
      <c r="L65" s="43">
        <v>1108.0</v>
      </c>
      <c r="M65" s="91">
        <v>19.0</v>
      </c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30.0" customHeight="1">
      <c r="A66" s="37" t="s">
        <v>243</v>
      </c>
      <c r="B66" s="43">
        <v>1031.0</v>
      </c>
      <c r="C66" s="45">
        <f t="shared" si="1"/>
        <v>0</v>
      </c>
      <c r="D66" s="91">
        <v>64.0</v>
      </c>
      <c r="E66" s="48">
        <f t="shared" si="2"/>
        <v>0</v>
      </c>
      <c r="F66" s="70">
        <f t="shared" si="3"/>
        <v>0.0620756547</v>
      </c>
      <c r="G66" s="85" t="s">
        <v>26</v>
      </c>
      <c r="H66" s="85">
        <v>344.0</v>
      </c>
      <c r="I66" s="55" t="str">
        <f>HYPERLINK("https://www.facebook.com/MOH.GOV.IQ/photos/a.860171854037214/2853557261365320/?type=3&amp;__xts__%5B0%5D=68.ARDR5J8VEdCgEpGfT9fweRUIiut8SWJMEvV2MuVBcxOESrU-NzSr04eGS2RyRW3RjeXMj247HDagfBQLlTKWcxSvdM6EYsRJ3FpaLXu7g6aRW4ipp97epiUWqMKg9XmxKjC7HrHu-FHe6vzJm74yjqj"&amp;"hALTC8On2CuQ8nMOJrS3n3W6CAQ_VAnpewnFDPf2WE5jRSYyEa5utw0xlnFJ6_fF9d5BHsKSsKYSrVYB9O4j69u4T0N8ohla2OyySJKhGei0L-ca14f712gK73uQ3OYbg79mJGXFTLBUJkHNGrgk_2sQIwz7YRnqIg-tyuhS8uZSAMjiB84toIcc7BXepyBP-mA&amp;__tn__=-R","Source")</f>
        <v>Source</v>
      </c>
      <c r="J66" s="28"/>
      <c r="K66" s="56" t="s">
        <v>29</v>
      </c>
      <c r="L66" s="43">
        <v>1031.0</v>
      </c>
      <c r="M66" s="91">
        <v>64.0</v>
      </c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27.75" customHeight="1">
      <c r="A67" s="37" t="s">
        <v>244</v>
      </c>
      <c r="B67" s="43">
        <v>1021.0</v>
      </c>
      <c r="C67" s="45">
        <f t="shared" si="1"/>
        <v>0</v>
      </c>
      <c r="D67" s="91">
        <v>30.0</v>
      </c>
      <c r="E67" s="48">
        <f t="shared" si="2"/>
        <v>0</v>
      </c>
      <c r="F67" s="70">
        <f t="shared" si="3"/>
        <v>0.02938295788</v>
      </c>
      <c r="G67" s="85">
        <v>30.0</v>
      </c>
      <c r="H67" s="85">
        <v>79.0</v>
      </c>
      <c r="I67" s="55" t="str">
        <f>HYPERLINK("https://twitter.com/vladaRS/status/1247084353529806848","Source")</f>
        <v>Source</v>
      </c>
      <c r="J67" s="145"/>
      <c r="K67" s="29"/>
      <c r="L67" s="43">
        <v>1021.0</v>
      </c>
      <c r="M67" s="91">
        <v>30.0</v>
      </c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30.0" customHeight="1">
      <c r="A68" s="37" t="s">
        <v>246</v>
      </c>
      <c r="B68" s="91">
        <v>915.0</v>
      </c>
      <c r="C68" s="45">
        <f t="shared" si="1"/>
        <v>0</v>
      </c>
      <c r="D68" s="91">
        <v>4.0</v>
      </c>
      <c r="E68" s="48">
        <f t="shared" si="2"/>
        <v>0</v>
      </c>
      <c r="F68" s="70">
        <f t="shared" si="3"/>
        <v>0.004371584699</v>
      </c>
      <c r="G68" s="85">
        <v>12.0</v>
      </c>
      <c r="H68" s="85">
        <v>216.0</v>
      </c>
      <c r="I68" s="109" t="str">
        <f>HYPERLINK("https://chp-dashboard.geodata.gov.hk/covid-19/en.html","Source")</f>
        <v>Source</v>
      </c>
      <c r="J68" s="28"/>
      <c r="K68" s="56" t="s">
        <v>29</v>
      </c>
      <c r="L68" s="91">
        <v>915.0</v>
      </c>
      <c r="M68" s="91">
        <v>4.0</v>
      </c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27.75" customHeight="1">
      <c r="A69" s="37" t="s">
        <v>247</v>
      </c>
      <c r="B69" s="91">
        <v>864.0</v>
      </c>
      <c r="C69" s="45">
        <f t="shared" si="1"/>
        <v>0</v>
      </c>
      <c r="D69" s="91">
        <v>17.0</v>
      </c>
      <c r="E69" s="48">
        <f t="shared" si="2"/>
        <v>0</v>
      </c>
      <c r="F69" s="70">
        <f t="shared" si="3"/>
        <v>0.01967592593</v>
      </c>
      <c r="G69" s="85">
        <v>76.0</v>
      </c>
      <c r="H69" s="85">
        <v>37.0</v>
      </c>
      <c r="I69" s="55" t="str">
        <f>HYPERLINK("https://msmps.gov.md/ro/content/situatia-epidemiologica-prin-infectia-covid-19-6-aprilie","Source")</f>
        <v>Source</v>
      </c>
      <c r="J69" s="28"/>
      <c r="K69" s="56" t="s">
        <v>29</v>
      </c>
      <c r="L69" s="91">
        <v>864.0</v>
      </c>
      <c r="M69" s="91">
        <v>17.0</v>
      </c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30.0" customHeight="1">
      <c r="A70" s="37" t="s">
        <v>248</v>
      </c>
      <c r="B70" s="91">
        <v>843.0</v>
      </c>
      <c r="C70" s="45">
        <f t="shared" si="1"/>
        <v>0</v>
      </c>
      <c r="D70" s="91">
        <v>14.0</v>
      </c>
      <c r="E70" s="48">
        <f t="shared" si="2"/>
        <v>0</v>
      </c>
      <c r="F70" s="42">
        <f t="shared" si="3"/>
        <v>0.01660735469</v>
      </c>
      <c r="G70" s="85" t="s">
        <v>26</v>
      </c>
      <c r="H70" s="85">
        <v>7.0</v>
      </c>
      <c r="I70" s="55" t="str">
        <f>HYPERLINK("http://sam.lrv.lt/koronavirusas","Source")</f>
        <v>Source</v>
      </c>
      <c r="J70" s="106"/>
      <c r="K70" s="56" t="s">
        <v>29</v>
      </c>
      <c r="L70" s="91">
        <v>843.0</v>
      </c>
      <c r="M70" s="91">
        <v>14.0</v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30.0" customHeight="1">
      <c r="A71" s="37" t="s">
        <v>249</v>
      </c>
      <c r="B71" s="91">
        <v>833.0</v>
      </c>
      <c r="C71" s="45">
        <f t="shared" si="1"/>
        <v>0</v>
      </c>
      <c r="D71" s="91">
        <v>8.0</v>
      </c>
      <c r="E71" s="48">
        <f t="shared" si="2"/>
        <v>0</v>
      </c>
      <c r="F71" s="70">
        <f t="shared" si="3"/>
        <v>0.009603841537</v>
      </c>
      <c r="G71" s="85">
        <v>25.0</v>
      </c>
      <c r="H71" s="85">
        <v>43.0</v>
      </c>
      <c r="I71" s="55" t="str">
        <f>HYPERLINK("https://www.panarmenian.net/eng/news/279884/","Source")</f>
        <v>Source</v>
      </c>
      <c r="J71" s="28"/>
      <c r="K71" s="29"/>
      <c r="L71" s="91">
        <v>833.0</v>
      </c>
      <c r="M71" s="91">
        <v>8.0</v>
      </c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30.0" customHeight="1">
      <c r="A72" s="37" t="s">
        <v>250</v>
      </c>
      <c r="B72" s="91">
        <v>756.0</v>
      </c>
      <c r="C72" s="45">
        <f t="shared" si="1"/>
        <v>0</v>
      </c>
      <c r="D72" s="91">
        <v>4.0</v>
      </c>
      <c r="E72" s="48">
        <f t="shared" si="2"/>
        <v>0</v>
      </c>
      <c r="F72" s="42">
        <f t="shared" si="3"/>
        <v>0.005291005291</v>
      </c>
      <c r="G72" s="85">
        <v>3.0</v>
      </c>
      <c r="H72" s="85">
        <v>458.0</v>
      </c>
      <c r="I72" s="55" t="str">
        <f>HYPERLINK("https://www.moh.gov.bh/COVID19","Source")</f>
        <v>Source</v>
      </c>
      <c r="J72" s="106"/>
      <c r="K72" s="56" t="s">
        <v>29</v>
      </c>
      <c r="L72" s="91">
        <v>756.0</v>
      </c>
      <c r="M72" s="91">
        <v>4.0</v>
      </c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30.0" customHeight="1">
      <c r="A73" s="37" t="s">
        <v>251</v>
      </c>
      <c r="B73" s="91">
        <v>744.0</v>
      </c>
      <c r="C73" s="45">
        <f t="shared" si="1"/>
        <v>0</v>
      </c>
      <c r="D73" s="91">
        <v>38.0</v>
      </c>
      <c r="E73" s="48">
        <f t="shared" si="2"/>
        <v>0</v>
      </c>
      <c r="F73" s="42">
        <f t="shared" si="3"/>
        <v>0.05107526882</v>
      </c>
      <c r="G73" s="85">
        <v>23.0</v>
      </c>
      <c r="H73" s="85">
        <v>67.0</v>
      </c>
      <c r="I73" s="55" t="str">
        <f>HYPERLINK("https://koronavirus.gov.hu/cikkek/733-fore-nott-beazonositott-fertozottek-szama-es-elhunyt-2-idos-beteg","Source")</f>
        <v>Source</v>
      </c>
      <c r="J73" s="28"/>
      <c r="K73" s="56" t="s">
        <v>29</v>
      </c>
      <c r="L73" s="91">
        <v>744.0</v>
      </c>
      <c r="M73" s="91">
        <v>38.0</v>
      </c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30.0" customHeight="1">
      <c r="A74" s="37" t="s">
        <v>252</v>
      </c>
      <c r="B74" s="91">
        <v>712.0</v>
      </c>
      <c r="C74" s="45">
        <f t="shared" si="1"/>
        <v>0</v>
      </c>
      <c r="D74" s="91">
        <v>11.0</v>
      </c>
      <c r="E74" s="48">
        <f t="shared" si="2"/>
        <v>0</v>
      </c>
      <c r="F74" s="70">
        <f t="shared" si="3"/>
        <v>0.0154494382</v>
      </c>
      <c r="G74" s="85">
        <v>9.0</v>
      </c>
      <c r="H74" s="85">
        <v>619.0</v>
      </c>
      <c r="I74" s="55" t="str">
        <f>HYPERLINK("https://www3.nhk.or.jp/news/html/20200401/k10012361701000.html?utm_int=word_contents_list-items_032&amp;word_result=%E6%96%B0%E5%9E%8B%E3%82%B3%E3%83%AD%E3%83%8A%E3%82%A6%E3%82%A4%E3%83%AB%E3%82%B9","Source")</f>
        <v>Source</v>
      </c>
      <c r="J74" s="28"/>
      <c r="K74" s="29"/>
      <c r="L74" s="91">
        <v>712.0</v>
      </c>
      <c r="M74" s="91">
        <v>11.0</v>
      </c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30.0" customHeight="1">
      <c r="A75" s="37" t="s">
        <v>253</v>
      </c>
      <c r="B75" s="91">
        <v>700.0</v>
      </c>
      <c r="C75" s="45">
        <f t="shared" si="1"/>
        <v>0</v>
      </c>
      <c r="D75" s="91">
        <v>13.0</v>
      </c>
      <c r="E75" s="48">
        <f t="shared" si="2"/>
        <v>0</v>
      </c>
      <c r="F75" s="42">
        <f t="shared" si="3"/>
        <v>0.01857142857</v>
      </c>
      <c r="G75" s="85">
        <v>16.0</v>
      </c>
      <c r="H75" s="85">
        <v>52.0</v>
      </c>
      <c r="I75" s="55" t="str">
        <f>HYPERLINK("https://people.onliner.by/2020/04/05/koronavirus-74","Source")</f>
        <v>Source</v>
      </c>
      <c r="J75" s="28"/>
      <c r="K75" s="29"/>
      <c r="L75" s="91">
        <v>700.0</v>
      </c>
      <c r="M75" s="91">
        <v>13.0</v>
      </c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27.75" customHeight="1">
      <c r="A76" s="37" t="s">
        <v>254</v>
      </c>
      <c r="B76" s="91">
        <v>667.0</v>
      </c>
      <c r="C76" s="45">
        <f t="shared" si="1"/>
        <v>0</v>
      </c>
      <c r="D76" s="91">
        <v>26.0</v>
      </c>
      <c r="E76" s="48">
        <f t="shared" si="2"/>
        <v>0</v>
      </c>
      <c r="F76" s="42">
        <f t="shared" si="3"/>
        <v>0.03898050975</v>
      </c>
      <c r="G76" s="85" t="s">
        <v>26</v>
      </c>
      <c r="H76" s="85">
        <v>45.0</v>
      </c>
      <c r="I76" s="55" t="str">
        <f>HYPERLINK("https://www.klix.ba/vijesti/bih/prvi-slucaj-koronavirusa-u-livnu-zarazen-pripadnik-oruzanih-snaga-bih/200404074","Source")</f>
        <v>Source</v>
      </c>
      <c r="J76" s="28"/>
      <c r="K76" s="29"/>
      <c r="L76" s="91">
        <v>667.0</v>
      </c>
      <c r="M76" s="91">
        <v>26.0</v>
      </c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30.0" customHeight="1">
      <c r="A77" s="37" t="s">
        <v>255</v>
      </c>
      <c r="B77" s="91">
        <v>665.0</v>
      </c>
      <c r="C77" s="45">
        <f t="shared" si="1"/>
        <v>0</v>
      </c>
      <c r="D77" s="91">
        <v>1.0</v>
      </c>
      <c r="E77" s="48">
        <f t="shared" si="2"/>
        <v>0</v>
      </c>
      <c r="F77" s="42">
        <f t="shared" si="3"/>
        <v>0.001503759398</v>
      </c>
      <c r="G77" s="85">
        <v>20.0</v>
      </c>
      <c r="H77" s="85">
        <v>103.0</v>
      </c>
      <c r="I77" s="55" t="str">
        <f>HYPERLINK("https://twitter.com/KUWAIT_MOH/status/1247089201025335296","Source")</f>
        <v>Source</v>
      </c>
      <c r="J77" s="28"/>
      <c r="K77" s="56" t="s">
        <v>29</v>
      </c>
      <c r="L77" s="91">
        <v>665.0</v>
      </c>
      <c r="M77" s="91">
        <v>1.0</v>
      </c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27.75" customHeight="1">
      <c r="A78" s="37" t="s">
        <v>256</v>
      </c>
      <c r="B78" s="91">
        <v>658.0</v>
      </c>
      <c r="C78" s="45">
        <f t="shared" si="1"/>
        <v>0</v>
      </c>
      <c r="D78" s="91">
        <v>8.0</v>
      </c>
      <c r="E78" s="48">
        <f t="shared" si="2"/>
        <v>0</v>
      </c>
      <c r="F78" s="42">
        <f t="shared" si="3"/>
        <v>0.01215805471</v>
      </c>
      <c r="G78" s="85" t="s">
        <v>26</v>
      </c>
      <c r="H78" s="85">
        <v>17.0</v>
      </c>
      <c r="I78" s="55" t="str">
        <f>HYPERLINK("https://twitter.com/DrManaouda/status/1247066269301592064","Source")</f>
        <v>Source</v>
      </c>
      <c r="J78" s="28"/>
      <c r="K78" s="56" t="s">
        <v>29</v>
      </c>
      <c r="L78" s="91">
        <v>658.0</v>
      </c>
      <c r="M78" s="91">
        <v>8.0</v>
      </c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30.0" customHeight="1">
      <c r="A79" s="37" t="s">
        <v>257</v>
      </c>
      <c r="B79" s="91">
        <v>604.0</v>
      </c>
      <c r="C79" s="45">
        <f t="shared" si="1"/>
        <v>0</v>
      </c>
      <c r="D79" s="91">
        <v>6.0</v>
      </c>
      <c r="E79" s="48">
        <f t="shared" si="2"/>
        <v>0</v>
      </c>
      <c r="F79" s="70">
        <f t="shared" si="3"/>
        <v>0.009933774834</v>
      </c>
      <c r="G79" s="85" t="s">
        <v>26</v>
      </c>
      <c r="H79" s="85">
        <v>36.0</v>
      </c>
      <c r="I79" s="55" t="str">
        <f>HYPERLINK("https://www.facebook.com/MinzdravRK/posts/1450427251801799?__xts__%5B0%5D=68.ARAA1i5gksgKdboloBIzFufPs43DE_DTSF3H1YArEPkffTURjuauRDB_kW27OoSzo1Kr73i_Ngr5gnKK8As8ZqbbM6ilLY6GvPlnlbJmSLH1AEUNNqYDXW_Ap_wAwEMVWKlx1qpGKiCVhPXZNlOVyg6xuykjcqCDYlSe-dYfA6duJrE7Zj"&amp;"aAwzgoxOQ6OQaU4lA6LlBsBuEv-uRD1OpU3x8_GZeyjjDxSwgXZ4UsUCdzD0XOKhwLlClS4yJgNeA0ELlOPDXVuyzbWpPx5IQId2-sURGgsB7V6kWUwXt4Eft8IIBMV23ATuX0NR6fA7Gp_eZKJePpWKrrNe7RBv1X5i7Exg&amp;__tn__=-R","Source")</f>
        <v>Source</v>
      </c>
      <c r="J79" s="28"/>
      <c r="K79" s="56" t="s">
        <v>29</v>
      </c>
      <c r="L79" s="91">
        <v>604.0</v>
      </c>
      <c r="M79" s="91">
        <v>6.0</v>
      </c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30.0" customHeight="1">
      <c r="A80" s="37" t="s">
        <v>258</v>
      </c>
      <c r="B80" s="91">
        <v>584.0</v>
      </c>
      <c r="C80" s="45">
        <f t="shared" si="1"/>
        <v>0</v>
      </c>
      <c r="D80" s="91">
        <v>7.0</v>
      </c>
      <c r="E80" s="48">
        <f t="shared" si="2"/>
        <v>0</v>
      </c>
      <c r="F80" s="42">
        <f t="shared" si="3"/>
        <v>0.01198630137</v>
      </c>
      <c r="G80" s="85">
        <v>40.0</v>
      </c>
      <c r="H80" s="85">
        <v>32.0</v>
      </c>
      <c r="I80" s="55" t="str">
        <f>HYPERLINK("https://koronavirusinfo.az/az","Source")</f>
        <v>Source</v>
      </c>
      <c r="J80" s="106"/>
      <c r="K80" s="29"/>
      <c r="L80" s="91">
        <v>584.0</v>
      </c>
      <c r="M80" s="91">
        <v>7.0</v>
      </c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30.0" customHeight="1">
      <c r="A81" s="37" t="s">
        <v>259</v>
      </c>
      <c r="B81" s="91">
        <v>555.0</v>
      </c>
      <c r="C81" s="45">
        <f t="shared" si="1"/>
        <v>0</v>
      </c>
      <c r="D81" s="91">
        <v>18.0</v>
      </c>
      <c r="E81" s="48">
        <f t="shared" si="2"/>
        <v>0</v>
      </c>
      <c r="F81" s="70">
        <f t="shared" si="3"/>
        <v>0.03243243243</v>
      </c>
      <c r="G81" s="85" t="s">
        <v>26</v>
      </c>
      <c r="H81" s="85">
        <v>23.0</v>
      </c>
      <c r="I81" s="55" t="str">
        <f>HYPERLINK("https://twitter.com/ZdravstvoMK/status/1246433518990905345","Source")</f>
        <v>Source</v>
      </c>
      <c r="J81" s="28"/>
      <c r="K81" s="56" t="s">
        <v>29</v>
      </c>
      <c r="L81" s="91">
        <v>555.0</v>
      </c>
      <c r="M81" s="91">
        <v>18.0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30.0" customHeight="1">
      <c r="A82" s="37" t="s">
        <v>260</v>
      </c>
      <c r="B82" s="91">
        <v>542.0</v>
      </c>
      <c r="C82" s="45">
        <f t="shared" si="1"/>
        <v>0</v>
      </c>
      <c r="D82" s="91">
        <v>0.0</v>
      </c>
      <c r="E82" s="48">
        <f t="shared" si="2"/>
        <v>0</v>
      </c>
      <c r="F82" s="42">
        <f t="shared" si="3"/>
        <v>0</v>
      </c>
      <c r="G82" s="85">
        <v>5.0</v>
      </c>
      <c r="H82" s="85" t="s">
        <v>26</v>
      </c>
      <c r="I82" s="55" t="str">
        <f>HYPERLINK("https://twitter.com/SPKCentrs/status/1247054102019944449","Source")</f>
        <v>Source</v>
      </c>
      <c r="J82" s="28"/>
      <c r="K82" s="29"/>
      <c r="L82" s="91">
        <v>542.0</v>
      </c>
      <c r="M82" s="91">
        <v>0.0</v>
      </c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30.0" customHeight="1">
      <c r="A83" s="37" t="s">
        <v>261</v>
      </c>
      <c r="B83" s="91">
        <v>553.0</v>
      </c>
      <c r="C83" s="45">
        <f t="shared" si="1"/>
        <v>0</v>
      </c>
      <c r="D83" s="91">
        <v>19.0</v>
      </c>
      <c r="E83" s="48">
        <f t="shared" si="2"/>
        <v>0</v>
      </c>
      <c r="F83" s="42">
        <f t="shared" si="3"/>
        <v>0.03435804702</v>
      </c>
      <c r="G83" s="85" t="s">
        <v>26</v>
      </c>
      <c r="H83" s="85">
        <v>5.0</v>
      </c>
      <c r="I83" s="55" t="str">
        <f>HYPERLINK("https://www.facebook.com/santetunisie.rns.tn/photos/a.724855064220267/3001919383180479/?type=3&amp;theater","Source")</f>
        <v>Source</v>
      </c>
      <c r="J83" s="28"/>
      <c r="K83" s="29"/>
      <c r="L83" s="91">
        <v>553.0</v>
      </c>
      <c r="M83" s="91">
        <v>19.0</v>
      </c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30.0" customHeight="1">
      <c r="A84" s="37" t="s">
        <v>262</v>
      </c>
      <c r="B84" s="91">
        <v>541.0</v>
      </c>
      <c r="C84" s="45">
        <f t="shared" si="1"/>
        <v>0</v>
      </c>
      <c r="D84" s="91">
        <v>21.0</v>
      </c>
      <c r="E84" s="48">
        <f t="shared" si="2"/>
        <v>0</v>
      </c>
      <c r="F84" s="42">
        <f t="shared" si="3"/>
        <v>0.03881700555</v>
      </c>
      <c r="G84" s="85">
        <v>22.0</v>
      </c>
      <c r="H84" s="85">
        <v>34.0</v>
      </c>
      <c r="I84" s="55" t="str">
        <f>HYPERLINK("http://www.mh.government.bg/bg/novini/aktualno/39-sa-veche-izlekuvanite-pacienti-ot-covid-19-v-bl/","Source")</f>
        <v>Source</v>
      </c>
      <c r="J84" s="28"/>
      <c r="K84" s="29"/>
      <c r="L84" s="91">
        <v>541.0</v>
      </c>
      <c r="M84" s="91">
        <v>21.0</v>
      </c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30.0" customHeight="1">
      <c r="A85" s="37" t="s">
        <v>263</v>
      </c>
      <c r="B85" s="91">
        <v>541.0</v>
      </c>
      <c r="C85" s="45">
        <f t="shared" si="1"/>
        <v>0</v>
      </c>
      <c r="D85" s="91">
        <v>19.0</v>
      </c>
      <c r="E85" s="48">
        <f t="shared" si="2"/>
        <v>0</v>
      </c>
      <c r="F85" s="70">
        <f t="shared" si="3"/>
        <v>0.03512014787</v>
      </c>
      <c r="G85" s="85">
        <v>42.0</v>
      </c>
      <c r="H85" s="85">
        <v>35.0</v>
      </c>
      <c r="I85" s="55" t="str">
        <f>HYPERLINK("https://maps.moph.gov.lb/portal/apps/opsdashboard/index.html?fbclid=IwAR16xBrtR1w9HaYhO1_aHHOR2zyN1W5p_vezLF_lV3jTqgjphMy95ttgEHw#/d19be998323548278e088076d46d24f8","Source")</f>
        <v>Source</v>
      </c>
      <c r="J85" s="28"/>
      <c r="K85" s="29"/>
      <c r="L85" s="91">
        <v>541.0</v>
      </c>
      <c r="M85" s="91">
        <v>19.0</v>
      </c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30.0" customHeight="1">
      <c r="A86" s="37" t="s">
        <v>264</v>
      </c>
      <c r="B86" s="91">
        <v>501.0</v>
      </c>
      <c r="C86" s="45">
        <f t="shared" si="1"/>
        <v>0</v>
      </c>
      <c r="D86" s="91">
        <v>18.0</v>
      </c>
      <c r="E86" s="48">
        <f t="shared" si="2"/>
        <v>0</v>
      </c>
      <c r="F86" s="42">
        <f t="shared" si="3"/>
        <v>0.03592814371</v>
      </c>
      <c r="G86" s="85" t="s">
        <v>26</v>
      </c>
      <c r="H86" s="85">
        <v>26.0</v>
      </c>
      <c r="I86" s="55" t="str">
        <f>HYPERLINK("https://www.govern.ad/coronavirus","Source")</f>
        <v>Source</v>
      </c>
      <c r="J86" s="28"/>
      <c r="K86" s="29"/>
      <c r="L86" s="91">
        <v>501.0</v>
      </c>
      <c r="M86" s="91">
        <v>18.0</v>
      </c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30.0" customHeight="1">
      <c r="A87" s="37" t="s">
        <v>265</v>
      </c>
      <c r="B87" s="91">
        <v>485.0</v>
      </c>
      <c r="C87" s="45">
        <f t="shared" si="1"/>
        <v>0</v>
      </c>
      <c r="D87" s="91">
        <v>0.0</v>
      </c>
      <c r="E87" s="48">
        <f t="shared" si="2"/>
        <v>0</v>
      </c>
      <c r="F87" s="42">
        <f t="shared" si="3"/>
        <v>0</v>
      </c>
      <c r="G87" s="85" t="s">
        <v>26</v>
      </c>
      <c r="H87" s="85">
        <v>8.0</v>
      </c>
      <c r="I87" s="55" t="str">
        <f>HYPERLINK("https://ezdravie.nczisk.sk/sk?category=COVID","Source")</f>
        <v>Source</v>
      </c>
      <c r="J87" s="28"/>
      <c r="K87" s="29"/>
      <c r="L87" s="91">
        <v>485.0</v>
      </c>
      <c r="M87" s="91">
        <v>0.0</v>
      </c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30.0" customHeight="1">
      <c r="A88" s="37" t="s">
        <v>222</v>
      </c>
      <c r="B88" s="91">
        <v>467.0</v>
      </c>
      <c r="C88" s="45">
        <f t="shared" si="1"/>
        <v>0</v>
      </c>
      <c r="D88" s="91">
        <v>2.0</v>
      </c>
      <c r="E88" s="48">
        <f t="shared" si="2"/>
        <v>0</v>
      </c>
      <c r="F88" s="42">
        <f t="shared" si="3"/>
        <v>0.004282655246</v>
      </c>
      <c r="G88" s="85" t="s">
        <v>26</v>
      </c>
      <c r="H88" s="85">
        <v>18.0</v>
      </c>
      <c r="I88" s="55" t="str">
        <f>HYPERLINK("https://twitter.com/msaludcr/status/1247243786461249537","Source")</f>
        <v>Source</v>
      </c>
      <c r="J88" s="28"/>
      <c r="K88" s="56" t="s">
        <v>29</v>
      </c>
      <c r="L88" s="91">
        <v>467.0</v>
      </c>
      <c r="M88" s="91">
        <v>2.0</v>
      </c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30.0" customHeight="1">
      <c r="A89" s="37" t="s">
        <v>266</v>
      </c>
      <c r="B89" s="91">
        <v>457.0</v>
      </c>
      <c r="C89" s="45">
        <f t="shared" si="1"/>
        <v>0</v>
      </c>
      <c r="D89" s="91">
        <v>2.0</v>
      </c>
      <c r="E89" s="48">
        <f t="shared" si="2"/>
        <v>0</v>
      </c>
      <c r="F89" s="42">
        <f t="shared" si="3"/>
        <v>0.004376367615</v>
      </c>
      <c r="G89" s="85">
        <v>9.0</v>
      </c>
      <c r="H89" s="85">
        <v>30.0</v>
      </c>
      <c r="I89" s="55" t="str">
        <f>HYPERLINK("https://t.me/s/ssvuz","Source")</f>
        <v>Source</v>
      </c>
      <c r="J89" s="28"/>
      <c r="K89" s="56" t="s">
        <v>69</v>
      </c>
      <c r="L89" s="91">
        <v>457.0</v>
      </c>
      <c r="M89" s="91">
        <v>2.0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30.0" customHeight="1">
      <c r="A90" s="37" t="s">
        <v>267</v>
      </c>
      <c r="B90" s="91">
        <v>446.0</v>
      </c>
      <c r="C90" s="45">
        <f t="shared" si="1"/>
        <v>0</v>
      </c>
      <c r="D90" s="91">
        <v>13.0</v>
      </c>
      <c r="E90" s="48">
        <f t="shared" si="2"/>
        <v>0</v>
      </c>
      <c r="F90" s="70">
        <f t="shared" si="3"/>
        <v>0.02914798206</v>
      </c>
      <c r="G90" s="85">
        <v>6.0</v>
      </c>
      <c r="H90" s="85">
        <v>33.0</v>
      </c>
      <c r="I90" s="55" t="str">
        <f>HYPERLINK("http://www.cna.org.cy/WebNews.aspx?a=59b7d24dacee4fb08d9d9066bd73cb93","Source")</f>
        <v>Source</v>
      </c>
      <c r="J90" s="28"/>
      <c r="K90" s="29"/>
      <c r="L90" s="91">
        <v>446.0</v>
      </c>
      <c r="M90" s="91">
        <v>13.0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30.0" customHeight="1">
      <c r="A91" s="37" t="s">
        <v>223</v>
      </c>
      <c r="B91" s="91">
        <v>406.0</v>
      </c>
      <c r="C91" s="45">
        <f t="shared" si="1"/>
        <v>0</v>
      </c>
      <c r="D91" s="91">
        <v>6.0</v>
      </c>
      <c r="E91" s="48">
        <f t="shared" si="2"/>
        <v>0</v>
      </c>
      <c r="F91" s="70">
        <f t="shared" si="3"/>
        <v>0.01477832512</v>
      </c>
      <c r="G91" s="85">
        <v>13.0</v>
      </c>
      <c r="H91" s="85">
        <v>93.0</v>
      </c>
      <c r="I91" s="55" t="str">
        <f>HYPERLINK("https://twitter.com/MSPUruguay/status/1246935032570281984","Source")</f>
        <v>Source</v>
      </c>
      <c r="J91" s="28"/>
      <c r="K91" s="56" t="s">
        <v>29</v>
      </c>
      <c r="L91" s="91">
        <v>406.0</v>
      </c>
      <c r="M91" s="91">
        <v>6.0</v>
      </c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30.0" customHeight="1">
      <c r="A92" s="37" t="s">
        <v>268</v>
      </c>
      <c r="B92" s="91">
        <v>373.0</v>
      </c>
      <c r="C92" s="45">
        <f t="shared" si="1"/>
        <v>0</v>
      </c>
      <c r="D92" s="91">
        <v>5.0</v>
      </c>
      <c r="E92" s="48">
        <f t="shared" si="2"/>
        <v>0</v>
      </c>
      <c r="F92" s="70">
        <f t="shared" si="3"/>
        <v>0.01340482574</v>
      </c>
      <c r="G92" s="85">
        <v>0.0</v>
      </c>
      <c r="H92" s="85">
        <v>57.0</v>
      </c>
      <c r="I92" s="55" t="str">
        <f>HYPERLINK("https://www.cdc.gov.tw/Bulletin/Detail/hzqKd_TUo7pkzioYq5DRAw?typeid=9","Source")</f>
        <v>Source</v>
      </c>
      <c r="J92" s="28"/>
      <c r="K92" s="56" t="s">
        <v>29</v>
      </c>
      <c r="L92" s="91">
        <v>373.0</v>
      </c>
      <c r="M92" s="91">
        <v>5.0</v>
      </c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30.0" customHeight="1">
      <c r="A93" s="37" t="s">
        <v>269</v>
      </c>
      <c r="B93" s="91">
        <v>367.0</v>
      </c>
      <c r="C93" s="45">
        <f t="shared" si="1"/>
        <v>0</v>
      </c>
      <c r="D93" s="91">
        <v>8.0</v>
      </c>
      <c r="E93" s="48">
        <f t="shared" si="2"/>
        <v>0</v>
      </c>
      <c r="F93" s="70">
        <f t="shared" si="3"/>
        <v>0.02179836512</v>
      </c>
      <c r="G93" s="85" t="s">
        <v>26</v>
      </c>
      <c r="H93" s="85">
        <v>17.0</v>
      </c>
      <c r="I93" s="55" t="str">
        <f>HYPERLINK("https://uneplive.maps.arcgis.com/apps/opsdashboard/index.html#/4c8ca6b1d9bc44d6bde5e2fd54afc180","Source")</f>
        <v>Source</v>
      </c>
      <c r="J93" s="28"/>
      <c r="K93" s="29"/>
      <c r="L93" s="91">
        <v>367.0</v>
      </c>
      <c r="M93" s="91">
        <v>8.0</v>
      </c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30.0" customHeight="1">
      <c r="A94" s="37" t="s">
        <v>270</v>
      </c>
      <c r="B94" s="91">
        <v>361.0</v>
      </c>
      <c r="C94" s="45">
        <f t="shared" si="1"/>
        <v>0</v>
      </c>
      <c r="D94" s="91">
        <v>20.0</v>
      </c>
      <c r="E94" s="48">
        <f t="shared" si="2"/>
        <v>0</v>
      </c>
      <c r="F94" s="42">
        <f t="shared" si="3"/>
        <v>0.05540166205</v>
      </c>
      <c r="G94" s="85">
        <v>13.0</v>
      </c>
      <c r="H94" s="85">
        <v>104.0</v>
      </c>
      <c r="I94" s="55" t="str">
        <f>HYPERLINK("https://shendetesia.gov.al/ministria-e-shendetesise-28-raste-te-reja-me-covid-19-shkon-ne-361-numri-i-te-prekurve/","Source")</f>
        <v>Source</v>
      </c>
      <c r="J94" s="28"/>
      <c r="K94" s="56"/>
      <c r="L94" s="91">
        <v>361.0</v>
      </c>
      <c r="M94" s="91">
        <v>20.0</v>
      </c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27.75" customHeight="1">
      <c r="A95" s="37" t="s">
        <v>227</v>
      </c>
      <c r="B95" s="91">
        <v>350.0</v>
      </c>
      <c r="C95" s="45">
        <f t="shared" si="1"/>
        <v>0</v>
      </c>
      <c r="D95" s="91">
        <v>9.0</v>
      </c>
      <c r="E95" s="48">
        <f t="shared" si="2"/>
        <v>0</v>
      </c>
      <c r="F95" s="42">
        <f t="shared" si="3"/>
        <v>0.02571428571</v>
      </c>
      <c r="G95" s="85">
        <v>12.0</v>
      </c>
      <c r="H95" s="85">
        <v>18.0</v>
      </c>
      <c r="I95" s="55" t="str">
        <f>HYPERLINK("https://twitter.com/MINSAPCuba/status/1247181165779472385","Source")</f>
        <v>Source</v>
      </c>
      <c r="J95" s="28"/>
      <c r="K95" s="56" t="s">
        <v>29</v>
      </c>
      <c r="L95" s="91">
        <v>350.0</v>
      </c>
      <c r="M95" s="91">
        <v>9.0</v>
      </c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27.75" customHeight="1">
      <c r="A96" s="37" t="s">
        <v>271</v>
      </c>
      <c r="B96" s="91">
        <v>345.0</v>
      </c>
      <c r="C96" s="45">
        <f t="shared" si="1"/>
        <v>0</v>
      </c>
      <c r="D96" s="91">
        <v>17.0</v>
      </c>
      <c r="E96" s="48">
        <f t="shared" si="2"/>
        <v>0</v>
      </c>
      <c r="F96" s="42">
        <f t="shared" si="3"/>
        <v>0.04927536232</v>
      </c>
      <c r="G96" s="85" t="s">
        <v>26</v>
      </c>
      <c r="H96" s="85">
        <v>90.0</v>
      </c>
      <c r="I96" s="55" t="str">
        <f>HYPERLINK("https://lefaso.net/spip.php?article95981","Source")</f>
        <v>Source</v>
      </c>
      <c r="J96" s="28"/>
      <c r="K96" s="29"/>
      <c r="L96" s="91">
        <v>345.0</v>
      </c>
      <c r="M96" s="91">
        <v>17.0</v>
      </c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30.0" customHeight="1">
      <c r="A97" s="37" t="s">
        <v>272</v>
      </c>
      <c r="B97" s="91">
        <v>345.0</v>
      </c>
      <c r="C97" s="45">
        <f t="shared" si="1"/>
        <v>0</v>
      </c>
      <c r="D97" s="91">
        <v>5.0</v>
      </c>
      <c r="E97" s="48">
        <f t="shared" si="2"/>
        <v>0</v>
      </c>
      <c r="F97" s="70">
        <f t="shared" si="3"/>
        <v>0.01449275362</v>
      </c>
      <c r="G97" s="85" t="s">
        <v>26</v>
      </c>
      <c r="H97" s="85">
        <v>110.0</v>
      </c>
      <c r="I97" s="55" t="str">
        <f>HYPERLINK("https://corona.moh.gov.jo/ar","Source")</f>
        <v>Source</v>
      </c>
      <c r="J97" s="28"/>
      <c r="K97" s="56" t="s">
        <v>29</v>
      </c>
      <c r="L97" s="91">
        <v>345.0</v>
      </c>
      <c r="M97" s="91">
        <v>5.0</v>
      </c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30.0" customHeight="1">
      <c r="A98" s="37" t="s">
        <v>273</v>
      </c>
      <c r="B98" s="91">
        <v>331.0</v>
      </c>
      <c r="C98" s="45">
        <f t="shared" si="1"/>
        <v>0</v>
      </c>
      <c r="D98" s="91">
        <v>2.0</v>
      </c>
      <c r="E98" s="48">
        <f t="shared" si="2"/>
        <v>0</v>
      </c>
      <c r="F98" s="42">
        <f t="shared" si="3"/>
        <v>0.006042296073</v>
      </c>
      <c r="G98" s="85">
        <v>0.0</v>
      </c>
      <c r="H98" s="85">
        <v>61.0</v>
      </c>
      <c r="I98" s="55" t="str">
        <f>HYPERLINK("https://covid19.moh.gov.om/#/home","Source")</f>
        <v>Source</v>
      </c>
      <c r="J98" s="106"/>
      <c r="K98" s="56" t="s">
        <v>29</v>
      </c>
      <c r="L98" s="91">
        <v>331.0</v>
      </c>
      <c r="M98" s="91">
        <v>2.0</v>
      </c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27.75" customHeight="1">
      <c r="A99" s="37" t="s">
        <v>225</v>
      </c>
      <c r="B99" s="91">
        <v>298.0</v>
      </c>
      <c r="C99" s="45">
        <f t="shared" si="1"/>
        <v>0</v>
      </c>
      <c r="D99" s="91">
        <v>22.0</v>
      </c>
      <c r="E99" s="48">
        <f t="shared" si="2"/>
        <v>0</v>
      </c>
      <c r="F99" s="70">
        <f t="shared" si="3"/>
        <v>0.07382550336</v>
      </c>
      <c r="G99" s="85" t="s">
        <v>26</v>
      </c>
      <c r="H99" s="85">
        <v>6.0</v>
      </c>
      <c r="I99" s="55" t="str">
        <f>HYPERLINK("https://covid19honduras.org/","Source")</f>
        <v>Source</v>
      </c>
      <c r="J99" s="28"/>
      <c r="K99" s="56" t="s">
        <v>29</v>
      </c>
      <c r="L99" s="91">
        <v>298.0</v>
      </c>
      <c r="M99" s="91">
        <v>22.0</v>
      </c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30.0" customHeight="1">
      <c r="A100" s="37" t="s">
        <v>274</v>
      </c>
      <c r="B100" s="91">
        <v>277.0</v>
      </c>
      <c r="C100" s="45">
        <f t="shared" si="1"/>
        <v>0</v>
      </c>
      <c r="D100" s="91">
        <v>32.0</v>
      </c>
      <c r="E100" s="48">
        <f t="shared" si="2"/>
        <v>0</v>
      </c>
      <c r="F100" s="70">
        <f t="shared" si="3"/>
        <v>0.1155234657</v>
      </c>
      <c r="G100" s="85">
        <v>14.0</v>
      </c>
      <c r="H100" s="85">
        <v>40.0</v>
      </c>
      <c r="I100" s="55" t="str">
        <f>HYPERLINK("http://www.iss.sm/on-line/home/articolo49014229.html","Source")</f>
        <v>Source</v>
      </c>
      <c r="J100" s="124"/>
      <c r="K100" s="56" t="s">
        <v>29</v>
      </c>
      <c r="L100" s="91">
        <v>277.0</v>
      </c>
      <c r="M100" s="91">
        <v>32.0</v>
      </c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30.0" customHeight="1">
      <c r="A101" s="37" t="s">
        <v>275</v>
      </c>
      <c r="B101" s="91">
        <v>252.0</v>
      </c>
      <c r="C101" s="45">
        <f t="shared" si="1"/>
        <v>0</v>
      </c>
      <c r="D101" s="91">
        <v>1.0</v>
      </c>
      <c r="E101" s="48">
        <f t="shared" si="2"/>
        <v>0</v>
      </c>
      <c r="F101" s="70">
        <f t="shared" si="3"/>
        <v>0.003968253968</v>
      </c>
      <c r="G101" s="85">
        <v>0.0</v>
      </c>
      <c r="H101" s="85">
        <v>21.0</v>
      </c>
      <c r="I101" s="55" t="str">
        <f>HYPERLINK("https://www.facebook.com/mohps/posts/2729939773798550?__xts__%5B0%5D=68.ARBLlk330TAu239Rt7qFfsmMi_POuDb_J-oH2n6kMIjQ37e25YnSbtOaYE7HBWhAH3Ulu-eN-6BsMJuPt_XXGw85kPCxZaeTq8ePRVfYN9uxuw-cVshCsHNNK82_bhuW8VEZJV0lmSz79DRlWkrnJUvS9uSm7o-zfiaZTlk2z-UxlxweFErmq4o"&amp;"pmNp-Em07d-tTFE3mp-oJ4j9ANW71L6BiQEokatKXMvkK2xHVtgrNeh3eLE-KkdqQ9IXXSfBhs4lfAXb0guHupCA20bpOaeIvdI-HcW_N2jx30NaBy-DfN90V-WCHi9N1_IATPYQtPdMoY-pQQQUe1eqRPASRcg&amp;__tn__=-R","Source")</f>
        <v>Source</v>
      </c>
      <c r="J101" s="28"/>
      <c r="K101" s="56" t="s">
        <v>69</v>
      </c>
      <c r="L101" s="91">
        <v>252.0</v>
      </c>
      <c r="M101" s="91">
        <v>1.0</v>
      </c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27.75" customHeight="1">
      <c r="A102" s="37" t="s">
        <v>276</v>
      </c>
      <c r="B102" s="91">
        <v>245.0</v>
      </c>
      <c r="C102" s="45">
        <f t="shared" si="1"/>
        <v>0</v>
      </c>
      <c r="D102" s="91">
        <v>1.0</v>
      </c>
      <c r="E102" s="48">
        <f t="shared" si="2"/>
        <v>0</v>
      </c>
      <c r="F102" s="42">
        <f t="shared" si="3"/>
        <v>0.004081632653</v>
      </c>
      <c r="G102" s="85" t="s">
        <v>26</v>
      </c>
      <c r="H102" s="85">
        <v>25.0</v>
      </c>
      <c r="I102" s="55" t="str">
        <f>HYPERLINK("https://twitter.com/OmsCotedivoire/status/1246536179601768449","Source")</f>
        <v>Source</v>
      </c>
      <c r="J102" s="28"/>
      <c r="K102" s="29"/>
      <c r="L102" s="91">
        <v>245.0</v>
      </c>
      <c r="M102" s="91">
        <v>1.0</v>
      </c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30.0" customHeight="1">
      <c r="A103" s="37" t="s">
        <v>277</v>
      </c>
      <c r="B103" s="91">
        <v>241.0</v>
      </c>
      <c r="C103" s="45">
        <f t="shared" si="1"/>
        <v>0</v>
      </c>
      <c r="D103" s="91">
        <v>0.0</v>
      </c>
      <c r="E103" s="48">
        <f t="shared" si="2"/>
        <v>0</v>
      </c>
      <c r="F103" s="70">
        <f t="shared" si="3"/>
        <v>0</v>
      </c>
      <c r="G103" s="85" t="s">
        <v>26</v>
      </c>
      <c r="H103" s="85">
        <v>95.0</v>
      </c>
      <c r="I103" s="55" t="str">
        <f>HYPERLINK("https://twitter.com/VNGovtPortal/status/1246785186273972228","Source")</f>
        <v>Source</v>
      </c>
      <c r="J103" s="28"/>
      <c r="K103" s="29"/>
      <c r="L103" s="91">
        <v>241.0</v>
      </c>
      <c r="M103" s="91">
        <v>0.0</v>
      </c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30.0" customHeight="1">
      <c r="A104" s="37" t="s">
        <v>278</v>
      </c>
      <c r="B104" s="91">
        <v>238.0</v>
      </c>
      <c r="C104" s="45">
        <f t="shared" si="1"/>
        <v>0</v>
      </c>
      <c r="D104" s="91">
        <v>5.0</v>
      </c>
      <c r="E104" s="48">
        <f t="shared" si="2"/>
        <v>0</v>
      </c>
      <c r="F104" s="70">
        <f t="shared" si="3"/>
        <v>0.02100840336</v>
      </c>
      <c r="G104" s="85" t="s">
        <v>26</v>
      </c>
      <c r="H104" s="85">
        <v>35.0</v>
      </c>
      <c r="I104" s="55" t="str">
        <f>HYPERLINK("https://twitter.com/NCDCgov/status/1247260424401227780","Source")</f>
        <v>Source</v>
      </c>
      <c r="J104" s="28"/>
      <c r="K104" s="29"/>
      <c r="L104" s="91">
        <v>238.0</v>
      </c>
      <c r="M104" s="91">
        <v>5.0</v>
      </c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30.0" customHeight="1">
      <c r="A105" s="37" t="s">
        <v>279</v>
      </c>
      <c r="B105" s="91">
        <v>227.0</v>
      </c>
      <c r="C105" s="45">
        <f t="shared" si="1"/>
        <v>0</v>
      </c>
      <c r="D105" s="91">
        <v>7.0</v>
      </c>
      <c r="E105" s="48">
        <f t="shared" si="2"/>
        <v>0</v>
      </c>
      <c r="F105" s="70">
        <f t="shared" si="3"/>
        <v>0.03083700441</v>
      </c>
      <c r="G105" s="85" t="s">
        <v>26</v>
      </c>
      <c r="H105" s="85" t="s">
        <v>26</v>
      </c>
      <c r="I105" s="55" t="str">
        <f>HYPERLINK("https://www.lemauricien.com/covid19/","Source")</f>
        <v>Source</v>
      </c>
      <c r="J105" s="28"/>
      <c r="K105" s="29"/>
      <c r="L105" s="91">
        <v>227.0</v>
      </c>
      <c r="M105" s="91">
        <v>7.0</v>
      </c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27.75" customHeight="1">
      <c r="A106" s="37" t="s">
        <v>280</v>
      </c>
      <c r="B106" s="91">
        <v>227.0</v>
      </c>
      <c r="C106" s="45">
        <f t="shared" si="1"/>
        <v>0</v>
      </c>
      <c r="D106" s="91">
        <v>0.0</v>
      </c>
      <c r="E106" s="48">
        <f t="shared" si="2"/>
        <v>0</v>
      </c>
      <c r="F106" s="42">
        <f t="shared" si="3"/>
        <v>0</v>
      </c>
      <c r="G106" s="85">
        <v>3.0</v>
      </c>
      <c r="H106" s="85">
        <v>2.0</v>
      </c>
      <c r="I106" s="55" t="str">
        <f>HYPERLINK("https://timesofmalta.com/articles/view/live-covid-19-health-update.783599","Source")</f>
        <v>Source</v>
      </c>
      <c r="J106" s="28"/>
      <c r="K106" s="56" t="s">
        <v>29</v>
      </c>
      <c r="L106" s="91">
        <v>227.0</v>
      </c>
      <c r="M106" s="91">
        <v>0.0</v>
      </c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30.0" customHeight="1">
      <c r="A107" s="37" t="s">
        <v>281</v>
      </c>
      <c r="B107" s="91">
        <v>226.0</v>
      </c>
      <c r="C107" s="45">
        <f t="shared" si="1"/>
        <v>0</v>
      </c>
      <c r="D107" s="91">
        <v>2.0</v>
      </c>
      <c r="E107" s="48">
        <f t="shared" si="2"/>
        <v>0</v>
      </c>
      <c r="F107" s="42">
        <f t="shared" si="3"/>
        <v>0.008849557522</v>
      </c>
      <c r="G107" s="85" t="s">
        <v>26</v>
      </c>
      <c r="H107" s="85">
        <v>92.0</v>
      </c>
      <c r="I107" s="55" t="str">
        <f>HYPERLINK("https://twitter.com/MinisteredelaS1/status/1247104989467639810","Source")</f>
        <v>Source</v>
      </c>
      <c r="J107" s="57"/>
      <c r="K107" s="29"/>
      <c r="L107" s="91">
        <v>226.0</v>
      </c>
      <c r="M107" s="91">
        <v>2.0</v>
      </c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30.0" customHeight="1">
      <c r="A108" s="37" t="s">
        <v>282</v>
      </c>
      <c r="B108" s="91">
        <v>223.0</v>
      </c>
      <c r="C108" s="45">
        <f t="shared" si="1"/>
        <v>0</v>
      </c>
      <c r="D108" s="91">
        <v>2.0</v>
      </c>
      <c r="E108" s="48">
        <f t="shared" si="2"/>
        <v>0</v>
      </c>
      <c r="F108" s="70">
        <f t="shared" si="3"/>
        <v>0.008968609865</v>
      </c>
      <c r="G108" s="85" t="s">
        <v>26</v>
      </c>
      <c r="H108" s="85" t="s">
        <v>26</v>
      </c>
      <c r="I108" s="55" t="str">
        <f>HYPERLINK("https://www.ijzcg.me/me/novosti/presjek-situacije-u-crnoj-gori-u-nedjelju-0504-u-1745","Source")</f>
        <v>Source</v>
      </c>
      <c r="J108" s="28"/>
      <c r="K108" s="56" t="s">
        <v>283</v>
      </c>
      <c r="L108" s="91">
        <v>223.0</v>
      </c>
      <c r="M108" s="91">
        <v>2.0</v>
      </c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30.0" customHeight="1">
      <c r="A109" s="37" t="s">
        <v>284</v>
      </c>
      <c r="B109" s="91">
        <v>216.0</v>
      </c>
      <c r="C109" s="45">
        <f t="shared" si="1"/>
        <v>0</v>
      </c>
      <c r="D109" s="91">
        <v>4.0</v>
      </c>
      <c r="E109" s="48">
        <f t="shared" si="2"/>
        <v>0</v>
      </c>
      <c r="F109" s="42">
        <f t="shared" si="3"/>
        <v>0.01851851852</v>
      </c>
      <c r="G109" s="85">
        <v>5.0</v>
      </c>
      <c r="H109" s="85">
        <v>10.0</v>
      </c>
      <c r="I109" s="55" t="str">
        <f>HYPERLINK("http://www.med.kg/ru/informatsii/883-epidsituatsiya-po-koronavirusu-v-kyrgyzstane-na-6-aprelya.html","Source")</f>
        <v>Source</v>
      </c>
      <c r="J109" s="28"/>
      <c r="K109" s="29"/>
      <c r="L109" s="91">
        <v>216.0</v>
      </c>
      <c r="M109" s="91">
        <v>4.0</v>
      </c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30.0" customHeight="1">
      <c r="A110" s="37" t="s">
        <v>285</v>
      </c>
      <c r="B110" s="91">
        <v>214.0</v>
      </c>
      <c r="C110" s="45">
        <f t="shared" si="1"/>
        <v>0</v>
      </c>
      <c r="D110" s="91">
        <v>5.0</v>
      </c>
      <c r="E110" s="48">
        <f t="shared" si="2"/>
        <v>0</v>
      </c>
      <c r="F110" s="70">
        <f t="shared" si="3"/>
        <v>0.02336448598</v>
      </c>
      <c r="G110" s="85">
        <v>0.0</v>
      </c>
      <c r="H110" s="85">
        <v>3.0</v>
      </c>
      <c r="I110" s="55" t="str">
        <f>HYPERLINK("https://www.ghanahealthservice.org/covid19/","Source")</f>
        <v>Source</v>
      </c>
      <c r="J110" s="28"/>
      <c r="K110" s="29"/>
      <c r="L110" s="91">
        <v>214.0</v>
      </c>
      <c r="M110" s="91">
        <v>5.0</v>
      </c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30.0" customHeight="1">
      <c r="A111" s="37" t="s">
        <v>286</v>
      </c>
      <c r="B111" s="91">
        <v>175.0</v>
      </c>
      <c r="C111" s="45">
        <f t="shared" si="1"/>
        <v>0</v>
      </c>
      <c r="D111" s="91">
        <v>5.0</v>
      </c>
      <c r="E111" s="48">
        <f t="shared" si="2"/>
        <v>0</v>
      </c>
      <c r="F111" s="70">
        <f t="shared" si="3"/>
        <v>0.02857142857</v>
      </c>
      <c r="G111" s="85" t="s">
        <v>26</v>
      </c>
      <c r="H111" s="85">
        <v>33.0</v>
      </c>
      <c r="I111" s="55" t="str">
        <f>HYPERLINK("http://www.colombopage.com/archive_20A/Apr05_1586106064CH.php","Source")</f>
        <v>Source</v>
      </c>
      <c r="J111" s="28"/>
      <c r="K111" s="29"/>
      <c r="L111" s="91">
        <v>175.0</v>
      </c>
      <c r="M111" s="91">
        <v>5.0</v>
      </c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30.0" customHeight="1">
      <c r="A112" s="37" t="s">
        <v>67</v>
      </c>
      <c r="B112" s="91">
        <v>188.0</v>
      </c>
      <c r="C112" s="45">
        <f t="shared" si="1"/>
        <v>0</v>
      </c>
      <c r="D112" s="91">
        <v>2.0</v>
      </c>
      <c r="E112" s="48">
        <f t="shared" si="2"/>
        <v>0</v>
      </c>
      <c r="F112" s="42">
        <f t="shared" si="3"/>
        <v>0.01063829787</v>
      </c>
      <c r="G112" s="85">
        <v>1.0</v>
      </c>
      <c r="H112" s="85">
        <v>36.0</v>
      </c>
      <c r="I112" s="55" t="str">
        <f>HYPERLINK("https://stopcov.ge/en","Source")</f>
        <v>Source</v>
      </c>
      <c r="J112" s="28"/>
      <c r="K112" s="56" t="s">
        <v>29</v>
      </c>
      <c r="L112" s="91">
        <v>188.0</v>
      </c>
      <c r="M112" s="91">
        <v>2.0</v>
      </c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30.0" customHeight="1">
      <c r="A113" s="37" t="s">
        <v>229</v>
      </c>
      <c r="B113" s="91">
        <v>183.0</v>
      </c>
      <c r="C113" s="45">
        <f t="shared" si="1"/>
        <v>0</v>
      </c>
      <c r="D113" s="91">
        <v>11.0</v>
      </c>
      <c r="E113" s="48">
        <f t="shared" si="2"/>
        <v>0</v>
      </c>
      <c r="F113" s="70">
        <f t="shared" si="3"/>
        <v>0.06010928962</v>
      </c>
      <c r="G113" s="85" t="s">
        <v>26</v>
      </c>
      <c r="H113" s="85">
        <v>2.0</v>
      </c>
      <c r="I113" s="55" t="str">
        <f>HYPERLINK("https://twitter.com/MinSaludBolivia/status/1246946954027950082","Source")</f>
        <v>Source</v>
      </c>
      <c r="J113" s="28"/>
      <c r="K113" s="56" t="s">
        <v>29</v>
      </c>
      <c r="L113" s="91">
        <v>183.0</v>
      </c>
      <c r="M113" s="91">
        <v>11.0</v>
      </c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30.0" customHeight="1">
      <c r="A114" s="37" t="s">
        <v>287</v>
      </c>
      <c r="B114" s="91">
        <v>155.0</v>
      </c>
      <c r="C114" s="45">
        <f t="shared" si="1"/>
        <v>0</v>
      </c>
      <c r="D114" s="91">
        <v>7.0</v>
      </c>
      <c r="E114" s="48">
        <f t="shared" si="2"/>
        <v>0</v>
      </c>
      <c r="F114" s="42">
        <f t="shared" si="3"/>
        <v>0.04516129032</v>
      </c>
      <c r="G114" s="85">
        <v>5.0</v>
      </c>
      <c r="H114" s="85">
        <v>52.0</v>
      </c>
      <c r="I114" s="55" t="str">
        <f>HYPERLINK("http://vicepresidencia.gob.ve/venezuela-registra-dos-nuevos-casos-de-covid-19-para-un-total-de-155-contagiados/","Source")</f>
        <v>Source</v>
      </c>
      <c r="J114" s="28"/>
      <c r="K114" s="56" t="s">
        <v>29</v>
      </c>
      <c r="L114" s="91">
        <v>155.0</v>
      </c>
      <c r="M114" s="91">
        <v>7.0</v>
      </c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30.0" customHeight="1">
      <c r="A115" s="37" t="s">
        <v>288</v>
      </c>
      <c r="B115" s="91">
        <v>154.0</v>
      </c>
      <c r="C115" s="45">
        <f t="shared" si="1"/>
        <v>0</v>
      </c>
      <c r="D115" s="91">
        <v>3.0</v>
      </c>
      <c r="E115" s="48">
        <f t="shared" si="2"/>
        <v>0</v>
      </c>
      <c r="F115" s="70">
        <f t="shared" si="3"/>
        <v>0.01948051948</v>
      </c>
      <c r="G115" s="85">
        <v>0.0</v>
      </c>
      <c r="H115" s="85">
        <v>27.0</v>
      </c>
      <c r="I115" s="55" t="str">
        <f>HYPERLINK("https://www.gov.gg/covid19testresults","Source")</f>
        <v>Source</v>
      </c>
      <c r="J115" s="28"/>
      <c r="K115" s="29"/>
      <c r="L115" s="91">
        <v>154.0</v>
      </c>
      <c r="M115" s="91">
        <v>3.0</v>
      </c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30.0" customHeight="1">
      <c r="A116" s="37" t="s">
        <v>289</v>
      </c>
      <c r="B116" s="91">
        <v>148.0</v>
      </c>
      <c r="C116" s="45">
        <f t="shared" si="1"/>
        <v>0</v>
      </c>
      <c r="D116" s="91">
        <v>16.0</v>
      </c>
      <c r="E116" s="48">
        <f t="shared" si="2"/>
        <v>0</v>
      </c>
      <c r="F116" s="70">
        <f t="shared" si="3"/>
        <v>0.1081081081</v>
      </c>
      <c r="G116" s="85" t="s">
        <v>26</v>
      </c>
      <c r="H116" s="85">
        <v>3.0</v>
      </c>
      <c r="I116" s="55" t="str">
        <f>HYPERLINK("https://pbs.twimg.com/media/EU1dY7XXgAEuJIr.jpg","Source")</f>
        <v>Source</v>
      </c>
      <c r="J116" s="28"/>
      <c r="K116" s="29"/>
      <c r="L116" s="91">
        <v>148.0</v>
      </c>
      <c r="M116" s="91">
        <v>16.0</v>
      </c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30.0" customHeight="1">
      <c r="A117" s="37" t="s">
        <v>290</v>
      </c>
      <c r="B117" s="91">
        <v>145.0</v>
      </c>
      <c r="C117" s="45">
        <f t="shared" si="1"/>
        <v>0</v>
      </c>
      <c r="D117" s="91">
        <v>1.0</v>
      </c>
      <c r="E117" s="48">
        <f t="shared" si="2"/>
        <v>0</v>
      </c>
      <c r="F117" s="70">
        <f t="shared" si="3"/>
        <v>0.006896551724</v>
      </c>
      <c r="G117" s="85" t="s">
        <v>26</v>
      </c>
      <c r="H117" s="85">
        <v>23.0</v>
      </c>
      <c r="I117" s="55" t="str">
        <f>HYPERLINK("https://kosova.health/en/","Source")</f>
        <v>Source</v>
      </c>
      <c r="J117" s="28"/>
      <c r="K117" s="29"/>
      <c r="L117" s="91">
        <v>145.0</v>
      </c>
      <c r="M117" s="91">
        <v>1.0</v>
      </c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30.0" customHeight="1">
      <c r="A118" s="37" t="s">
        <v>291</v>
      </c>
      <c r="B118" s="91">
        <v>144.0</v>
      </c>
      <c r="C118" s="45">
        <f t="shared" si="1"/>
        <v>0</v>
      </c>
      <c r="D118" s="91">
        <v>8.0</v>
      </c>
      <c r="E118" s="48">
        <f t="shared" si="2"/>
        <v>0</v>
      </c>
      <c r="F118" s="70">
        <f t="shared" si="3"/>
        <v>0.05555555556</v>
      </c>
      <c r="G118" s="85" t="s">
        <v>26</v>
      </c>
      <c r="H118" s="85" t="s">
        <v>26</v>
      </c>
      <c r="I118" s="55" t="str">
        <f>HYPERLINK("https://pbs.twimg.com/media/EU1dY7XXgAEuJIr.jpg","Source")</f>
        <v>Source</v>
      </c>
      <c r="J118" s="28"/>
      <c r="K118" s="29"/>
      <c r="L118" s="91">
        <v>144.0</v>
      </c>
      <c r="M118" s="91">
        <v>8.0</v>
      </c>
      <c r="N118" s="30"/>
      <c r="O118" s="30"/>
      <c r="P118" s="146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30.0" customHeight="1">
      <c r="A119" s="37" t="s">
        <v>292</v>
      </c>
      <c r="B119" s="91">
        <v>142.0</v>
      </c>
      <c r="C119" s="45">
        <f t="shared" si="1"/>
        <v>0</v>
      </c>
      <c r="D119" s="91">
        <v>4.0</v>
      </c>
      <c r="E119" s="48">
        <f t="shared" si="2"/>
        <v>0</v>
      </c>
      <c r="F119" s="42">
        <f t="shared" si="3"/>
        <v>0.02816901408</v>
      </c>
      <c r="G119" s="85">
        <v>0.0</v>
      </c>
      <c r="H119" s="85">
        <v>4.0</v>
      </c>
      <c r="I119" s="55" t="str">
        <f>HYPERLINK("https://twitter.com/MOH_Kenya/status/1246811337247920133","Source")</f>
        <v>Source</v>
      </c>
      <c r="J119" s="106"/>
      <c r="K119" s="29"/>
      <c r="L119" s="91">
        <v>142.0</v>
      </c>
      <c r="M119" s="91">
        <v>4.0</v>
      </c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30.0" customHeight="1">
      <c r="A120" s="37" t="s">
        <v>293</v>
      </c>
      <c r="B120" s="91">
        <v>139.0</v>
      </c>
      <c r="C120" s="45">
        <f t="shared" si="1"/>
        <v>0</v>
      </c>
      <c r="D120" s="91">
        <v>1.0</v>
      </c>
      <c r="E120" s="48">
        <f t="shared" si="2"/>
        <v>0</v>
      </c>
      <c r="F120" s="70">
        <f t="shared" si="3"/>
        <v>0.007194244604</v>
      </c>
      <c r="G120" s="85" t="s">
        <v>26</v>
      </c>
      <c r="H120" s="85">
        <v>55.0</v>
      </c>
      <c r="I120" s="55" t="str">
        <f>HYPERLINK("https://covid19.gov.im/general-information/latest-updates/","Source")</f>
        <v>Source</v>
      </c>
      <c r="J120" s="28"/>
      <c r="K120" s="56" t="s">
        <v>283</v>
      </c>
      <c r="L120" s="91">
        <v>139.0</v>
      </c>
      <c r="M120" s="91">
        <v>1.0</v>
      </c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30.0" customHeight="1">
      <c r="A121" s="37" t="s">
        <v>294</v>
      </c>
      <c r="B121" s="91">
        <v>135.0</v>
      </c>
      <c r="C121" s="45">
        <f t="shared" si="1"/>
        <v>0</v>
      </c>
      <c r="D121" s="91">
        <v>1.0</v>
      </c>
      <c r="E121" s="48">
        <f t="shared" si="2"/>
        <v>0</v>
      </c>
      <c r="F121" s="70">
        <f t="shared" si="3"/>
        <v>0.007407407407</v>
      </c>
      <c r="G121" s="85" t="s">
        <v>26</v>
      </c>
      <c r="H121" s="85">
        <v>73.0</v>
      </c>
      <c r="I121" s="55" t="str">
        <f>HYPERLINK("https://twitter.com/borneo_bulletin/status/1246733718527475712","Source")</f>
        <v>Source</v>
      </c>
      <c r="J121" s="28"/>
      <c r="K121" s="56" t="s">
        <v>29</v>
      </c>
      <c r="L121" s="91">
        <v>135.0</v>
      </c>
      <c r="M121" s="91">
        <v>1.0</v>
      </c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30.0" customHeight="1">
      <c r="A122" s="37" t="s">
        <v>295</v>
      </c>
      <c r="B122" s="91">
        <v>123.0</v>
      </c>
      <c r="C122" s="45">
        <f t="shared" si="1"/>
        <v>0</v>
      </c>
      <c r="D122" s="91">
        <v>3.0</v>
      </c>
      <c r="E122" s="48">
        <f t="shared" si="2"/>
        <v>0</v>
      </c>
      <c r="F122" s="70">
        <f t="shared" si="3"/>
        <v>0.0243902439</v>
      </c>
      <c r="G122" s="85" t="s">
        <v>26</v>
      </c>
      <c r="H122" s="85" t="s">
        <v>26</v>
      </c>
      <c r="I122" s="55" t="str">
        <f>HYPERLINK("https://www.gov.je/Health/Coronavirus/Pages/CoronavirusCases.aspx","Source")</f>
        <v>Source</v>
      </c>
      <c r="J122" s="28"/>
      <c r="K122" s="29"/>
      <c r="L122" s="91">
        <v>123.0</v>
      </c>
      <c r="M122" s="91">
        <v>3.0</v>
      </c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27.75" customHeight="1">
      <c r="A123" s="37" t="s">
        <v>296</v>
      </c>
      <c r="B123" s="91">
        <v>123.0</v>
      </c>
      <c r="C123" s="45">
        <f t="shared" si="1"/>
        <v>0</v>
      </c>
      <c r="D123" s="91">
        <v>12.0</v>
      </c>
      <c r="E123" s="48">
        <f t="shared" si="2"/>
        <v>0</v>
      </c>
      <c r="F123" s="70">
        <f t="shared" si="3"/>
        <v>0.09756097561</v>
      </c>
      <c r="G123" s="85" t="s">
        <v>26</v>
      </c>
      <c r="H123" s="85">
        <v>33.0</v>
      </c>
      <c r="I123" s="55" t="str">
        <f>HYPERLINK("https://www.thedailystar.net/coronavirus-deadly-new-threat/news/bangladesh-reports-4-more-coronavirus-deaths-1890109","Source")</f>
        <v>Source</v>
      </c>
      <c r="J123" s="28"/>
      <c r="K123" s="29"/>
      <c r="L123" s="91">
        <v>123.0</v>
      </c>
      <c r="M123" s="91">
        <v>12.0</v>
      </c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30.0" customHeight="1">
      <c r="A124" s="37" t="s">
        <v>297</v>
      </c>
      <c r="B124" s="91">
        <v>121.0</v>
      </c>
      <c r="C124" s="45">
        <f t="shared" si="1"/>
        <v>0</v>
      </c>
      <c r="D124" s="91">
        <v>0.0</v>
      </c>
      <c r="E124" s="48">
        <f t="shared" si="2"/>
        <v>0</v>
      </c>
      <c r="F124" s="42">
        <f t="shared" si="3"/>
        <v>0</v>
      </c>
      <c r="G124" s="85" t="s">
        <v>26</v>
      </c>
      <c r="H124" s="85">
        <v>5.0</v>
      </c>
      <c r="I124" s="55" t="str">
        <f>HYPERLINK("https://www.facebook.com/Sanitaire.net/photos/a.209738779476555/887275961722830/?type=3&amp;theater","Source")</f>
        <v>Source</v>
      </c>
      <c r="J124" s="28"/>
      <c r="K124" s="29"/>
      <c r="L124" s="91">
        <v>121.0</v>
      </c>
      <c r="M124" s="91">
        <v>0.0</v>
      </c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30.0" customHeight="1">
      <c r="A125" s="37" t="s">
        <v>298</v>
      </c>
      <c r="B125" s="91">
        <v>114.0</v>
      </c>
      <c r="C125" s="45">
        <f t="shared" si="1"/>
        <v>0</v>
      </c>
      <c r="D125" s="91">
        <v>0.0</v>
      </c>
      <c r="E125" s="48">
        <f t="shared" si="2"/>
        <v>0</v>
      </c>
      <c r="F125" s="70">
        <f t="shared" si="3"/>
        <v>0</v>
      </c>
      <c r="G125" s="85" t="s">
        <v>26</v>
      </c>
      <c r="H125" s="85">
        <v>50.0</v>
      </c>
      <c r="I125" s="55" t="str">
        <f>HYPERLINK("http://en.freshnewsasia.com/index.php/en/localnews/17687-2020-04-05-00-52-34.html","Source")</f>
        <v>Source</v>
      </c>
      <c r="J125" s="28"/>
      <c r="K125" s="29"/>
      <c r="L125" s="91">
        <v>114.0</v>
      </c>
      <c r="M125" s="91">
        <v>0.0</v>
      </c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27.75" customHeight="1">
      <c r="A126" s="37" t="s">
        <v>230</v>
      </c>
      <c r="B126" s="91">
        <v>113.0</v>
      </c>
      <c r="C126" s="45">
        <f t="shared" si="1"/>
        <v>0</v>
      </c>
      <c r="D126" s="91">
        <v>5.0</v>
      </c>
      <c r="E126" s="48">
        <f t="shared" si="2"/>
        <v>0</v>
      </c>
      <c r="F126" s="42">
        <f t="shared" si="3"/>
        <v>0.04424778761</v>
      </c>
      <c r="G126" s="85">
        <v>2.0</v>
      </c>
      <c r="H126" s="85">
        <v>12.0</v>
      </c>
      <c r="I126" s="55" t="str">
        <f>HYPERLINK("https://twitter.com/msaludpy/status/1246971725704826880","Source")</f>
        <v>Source</v>
      </c>
      <c r="J126" s="28"/>
      <c r="K126" s="29"/>
      <c r="L126" s="91">
        <v>113.0</v>
      </c>
      <c r="M126" s="91">
        <v>5.0</v>
      </c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30.0" customHeight="1">
      <c r="A127" s="37" t="s">
        <v>299</v>
      </c>
      <c r="B127" s="91">
        <v>105.0</v>
      </c>
      <c r="C127" s="45">
        <f t="shared" si="1"/>
        <v>0</v>
      </c>
      <c r="D127" s="91">
        <v>7.0</v>
      </c>
      <c r="E127" s="48">
        <f t="shared" si="2"/>
        <v>0</v>
      </c>
      <c r="F127" s="42">
        <f t="shared" si="3"/>
        <v>0.06666666667</v>
      </c>
      <c r="G127" s="85" t="s">
        <v>26</v>
      </c>
      <c r="H127" s="85">
        <v>1.0</v>
      </c>
      <c r="I127" s="55" t="str">
        <f>HYPERLINK("https://trinidadexpress.com/newsextra/one-more-positive-covid-case---count-at-105/article_90123660-77a9-11ea-89f0-d30d1c908279.html","Source")</f>
        <v>Source</v>
      </c>
      <c r="J127" s="28"/>
      <c r="K127" s="29"/>
      <c r="L127" s="91">
        <v>105.0</v>
      </c>
      <c r="M127" s="91">
        <v>7.0</v>
      </c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30.0" customHeight="1">
      <c r="A128" s="37" t="s">
        <v>300</v>
      </c>
      <c r="B128" s="91">
        <v>104.0</v>
      </c>
      <c r="C128" s="45">
        <f t="shared" si="1"/>
        <v>0</v>
      </c>
      <c r="D128" s="91">
        <v>0.0</v>
      </c>
      <c r="E128" s="48">
        <f t="shared" si="2"/>
        <v>0</v>
      </c>
      <c r="F128" s="42">
        <f t="shared" si="3"/>
        <v>0</v>
      </c>
      <c r="G128" s="85">
        <v>0.0</v>
      </c>
      <c r="H128" s="85">
        <v>4.0</v>
      </c>
      <c r="I128" s="55" t="str">
        <f>HYPERLINK("https://twitter.com/RwandaHealth/status/1246860954375241730","Source")</f>
        <v>Source</v>
      </c>
      <c r="J128" s="28"/>
      <c r="K128" s="29"/>
      <c r="L128" s="91">
        <v>104.0</v>
      </c>
      <c r="M128" s="91">
        <v>0.0</v>
      </c>
      <c r="N128" s="30"/>
      <c r="O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27.75" customHeight="1">
      <c r="A129" s="37" t="s">
        <v>301</v>
      </c>
      <c r="B129" s="91">
        <v>103.0</v>
      </c>
      <c r="C129" s="45">
        <f t="shared" si="1"/>
        <v>0</v>
      </c>
      <c r="D129" s="91">
        <v>0.0</v>
      </c>
      <c r="E129" s="48">
        <f t="shared" si="2"/>
        <v>0</v>
      </c>
      <c r="F129" s="42">
        <f t="shared" si="3"/>
        <v>0</v>
      </c>
      <c r="G129" s="85" t="s">
        <v>26</v>
      </c>
      <c r="H129" s="85">
        <v>52.0</v>
      </c>
      <c r="I129" s="55" t="str">
        <f>HYPERLINK("https://www.gibraltar.gov.gi/covid19","Source")</f>
        <v>Source</v>
      </c>
      <c r="J129" s="28"/>
      <c r="K129" s="29"/>
      <c r="L129" s="91">
        <v>103.0</v>
      </c>
      <c r="M129" s="91">
        <v>0.0</v>
      </c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27.75" customHeight="1">
      <c r="A130" s="37" t="s">
        <v>302</v>
      </c>
      <c r="B130" s="91">
        <v>91.0</v>
      </c>
      <c r="C130" s="45">
        <f t="shared" si="1"/>
        <v>0</v>
      </c>
      <c r="D130" s="91">
        <v>2.0</v>
      </c>
      <c r="E130" s="48">
        <f t="shared" si="2"/>
        <v>0</v>
      </c>
      <c r="F130" s="70">
        <f t="shared" si="3"/>
        <v>0.02197802198</v>
      </c>
      <c r="G130" s="85" t="s">
        <v>26</v>
      </c>
      <c r="H130" s="85">
        <v>3.0</v>
      </c>
      <c r="I130" s="55" t="str">
        <f>HYPERLINK("https://in-cyprus.philenews.com/tougher-lock-down-measures-in-turkish-held-north/","Source")</f>
        <v>Source</v>
      </c>
      <c r="J130" s="28"/>
      <c r="K130" s="29"/>
      <c r="L130" s="91">
        <v>91.0</v>
      </c>
      <c r="M130" s="91">
        <v>2.0</v>
      </c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27.75" customHeight="1">
      <c r="A131" s="37" t="s">
        <v>303</v>
      </c>
      <c r="B131" s="91">
        <v>77.0</v>
      </c>
      <c r="C131" s="45">
        <f t="shared" si="1"/>
        <v>0</v>
      </c>
      <c r="D131" s="91">
        <v>1.0</v>
      </c>
      <c r="E131" s="48">
        <f t="shared" si="2"/>
        <v>0</v>
      </c>
      <c r="F131" s="42">
        <f t="shared" si="3"/>
        <v>0.01298701299</v>
      </c>
      <c r="G131" s="85" t="s">
        <v>26</v>
      </c>
      <c r="H131" s="85" t="s">
        <v>26</v>
      </c>
      <c r="I131" s="55" t="str">
        <f>HYPERLINK("https://www.regierung.li/media/attachments/168-corona-person-verstorben-0404.pdf?t=637217142523250761","Source")</f>
        <v>Source</v>
      </c>
      <c r="J131" s="28"/>
      <c r="K131" s="29"/>
      <c r="L131" s="91">
        <v>77.0</v>
      </c>
      <c r="M131" s="91">
        <v>1.0</v>
      </c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30.0" customHeight="1">
      <c r="A132" s="37" t="s">
        <v>304</v>
      </c>
      <c r="B132" s="91">
        <v>73.0</v>
      </c>
      <c r="C132" s="45">
        <f t="shared" si="1"/>
        <v>0</v>
      </c>
      <c r="D132" s="91">
        <v>1.0</v>
      </c>
      <c r="E132" s="48">
        <f t="shared" si="2"/>
        <v>0</v>
      </c>
      <c r="F132" s="42">
        <f t="shared" si="3"/>
        <v>0.01369863014</v>
      </c>
      <c r="G132" s="85">
        <v>4.0</v>
      </c>
      <c r="H132" s="85">
        <v>3.0</v>
      </c>
      <c r="I132" s="55" t="str">
        <f>HYPERLINK("https://en.gouv.mc/Policy-Practice/Coronavirus-Covid-2019/Actualites/CORONAVIRUS-sept-nouveaux-cas-positifs-reveles-a-Monaco","Source")</f>
        <v>Source</v>
      </c>
      <c r="J132" s="28"/>
      <c r="K132" s="29"/>
      <c r="L132" s="91">
        <v>73.0</v>
      </c>
      <c r="M132" s="91">
        <v>1.0</v>
      </c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30.0" customHeight="1">
      <c r="A133" s="37" t="s">
        <v>305</v>
      </c>
      <c r="B133" s="91">
        <v>70.0</v>
      </c>
      <c r="C133" s="45">
        <f t="shared" si="1"/>
        <v>0</v>
      </c>
      <c r="D133" s="91">
        <v>0.0</v>
      </c>
      <c r="E133" s="48">
        <f t="shared" si="2"/>
        <v>0</v>
      </c>
      <c r="F133" s="70">
        <f t="shared" si="3"/>
        <v>0</v>
      </c>
      <c r="G133" s="85">
        <v>1.0</v>
      </c>
      <c r="H133" s="85">
        <v>0.0</v>
      </c>
      <c r="I133" s="55" t="str">
        <f>HYPERLINK("https://www.madagascar-tribune.com/Soixante-dix-cas-positifs-au-Covid-19.html","Source")</f>
        <v>Source</v>
      </c>
      <c r="J133" s="28"/>
      <c r="K133" s="29"/>
      <c r="L133" s="91">
        <v>70.0</v>
      </c>
      <c r="M133" s="91">
        <v>0.0</v>
      </c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30.0" customHeight="1">
      <c r="A134" s="37" t="s">
        <v>232</v>
      </c>
      <c r="B134" s="91">
        <v>69.0</v>
      </c>
      <c r="C134" s="45">
        <f t="shared" si="1"/>
        <v>0</v>
      </c>
      <c r="D134" s="91">
        <v>3.0</v>
      </c>
      <c r="E134" s="48">
        <f t="shared" si="2"/>
        <v>0</v>
      </c>
      <c r="F134" s="42">
        <f t="shared" si="3"/>
        <v>0.04347826087</v>
      </c>
      <c r="G134" s="85">
        <v>5.0</v>
      </c>
      <c r="H134" s="85">
        <v>2.0</v>
      </c>
      <c r="I134" s="55" t="str">
        <f>HYPERLINK("https://twitter.com/minsalud/status/1247009297076072453","Source")</f>
        <v>Source</v>
      </c>
      <c r="J134" s="28"/>
      <c r="K134" s="29"/>
      <c r="L134" s="91">
        <v>69.0</v>
      </c>
      <c r="M134" s="91">
        <v>3.0</v>
      </c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30.0" customHeight="1">
      <c r="A135" s="37" t="s">
        <v>306</v>
      </c>
      <c r="B135" s="91">
        <v>64.0</v>
      </c>
      <c r="C135" s="45">
        <f t="shared" si="1"/>
        <v>0</v>
      </c>
      <c r="D135" s="91">
        <v>0.0</v>
      </c>
      <c r="E135" s="48">
        <f t="shared" si="2"/>
        <v>0</v>
      </c>
      <c r="F135" s="42">
        <f t="shared" si="3"/>
        <v>0</v>
      </c>
      <c r="G135" s="85" t="s">
        <v>26</v>
      </c>
      <c r="H135" s="85">
        <v>1.0</v>
      </c>
      <c r="I135" s="55" t="str">
        <f>HYPERLINK("https://www.arubacovid19.org/","Source")</f>
        <v>Source</v>
      </c>
      <c r="J135" s="28"/>
      <c r="K135" s="29"/>
      <c r="L135" s="91">
        <v>64.0</v>
      </c>
      <c r="M135" s="91">
        <v>0.0</v>
      </c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27.75" customHeight="1">
      <c r="A136" s="37" t="s">
        <v>231</v>
      </c>
      <c r="B136" s="91">
        <v>61.0</v>
      </c>
      <c r="C136" s="45">
        <f t="shared" si="1"/>
        <v>0</v>
      </c>
      <c r="D136" s="91">
        <v>2.0</v>
      </c>
      <c r="E136" s="48">
        <f t="shared" si="2"/>
        <v>0</v>
      </c>
      <c r="F136" s="42">
        <f t="shared" si="3"/>
        <v>0.03278688525</v>
      </c>
      <c r="G136" s="85" t="s">
        <v>26</v>
      </c>
      <c r="H136" s="85">
        <v>15.0</v>
      </c>
      <c r="I136" s="55" t="str">
        <f>HYPERLINK("https://www.mspas.gob.gt/index.php/noticias/coronavirus-2019-ncov","Source")</f>
        <v>Source</v>
      </c>
      <c r="J136" s="28"/>
      <c r="K136" s="29"/>
      <c r="L136" s="91">
        <v>61.0</v>
      </c>
      <c r="M136" s="91">
        <v>2.0</v>
      </c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30.0" customHeight="1">
      <c r="A137" s="37" t="s">
        <v>307</v>
      </c>
      <c r="B137" s="91">
        <v>59.0</v>
      </c>
      <c r="C137" s="45">
        <f t="shared" si="1"/>
        <v>0</v>
      </c>
      <c r="D137" s="91">
        <v>0.0</v>
      </c>
      <c r="E137" s="48">
        <f t="shared" si="2"/>
        <v>0</v>
      </c>
      <c r="F137" s="70">
        <f t="shared" si="3"/>
        <v>0</v>
      </c>
      <c r="G137" s="85">
        <v>0.0</v>
      </c>
      <c r="H137" s="85">
        <v>9.0</v>
      </c>
      <c r="I137" s="55" t="str">
        <f>HYPERLINK("https://www.facebook.com/minister.sante.dj/photos/a.983719351666999/2985634398142141/?type=3&amp;theater","Source")</f>
        <v>Source</v>
      </c>
      <c r="J137" s="28"/>
      <c r="K137" s="29"/>
      <c r="L137" s="91">
        <v>59.0</v>
      </c>
      <c r="M137" s="91">
        <v>0.0</v>
      </c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30.0" customHeight="1">
      <c r="A138" s="37" t="s">
        <v>308</v>
      </c>
      <c r="B138" s="91">
        <v>55.0</v>
      </c>
      <c r="C138" s="45">
        <f t="shared" si="1"/>
        <v>0</v>
      </c>
      <c r="D138" s="91">
        <v>2.0</v>
      </c>
      <c r="E138" s="48">
        <f t="shared" si="2"/>
        <v>0</v>
      </c>
      <c r="F138" s="70">
        <f t="shared" si="3"/>
        <v>0.03636363636</v>
      </c>
      <c r="G138" s="85" t="s">
        <v>26</v>
      </c>
      <c r="H138" s="85">
        <v>8.0</v>
      </c>
      <c r="I138" s="55" t="str">
        <f>HYPERLINK("https://twitter.com/christufton/status/1246590162500497408","Source")</f>
        <v>Source</v>
      </c>
      <c r="J138" s="28"/>
      <c r="K138" s="29"/>
      <c r="L138" s="91">
        <v>55.0</v>
      </c>
      <c r="M138" s="91">
        <v>2.0</v>
      </c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30.0" customHeight="1">
      <c r="A139" s="37" t="s">
        <v>309</v>
      </c>
      <c r="B139" s="91">
        <v>52.0</v>
      </c>
      <c r="C139" s="45">
        <f t="shared" si="1"/>
        <v>0</v>
      </c>
      <c r="D139" s="91">
        <v>1.0</v>
      </c>
      <c r="E139" s="48">
        <f t="shared" si="2"/>
        <v>0</v>
      </c>
      <c r="F139" s="42">
        <f t="shared" si="3"/>
        <v>0.01923076923</v>
      </c>
      <c r="G139" s="85">
        <v>2.0</v>
      </c>
      <c r="H139" s="85">
        <v>0.0</v>
      </c>
      <c r="I139" s="55" t="str">
        <f>HYPERLINK("https://www.facebook.com/moh.barbados/photos/a.768944336470972/3055636451135071/?type=3&amp;theater","Source")</f>
        <v>Source</v>
      </c>
      <c r="J139" s="28"/>
      <c r="K139" s="29"/>
      <c r="L139" s="91">
        <v>52.0</v>
      </c>
      <c r="M139" s="91">
        <v>1.0</v>
      </c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30.0" customHeight="1">
      <c r="A140" s="37" t="s">
        <v>310</v>
      </c>
      <c r="B140" s="91">
        <v>52.0</v>
      </c>
      <c r="C140" s="45">
        <f t="shared" si="1"/>
        <v>0</v>
      </c>
      <c r="D140" s="91">
        <v>0.0</v>
      </c>
      <c r="E140" s="48">
        <f t="shared" si="2"/>
        <v>0</v>
      </c>
      <c r="F140" s="42">
        <f t="shared" si="3"/>
        <v>0</v>
      </c>
      <c r="G140" s="85" t="s">
        <v>26</v>
      </c>
      <c r="H140" s="85" t="s">
        <v>26</v>
      </c>
      <c r="I140" s="55" t="str">
        <f>HYPERLINK("https://covid19.gou.go.ug/","Source")</f>
        <v>Source</v>
      </c>
      <c r="J140" s="28"/>
      <c r="K140" s="29"/>
      <c r="L140" s="91">
        <v>52.0</v>
      </c>
      <c r="M140" s="91">
        <v>0.0</v>
      </c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30.0" customHeight="1">
      <c r="A141" s="37" t="s">
        <v>311</v>
      </c>
      <c r="B141" s="91">
        <v>45.0</v>
      </c>
      <c r="C141" s="45">
        <f t="shared" si="1"/>
        <v>0</v>
      </c>
      <c r="D141" s="91">
        <v>5.0</v>
      </c>
      <c r="E141" s="48">
        <f t="shared" si="2"/>
        <v>0</v>
      </c>
      <c r="F141" s="70">
        <f t="shared" si="3"/>
        <v>0.1111111111</v>
      </c>
      <c r="G141" s="85" t="s">
        <v>26</v>
      </c>
      <c r="H141" s="85">
        <v>0.0</v>
      </c>
      <c r="I141" s="55" t="str">
        <f>HYPERLINK("https://www.maliweb.net/sante/covid-19-au-mali-41-cas-confirmes-01-cas-gueri-2866245.html","Source")</f>
        <v>Source</v>
      </c>
      <c r="J141" s="28"/>
      <c r="K141" s="29"/>
      <c r="L141" s="91">
        <v>45.0</v>
      </c>
      <c r="M141" s="91">
        <v>5.0</v>
      </c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30.0" customHeight="1">
      <c r="A142" s="37" t="s">
        <v>312</v>
      </c>
      <c r="B142" s="91">
        <v>45.0</v>
      </c>
      <c r="C142" s="45">
        <f t="shared" si="1"/>
        <v>0</v>
      </c>
      <c r="D142" s="91">
        <v>5.0</v>
      </c>
      <c r="E142" s="48">
        <f t="shared" si="2"/>
        <v>0</v>
      </c>
      <c r="F142" s="70">
        <f t="shared" si="3"/>
        <v>0.1111111111</v>
      </c>
      <c r="G142" s="85" t="s">
        <v>26</v>
      </c>
      <c r="H142" s="85" t="s">
        <v>26</v>
      </c>
      <c r="I142" s="55" t="str">
        <f>HYPERLINK("https://pbs.twimg.com/media/EU1dY7XXgAEuJIr.jpg","Source")</f>
        <v>Source</v>
      </c>
      <c r="J142" s="28"/>
      <c r="K142" s="29"/>
      <c r="L142" s="91">
        <v>45.0</v>
      </c>
      <c r="M142" s="91">
        <v>5.0</v>
      </c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27.75" customHeight="1">
      <c r="A143" s="37" t="s">
        <v>313</v>
      </c>
      <c r="B143" s="91">
        <v>44.0</v>
      </c>
      <c r="C143" s="45">
        <f t="shared" si="1"/>
        <v>0</v>
      </c>
      <c r="D143" s="91">
        <v>3.0</v>
      </c>
      <c r="E143" s="48">
        <f t="shared" si="2"/>
        <v>0</v>
      </c>
      <c r="F143" s="70">
        <f t="shared" si="3"/>
        <v>0.06818181818</v>
      </c>
      <c r="G143" s="85" t="s">
        <v>26</v>
      </c>
      <c r="H143" s="85">
        <v>20.0</v>
      </c>
      <c r="I143" s="55" t="str">
        <f>HYPERLINK("https://covid19.gouv.tg/","Source")</f>
        <v>Source</v>
      </c>
      <c r="J143" s="28"/>
      <c r="K143" s="29"/>
      <c r="L143" s="91">
        <v>44.0</v>
      </c>
      <c r="M143" s="91">
        <v>3.0</v>
      </c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30.0" customHeight="1">
      <c r="A144" s="37" t="s">
        <v>314</v>
      </c>
      <c r="B144" s="91">
        <v>44.0</v>
      </c>
      <c r="C144" s="45">
        <f t="shared" si="1"/>
        <v>0</v>
      </c>
      <c r="D144" s="91">
        <v>2.0</v>
      </c>
      <c r="E144" s="48">
        <f t="shared" si="2"/>
        <v>0</v>
      </c>
      <c r="F144" s="70">
        <f t="shared" si="3"/>
        <v>0.04545454545</v>
      </c>
      <c r="G144" s="85">
        <v>1.0</v>
      </c>
      <c r="H144" s="85">
        <v>4.0</v>
      </c>
      <c r="I144" s="55" t="str">
        <f>HYPERLINK("https://twitter.com/lia_tadesse/status/1247096607675482112","Source")</f>
        <v>Source</v>
      </c>
      <c r="J144" s="28"/>
      <c r="K144" s="29"/>
      <c r="L144" s="91">
        <v>44.0</v>
      </c>
      <c r="M144" s="91">
        <v>2.0</v>
      </c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30.0" customHeight="1">
      <c r="A145" s="37" t="s">
        <v>315</v>
      </c>
      <c r="B145" s="91">
        <v>42.0</v>
      </c>
      <c r="C145" s="45">
        <f t="shared" si="1"/>
        <v>0</v>
      </c>
      <c r="D145" s="91">
        <v>0.0</v>
      </c>
      <c r="E145" s="48">
        <f t="shared" si="2"/>
        <v>0</v>
      </c>
      <c r="F145" s="70">
        <f t="shared" si="3"/>
        <v>0</v>
      </c>
      <c r="G145" s="85">
        <v>1.0</v>
      </c>
      <c r="H145" s="85">
        <v>10.0</v>
      </c>
      <c r="I145" s="55" t="str">
        <f>HYPERLINK("https://www.ssm.gov.mo/docs/17784/17784_e854e7135904488cb529c9281168645f_000.pdf","Source")</f>
        <v>Source</v>
      </c>
      <c r="J145" s="28"/>
      <c r="K145" s="29"/>
      <c r="L145" s="91">
        <v>42.0</v>
      </c>
      <c r="M145" s="91">
        <v>0.0</v>
      </c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30.0" customHeight="1">
      <c r="A146" s="37" t="s">
        <v>316</v>
      </c>
      <c r="B146" s="91">
        <v>40.0</v>
      </c>
      <c r="C146" s="45">
        <f t="shared" si="1"/>
        <v>0</v>
      </c>
      <c r="D146" s="91">
        <v>0.0</v>
      </c>
      <c r="E146" s="48">
        <f t="shared" si="2"/>
        <v>0</v>
      </c>
      <c r="F146" s="42">
        <f t="shared" si="3"/>
        <v>0</v>
      </c>
      <c r="G146" s="85">
        <v>0.0</v>
      </c>
      <c r="H146" s="85" t="s">
        <v>26</v>
      </c>
      <c r="I146" s="55" t="str">
        <f>HYPERLINK("https://www.presidence.pf/coronavirus-situation-pour-la-polynesie-francaise-a-16h-10/","Source")</f>
        <v>Source</v>
      </c>
      <c r="J146" s="28"/>
      <c r="K146" s="29"/>
      <c r="L146" s="91">
        <v>40.0</v>
      </c>
      <c r="M146" s="91">
        <v>0.0</v>
      </c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30.0" customHeight="1">
      <c r="A147" s="37" t="s">
        <v>317</v>
      </c>
      <c r="B147" s="91">
        <v>39.0</v>
      </c>
      <c r="C147" s="45">
        <f t="shared" si="1"/>
        <v>0</v>
      </c>
      <c r="D147" s="91">
        <v>1.0</v>
      </c>
      <c r="E147" s="48">
        <f t="shared" si="2"/>
        <v>0</v>
      </c>
      <c r="F147" s="42">
        <f t="shared" si="3"/>
        <v>0.02564102564</v>
      </c>
      <c r="G147" s="85" t="s">
        <v>26</v>
      </c>
      <c r="H147" s="85">
        <v>2.0</v>
      </c>
      <c r="I147" s="55" t="str">
        <f>HYPERLINK("https://www.facebook.com/EdgarChagwaLungu/photos/a.831065900282970/2978808502175355/?type=3&amp;theater","Source")</f>
        <v>Source</v>
      </c>
      <c r="J147" s="28"/>
      <c r="K147" s="29"/>
      <c r="L147" s="91">
        <v>39.0</v>
      </c>
      <c r="M147" s="91">
        <v>1.0</v>
      </c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30.0" customHeight="1">
      <c r="A148" s="37" t="s">
        <v>318</v>
      </c>
      <c r="B148" s="91">
        <v>37.0</v>
      </c>
      <c r="C148" s="45">
        <f t="shared" si="1"/>
        <v>0</v>
      </c>
      <c r="D148" s="91">
        <v>0.0</v>
      </c>
      <c r="E148" s="48">
        <f t="shared" si="2"/>
        <v>0</v>
      </c>
      <c r="F148" s="42">
        <f t="shared" si="3"/>
        <v>0</v>
      </c>
      <c r="G148" s="85" t="s">
        <v>26</v>
      </c>
      <c r="H148" s="85">
        <v>14.0</v>
      </c>
      <c r="I148" s="55" t="str">
        <f>HYPERLINK("https://www.gov.bm/articles/4-april-covid-19-update","Source")</f>
        <v>Source</v>
      </c>
      <c r="J148" s="28"/>
      <c r="K148" s="29"/>
      <c r="L148" s="91">
        <v>37.0</v>
      </c>
      <c r="M148" s="91">
        <v>0.0</v>
      </c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30.0" customHeight="1">
      <c r="A149" s="37" t="s">
        <v>319</v>
      </c>
      <c r="B149" s="91">
        <v>37.0</v>
      </c>
      <c r="C149" s="45">
        <f t="shared" si="1"/>
        <v>0</v>
      </c>
      <c r="D149" s="91">
        <v>6.0</v>
      </c>
      <c r="E149" s="48">
        <f t="shared" si="2"/>
        <v>0</v>
      </c>
      <c r="F149" s="42">
        <f t="shared" si="3"/>
        <v>0.1621621622</v>
      </c>
      <c r="G149" s="85" t="s">
        <v>26</v>
      </c>
      <c r="H149" s="85">
        <v>1.0</v>
      </c>
      <c r="I149" s="55" t="str">
        <f>HYPERLINK("https://www.facebook.com/SXMGOV/photos/a.501207666717230/1589935484511104/?type=3&amp;__xts__%5B0%5D=68.ARBtrn838KzxL2P-5CmShdUSYg0kP8LQiDRoW1ME3weBn9YavRsac-w5EIi9y2Ga06m7o3RmiUj4aETubhHDLEB-Rn3pucyXCLIcmb1ohV0jsk8ni09A0xAYF-r6g4RBZLvxFiP0XwIZ_gg4g6s_Hho9yiF"&amp;"7BvjHpR6mT2sNwJ7mU-BDUrcXWFfvs6zEHTkeKbBa8vhXL3aAbZ6rolJIhBSfye9mizTDOX1xDtJurA5hfxWkJ3o4qJtT-5Bl6uvYDO1AV6YgGFL6LWJwoJN9UWf034ACWpbi9RIIpcK7Ar783Mo942sS118FIQDwj6SRH3597oUvy07c_yWHJx8m0kwSBA&amp;__tn__=-R","Source")</f>
        <v>Source</v>
      </c>
      <c r="J149" s="28"/>
      <c r="K149" s="29"/>
      <c r="L149" s="91">
        <v>37.0</v>
      </c>
      <c r="M149" s="91">
        <v>6.0</v>
      </c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30.0" customHeight="1">
      <c r="A150" s="37" t="s">
        <v>320</v>
      </c>
      <c r="B150" s="91">
        <v>35.0</v>
      </c>
      <c r="C150" s="45">
        <f t="shared" si="1"/>
        <v>0</v>
      </c>
      <c r="D150" s="91">
        <v>1.0</v>
      </c>
      <c r="E150" s="48">
        <f t="shared" si="2"/>
        <v>0</v>
      </c>
      <c r="F150" s="42">
        <f t="shared" si="3"/>
        <v>0.02857142857</v>
      </c>
      <c r="G150" s="85" t="s">
        <v>26</v>
      </c>
      <c r="H150" s="85" t="s">
        <v>26</v>
      </c>
      <c r="I150" s="55" t="str">
        <f>HYPERLINK("http://www.gov.ky/portal/page/portal/cighome/pressroom/archive/April%202020/saturday-4-april-update","Source")</f>
        <v>Source</v>
      </c>
      <c r="J150" s="28"/>
      <c r="K150" s="29"/>
      <c r="L150" s="91">
        <v>35.0</v>
      </c>
      <c r="M150" s="91">
        <v>1.0</v>
      </c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30.0" customHeight="1">
      <c r="A151" s="37" t="s">
        <v>321</v>
      </c>
      <c r="B151" s="91">
        <v>29.0</v>
      </c>
      <c r="C151" s="45">
        <f t="shared" si="1"/>
        <v>0</v>
      </c>
      <c r="D151" s="91">
        <v>4.0</v>
      </c>
      <c r="E151" s="48">
        <f t="shared" si="2"/>
        <v>0</v>
      </c>
      <c r="F151" s="70">
        <f t="shared" si="3"/>
        <v>0.1379310345</v>
      </c>
      <c r="G151" s="85">
        <v>0.0</v>
      </c>
      <c r="H151" s="85" t="s">
        <v>26</v>
      </c>
      <c r="I151" s="55" t="str">
        <f>HYPERLINK("https://dpi.gov.gy/guyana-confirms-24th-case-of-covid/","Source")</f>
        <v>Source</v>
      </c>
      <c r="J151" s="28"/>
      <c r="K151" s="29"/>
      <c r="L151" s="91">
        <v>29.0</v>
      </c>
      <c r="M151" s="91">
        <v>4.0</v>
      </c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30.0" customHeight="1">
      <c r="A152" s="37" t="s">
        <v>322</v>
      </c>
      <c r="B152" s="91">
        <v>29.0</v>
      </c>
      <c r="C152" s="45">
        <f t="shared" si="1"/>
        <v>0</v>
      </c>
      <c r="D152" s="91">
        <v>0.0</v>
      </c>
      <c r="E152" s="48">
        <f t="shared" si="2"/>
        <v>0</v>
      </c>
      <c r="F152" s="42">
        <f t="shared" si="3"/>
        <v>0</v>
      </c>
      <c r="G152" s="85" t="s">
        <v>26</v>
      </c>
      <c r="H152" s="85">
        <v>0.0</v>
      </c>
      <c r="I152" s="55" t="str">
        <f>HYPERLINK("http://www.shabait.com/news/local-news/30414-announcement-from-the-ministry-of-health","Source")</f>
        <v>Source</v>
      </c>
      <c r="J152" s="28"/>
      <c r="K152" s="29"/>
      <c r="L152" s="91">
        <v>29.0</v>
      </c>
      <c r="M152" s="91">
        <v>0.0</v>
      </c>
      <c r="N152" s="30"/>
      <c r="O152" s="32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30.0" customHeight="1">
      <c r="A153" s="37" t="s">
        <v>323</v>
      </c>
      <c r="B153" s="91">
        <v>28.0</v>
      </c>
      <c r="C153" s="45">
        <f t="shared" si="1"/>
        <v>0</v>
      </c>
      <c r="D153" s="91">
        <v>4.0</v>
      </c>
      <c r="E153" s="48">
        <f t="shared" si="2"/>
        <v>0</v>
      </c>
      <c r="F153" s="70">
        <f t="shared" si="3"/>
        <v>0.1428571429</v>
      </c>
      <c r="G153" s="85">
        <v>0.0</v>
      </c>
      <c r="H153" s="85">
        <v>1.0</v>
      </c>
      <c r="I153" s="55" t="str">
        <f>HYPERLINK("https://www.facebook.com/MOHBahamas/posts/1082864775430005?__xts__[0]=68.ARBDz6DnpazPEKXeSVoLwjvvSeWRn30YOCS4JZZ6K-Xy3JmlPby9ONhLJZWBdbQLbihb7TXUkiNtmJo9fvS-ihcD6mbpwoiOnlUnXxcXb3S4HjaD0KWIjWikm4ug6oCerwb1Mnwun6jixelqyHH6AhGhUGyuiHr0otOyn1D_N7Q0pFhqIWD_KG"&amp;"YGz2Pyh8GJyjKv1BE1Rc2whorKizfi7zp6qADmHF0o7A-N8uxNb2_32LL4go5VhOkLFKef-FCw2PaU445xvb3cNvSQCmapIvphOPCn_qSoy_AgGW-2oBEh-aun72NoDGXphZwz63k7cFfBcxoeZWsaVZ9Q9H7CsmsPKQ&amp;__tn__=-R","Source")</f>
        <v>Source</v>
      </c>
      <c r="J153" s="28"/>
      <c r="K153" s="29"/>
      <c r="L153" s="91">
        <v>28.0</v>
      </c>
      <c r="M153" s="91">
        <v>4.0</v>
      </c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30.0" customHeight="1">
      <c r="A154" s="37" t="s">
        <v>324</v>
      </c>
      <c r="B154" s="91">
        <v>24.0</v>
      </c>
      <c r="C154" s="45">
        <f t="shared" si="1"/>
        <v>0</v>
      </c>
      <c r="D154" s="91">
        <v>1.0</v>
      </c>
      <c r="E154" s="48">
        <f t="shared" si="2"/>
        <v>0</v>
      </c>
      <c r="F154" s="70">
        <f t="shared" si="3"/>
        <v>0.04166666667</v>
      </c>
      <c r="G154" s="85" t="s">
        <v>26</v>
      </c>
      <c r="H154" s="85">
        <v>1.0</v>
      </c>
      <c r="I154" s="55" t="str">
        <f>HYPERLINK("https://www.facebook.com/Covid19GOUVGA/photos/a.111308650479592/125590325718091/?type=3&amp;__xts__%5B0%5D=68.ARCiRCqlj_0P0jTSLqO83zEUo_FwJFwJY3kB4rpYV5Xg35R0vxieFiZbrpNIFCB5EC2K36IktyZKXMdnkvZpyn7E74LNDGcHb59m_zL41NkFF1xQRrmG1woXZpMGcS1aNoG6GxTb6gu936jNJpDDN"&amp;"GOZIsbFDdiGF83ny3geCBdsiJXKfbVHEszdd0xapVCjOLJrEpJwRzfW6HgOCino7LkJ-ocI1ZrlBLEOFsyDwCiwcJcLd4cqd0pLDjozFlBdoZ8wWv1dfQa74jp3SowCQ2Uk2k5Xevabambj-Wk_TOCVvr5tUHib_rdePMTSWy4McEfiA7mXhQF8s7j_rjTqJLE&amp;__tn__=-R","Source")</f>
        <v>Source</v>
      </c>
      <c r="J154" s="28"/>
      <c r="K154" s="29"/>
      <c r="L154" s="91">
        <v>24.0</v>
      </c>
      <c r="M154" s="91">
        <v>1.0</v>
      </c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30.0" customHeight="1">
      <c r="A155" s="37" t="s">
        <v>325</v>
      </c>
      <c r="B155" s="91">
        <v>21.0</v>
      </c>
      <c r="C155" s="45">
        <f t="shared" si="1"/>
        <v>0</v>
      </c>
      <c r="D155" s="91">
        <v>1.0</v>
      </c>
      <c r="E155" s="48">
        <f t="shared" si="2"/>
        <v>0</v>
      </c>
      <c r="F155" s="42">
        <f t="shared" si="3"/>
        <v>0.04761904762</v>
      </c>
      <c r="G155" s="85" t="s">
        <v>26</v>
      </c>
      <c r="H155" s="85">
        <v>0.0</v>
      </c>
      <c r="I155" s="55" t="str">
        <f>HYPERLINK("http://mohs.gov.mm/Main/content/publication/2019-ncov","Source")</f>
        <v>Source</v>
      </c>
      <c r="J155" s="28"/>
      <c r="K155" s="29"/>
      <c r="L155" s="91">
        <v>21.0</v>
      </c>
      <c r="M155" s="91">
        <v>1.0</v>
      </c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30.0" customHeight="1">
      <c r="A156" s="37" t="s">
        <v>326</v>
      </c>
      <c r="B156" s="91">
        <v>21.0</v>
      </c>
      <c r="C156" s="45">
        <f t="shared" si="1"/>
        <v>0</v>
      </c>
      <c r="D156" s="91">
        <v>1.0</v>
      </c>
      <c r="E156" s="48">
        <f t="shared" si="2"/>
        <v>0</v>
      </c>
      <c r="F156" s="42">
        <f t="shared" si="3"/>
        <v>0.04761904762</v>
      </c>
      <c r="G156" s="85" t="s">
        <v>26</v>
      </c>
      <c r="H156" s="85" t="s">
        <v>26</v>
      </c>
      <c r="I156" s="55" t="str">
        <f>HYPERLINK("https://lenouvelliste.com/article/214480/premier-deces-lie-officiellement-au-covid-19-enregistre-en-haiti-ce-dimanche-5-avril","Source")</f>
        <v>Source</v>
      </c>
      <c r="J156" s="28"/>
      <c r="K156" s="29"/>
      <c r="L156" s="91">
        <v>21.0</v>
      </c>
      <c r="M156" s="91">
        <v>1.0</v>
      </c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30.0" customHeight="1">
      <c r="A157" s="37" t="s">
        <v>327</v>
      </c>
      <c r="B157" s="91">
        <v>20.0</v>
      </c>
      <c r="C157" s="45">
        <f t="shared" si="1"/>
        <v>0</v>
      </c>
      <c r="D157" s="91">
        <v>1.0</v>
      </c>
      <c r="E157" s="48">
        <f t="shared" si="2"/>
        <v>0</v>
      </c>
      <c r="F157" s="70">
        <f t="shared" si="3"/>
        <v>0.05</v>
      </c>
      <c r="G157" s="85" t="s">
        <v>26</v>
      </c>
      <c r="H157" s="85">
        <v>1.0</v>
      </c>
      <c r="I157" s="55" t="str">
        <f>HYPERLINK("https://www.thecitizen.co.tz/news/Tanzania-records-first-Covid-19-death/1840340-5509582-e6v2lk/index.html","Source")</f>
        <v>Source</v>
      </c>
      <c r="J157" s="28"/>
      <c r="K157" s="29"/>
      <c r="L157" s="91">
        <v>20.0</v>
      </c>
      <c r="M157" s="91">
        <v>1.0</v>
      </c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30.0" customHeight="1">
      <c r="A158" s="37" t="s">
        <v>328</v>
      </c>
      <c r="B158" s="91">
        <v>19.0</v>
      </c>
      <c r="C158" s="45">
        <f t="shared" si="1"/>
        <v>0</v>
      </c>
      <c r="D158" s="91">
        <v>2.0</v>
      </c>
      <c r="E158" s="48">
        <f t="shared" si="2"/>
        <v>0</v>
      </c>
      <c r="F158" s="42">
        <f t="shared" si="3"/>
        <v>0.1052631579</v>
      </c>
      <c r="G158" s="85">
        <v>0.0</v>
      </c>
      <c r="H158" s="85">
        <v>2.0</v>
      </c>
      <c r="I158" s="55" t="str">
        <f>HYPERLINK("https://sana.sy/?p=1132448","Source")</f>
        <v>Source</v>
      </c>
      <c r="J158" s="28"/>
      <c r="K158" s="29"/>
      <c r="L158" s="91">
        <v>19.0</v>
      </c>
      <c r="M158" s="91">
        <v>2.0</v>
      </c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27.75" customHeight="1">
      <c r="A159" s="37" t="s">
        <v>329</v>
      </c>
      <c r="B159" s="91">
        <v>19.0</v>
      </c>
      <c r="C159" s="45">
        <f t="shared" si="1"/>
        <v>0</v>
      </c>
      <c r="D159" s="91">
        <v>0.0</v>
      </c>
      <c r="E159" s="48">
        <f t="shared" si="2"/>
        <v>0</v>
      </c>
      <c r="F159" s="70">
        <f t="shared" si="3"/>
        <v>0</v>
      </c>
      <c r="G159" s="85" t="s">
        <v>26</v>
      </c>
      <c r="H159" s="85">
        <v>13.0</v>
      </c>
      <c r="I159" s="55" t="str">
        <f>HYPERLINK("https://covid19.health.gov.mv/en/","Source")</f>
        <v>Source</v>
      </c>
      <c r="J159" s="28"/>
      <c r="K159" s="29"/>
      <c r="L159" s="91">
        <v>19.0</v>
      </c>
      <c r="M159" s="91">
        <v>0.0</v>
      </c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30.0" customHeight="1">
      <c r="A160" s="37" t="s">
        <v>330</v>
      </c>
      <c r="B160" s="91">
        <v>19.0</v>
      </c>
      <c r="C160" s="45">
        <f t="shared" si="1"/>
        <v>0</v>
      </c>
      <c r="D160" s="91">
        <v>1.0</v>
      </c>
      <c r="E160" s="48">
        <f t="shared" si="2"/>
        <v>0</v>
      </c>
      <c r="F160" s="42">
        <f t="shared" si="3"/>
        <v>0.05263157895</v>
      </c>
      <c r="G160" s="85" t="s">
        <v>26</v>
      </c>
      <c r="H160" s="85">
        <v>1.0</v>
      </c>
      <c r="I160" s="55" t="str">
        <f>HYPERLINK("https://twitter.com/EanLibya/status/1247274939301888006","Source")</f>
        <v>Source</v>
      </c>
      <c r="J160" s="28"/>
      <c r="K160" s="29"/>
      <c r="L160" s="91">
        <v>19.0</v>
      </c>
      <c r="M160" s="91">
        <v>1.0</v>
      </c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30.0" customHeight="1">
      <c r="A161" s="37" t="s">
        <v>331</v>
      </c>
      <c r="B161" s="91">
        <v>18.0</v>
      </c>
      <c r="C161" s="45">
        <f t="shared" si="1"/>
        <v>0</v>
      </c>
      <c r="D161" s="91">
        <v>0.0</v>
      </c>
      <c r="E161" s="48">
        <f t="shared" si="2"/>
        <v>0</v>
      </c>
      <c r="F161" s="70">
        <f t="shared" si="3"/>
        <v>0</v>
      </c>
      <c r="G161" s="85">
        <v>1.0</v>
      </c>
      <c r="H161" s="85">
        <v>1.0</v>
      </c>
      <c r="I161" s="55" t="str">
        <f>HYPERLINK("https://gouv.nc/coronavirus","Source")</f>
        <v>Source</v>
      </c>
      <c r="J161" s="28"/>
      <c r="K161" s="29"/>
      <c r="L161" s="91">
        <v>18.0</v>
      </c>
      <c r="M161" s="91">
        <v>0.0</v>
      </c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30.0" customHeight="1">
      <c r="A162" s="37" t="s">
        <v>332</v>
      </c>
      <c r="B162" s="91">
        <v>18.0</v>
      </c>
      <c r="C162" s="45">
        <f t="shared" si="1"/>
        <v>0</v>
      </c>
      <c r="D162" s="91">
        <v>0.0</v>
      </c>
      <c r="E162" s="48">
        <f t="shared" si="2"/>
        <v>0</v>
      </c>
      <c r="F162" s="70">
        <f t="shared" si="3"/>
        <v>0</v>
      </c>
      <c r="G162" s="85" t="s">
        <v>26</v>
      </c>
      <c r="H162" s="85">
        <v>0.0</v>
      </c>
      <c r="I162" s="55" t="str">
        <f>HYPERLINK("https://pbs.twimg.com/media/EU1dY7XXgAEuJIr.jpg","Source")</f>
        <v>Source</v>
      </c>
      <c r="J162" s="28"/>
      <c r="K162" s="29"/>
      <c r="L162" s="91">
        <v>18.0</v>
      </c>
      <c r="M162" s="91">
        <v>0.0</v>
      </c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30.0" customHeight="1">
      <c r="A163" s="37" t="s">
        <v>333</v>
      </c>
      <c r="B163" s="91">
        <v>16.0</v>
      </c>
      <c r="C163" s="45">
        <f t="shared" si="1"/>
        <v>0</v>
      </c>
      <c r="D163" s="91">
        <v>0.0</v>
      </c>
      <c r="E163" s="48">
        <f t="shared" si="2"/>
        <v>0</v>
      </c>
      <c r="F163" s="70">
        <f t="shared" si="3"/>
        <v>0</v>
      </c>
      <c r="G163" s="85">
        <v>0.0</v>
      </c>
      <c r="H163" s="85">
        <v>1.0</v>
      </c>
      <c r="I163" s="55" t="str">
        <f>HYPERLINK("https://twitter.com/WHONAMIBIA/status/1246800822551412736","Source")</f>
        <v>Source</v>
      </c>
      <c r="J163" s="28"/>
      <c r="K163" s="29"/>
      <c r="L163" s="91">
        <v>16.0</v>
      </c>
      <c r="M163" s="91">
        <v>0.0</v>
      </c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30.0" customHeight="1">
      <c r="A164" s="37" t="s">
        <v>334</v>
      </c>
      <c r="B164" s="91">
        <v>16.0</v>
      </c>
      <c r="C164" s="45">
        <f t="shared" si="1"/>
        <v>0</v>
      </c>
      <c r="D164" s="91">
        <v>0.0</v>
      </c>
      <c r="E164" s="48">
        <f t="shared" si="2"/>
        <v>0</v>
      </c>
      <c r="F164" s="70">
        <f t="shared" si="3"/>
        <v>0</v>
      </c>
      <c r="G164" s="85" t="s">
        <v>26</v>
      </c>
      <c r="H164" s="85">
        <v>2.0</v>
      </c>
      <c r="I164" s="55" t="str">
        <f>HYPERLINK("https://www.gouv.bj/coronavirus/","Source")</f>
        <v>Source</v>
      </c>
      <c r="J164" s="28"/>
      <c r="K164" s="29"/>
      <c r="L164" s="91">
        <v>16.0</v>
      </c>
      <c r="M164" s="91">
        <v>0.0</v>
      </c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30.0" customHeight="1">
      <c r="A165" s="37" t="s">
        <v>335</v>
      </c>
      <c r="B165" s="91">
        <v>16.0</v>
      </c>
      <c r="C165" s="45">
        <f t="shared" si="1"/>
        <v>0</v>
      </c>
      <c r="D165" s="91">
        <v>0.0</v>
      </c>
      <c r="E165" s="48">
        <f t="shared" si="2"/>
        <v>0</v>
      </c>
      <c r="F165" s="42">
        <f t="shared" si="3"/>
        <v>0</v>
      </c>
      <c r="G165" s="85" t="s">
        <v>26</v>
      </c>
      <c r="H165" s="85" t="s">
        <v>26</v>
      </c>
      <c r="I165" s="55" t="str">
        <f>HYPERLINK("https://www.guineaecuatorialpress.com/noticia.php?id=15234","Source")</f>
        <v>Source</v>
      </c>
      <c r="J165" s="28"/>
      <c r="K165" s="29"/>
      <c r="L165" s="91">
        <v>16.0</v>
      </c>
      <c r="M165" s="91">
        <v>0.0</v>
      </c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30.0" customHeight="1">
      <c r="A166" s="37" t="s">
        <v>336</v>
      </c>
      <c r="B166" s="91">
        <v>15.0</v>
      </c>
      <c r="C166" s="45">
        <f t="shared" si="1"/>
        <v>0</v>
      </c>
      <c r="D166" s="91">
        <v>0.0</v>
      </c>
      <c r="E166" s="48">
        <f t="shared" si="2"/>
        <v>0</v>
      </c>
      <c r="F166" s="70">
        <f t="shared" si="3"/>
        <v>0</v>
      </c>
      <c r="G166" s="85">
        <v>0.0</v>
      </c>
      <c r="H166" s="85">
        <v>0.0</v>
      </c>
      <c r="I166" s="55" t="str">
        <f>HYPERLINK("https://antiguaobserver.com/six-more-covid-19-cases-confirmed-15-total/","Source")</f>
        <v>Source</v>
      </c>
      <c r="J166" s="28"/>
      <c r="K166" s="29"/>
      <c r="L166" s="91">
        <v>15.0</v>
      </c>
      <c r="M166" s="91">
        <v>0.0</v>
      </c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30.0" customHeight="1">
      <c r="A167" s="37" t="s">
        <v>337</v>
      </c>
      <c r="B167" s="91">
        <v>15.0</v>
      </c>
      <c r="C167" s="45">
        <f t="shared" si="1"/>
        <v>0</v>
      </c>
      <c r="D167" s="91">
        <v>0.0</v>
      </c>
      <c r="E167" s="48">
        <f t="shared" si="2"/>
        <v>0</v>
      </c>
      <c r="F167" s="42">
        <f t="shared" si="3"/>
        <v>0</v>
      </c>
      <c r="G167" s="85" t="s">
        <v>26</v>
      </c>
      <c r="H167" s="85">
        <v>2.0</v>
      </c>
      <c r="I167" s="55" t="str">
        <f>HYPERLINK("https://montsame.mn/en/read/221169","Source")</f>
        <v>Source</v>
      </c>
      <c r="J167" s="28"/>
      <c r="K167" s="29"/>
      <c r="L167" s="91">
        <v>15.0</v>
      </c>
      <c r="M167" s="91">
        <v>0.0</v>
      </c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30.0" customHeight="1">
      <c r="A168" s="37" t="s">
        <v>338</v>
      </c>
      <c r="B168" s="91">
        <v>14.0</v>
      </c>
      <c r="C168" s="45">
        <f t="shared" si="1"/>
        <v>0</v>
      </c>
      <c r="D168" s="91">
        <v>0.0</v>
      </c>
      <c r="E168" s="48">
        <f t="shared" si="2"/>
        <v>0</v>
      </c>
      <c r="F168" s="42">
        <f t="shared" si="3"/>
        <v>0</v>
      </c>
      <c r="G168" s="85">
        <v>0.0</v>
      </c>
      <c r="H168" s="85">
        <v>1.0</v>
      </c>
      <c r="I168" s="55" t="str">
        <f>HYPERLINK("https://www.stlucianewsonline.com/breaking-news-saint-lucias-14th-confirmed-covid-19-case-was-the-contact-for-a-previous-case/","Source")</f>
        <v>Source</v>
      </c>
      <c r="J168" s="28"/>
      <c r="K168" s="29"/>
      <c r="L168" s="91">
        <v>14.0</v>
      </c>
      <c r="M168" s="91">
        <v>0.0</v>
      </c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30.0" customHeight="1">
      <c r="A169" s="37" t="s">
        <v>339</v>
      </c>
      <c r="B169" s="91">
        <v>14.0</v>
      </c>
      <c r="C169" s="45">
        <f t="shared" si="1"/>
        <v>0</v>
      </c>
      <c r="D169" s="91">
        <v>0.0</v>
      </c>
      <c r="E169" s="48">
        <f t="shared" si="2"/>
        <v>0</v>
      </c>
      <c r="F169" s="70">
        <f t="shared" si="3"/>
        <v>0</v>
      </c>
      <c r="G169" s="85" t="s">
        <v>26</v>
      </c>
      <c r="H169" s="85">
        <v>0.0</v>
      </c>
      <c r="I169" s="55" t="str">
        <f>HYPERLINK("https://www.fbcnews.com.fj/news/covid-19/two-more-covid-19-cases-confirmed/","Source")</f>
        <v>Source</v>
      </c>
      <c r="J169" s="28"/>
      <c r="K169" s="29"/>
      <c r="L169" s="91">
        <v>14.0</v>
      </c>
      <c r="M169" s="91">
        <v>0.0</v>
      </c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30.0" customHeight="1">
      <c r="A170" s="37" t="s">
        <v>340</v>
      </c>
      <c r="B170" s="91">
        <v>13.0</v>
      </c>
      <c r="C170" s="45">
        <f t="shared" si="1"/>
        <v>0</v>
      </c>
      <c r="D170" s="91">
        <v>3.0</v>
      </c>
      <c r="E170" s="48">
        <f t="shared" si="2"/>
        <v>0</v>
      </c>
      <c r="F170" s="42">
        <f t="shared" si="3"/>
        <v>0.2307692308</v>
      </c>
      <c r="G170" s="85" t="s">
        <v>26</v>
      </c>
      <c r="H170" s="85" t="s">
        <v>26</v>
      </c>
      <c r="I170" s="55" t="str">
        <f>HYPERLINK("https://frontpageafricaonline.com/front-slider/liberia-covid-19-cases-increases-to-13-deaths-now-three/","Source")</f>
        <v>Source</v>
      </c>
      <c r="J170" s="28"/>
      <c r="K170" s="29"/>
      <c r="L170" s="91">
        <v>13.0</v>
      </c>
      <c r="M170" s="91">
        <v>3.0</v>
      </c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30.0" customHeight="1">
      <c r="A171" s="37" t="s">
        <v>341</v>
      </c>
      <c r="B171" s="91">
        <v>12.0</v>
      </c>
      <c r="C171" s="45">
        <f t="shared" si="1"/>
        <v>0</v>
      </c>
      <c r="D171" s="91">
        <v>0.0</v>
      </c>
      <c r="E171" s="48">
        <f t="shared" si="2"/>
        <v>0</v>
      </c>
      <c r="F171" s="42">
        <f t="shared" si="3"/>
        <v>0</v>
      </c>
      <c r="G171" s="85">
        <v>1.0</v>
      </c>
      <c r="H171" s="85">
        <v>0.0</v>
      </c>
      <c r="I171" s="55" t="str">
        <f>HYPERLINK("https://covid19.gov.gd/","Source")</f>
        <v>Source</v>
      </c>
      <c r="J171" s="28"/>
      <c r="K171" s="29"/>
      <c r="L171" s="91">
        <v>12.0</v>
      </c>
      <c r="M171" s="91">
        <v>0.0</v>
      </c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30.0" customHeight="1">
      <c r="A172" s="37" t="s">
        <v>342</v>
      </c>
      <c r="B172" s="91">
        <v>12.0</v>
      </c>
      <c r="C172" s="45">
        <f t="shared" si="1"/>
        <v>0</v>
      </c>
      <c r="D172" s="91">
        <v>0.0</v>
      </c>
      <c r="E172" s="48">
        <f t="shared" si="2"/>
        <v>0</v>
      </c>
      <c r="F172" s="42">
        <f t="shared" si="3"/>
        <v>0</v>
      </c>
      <c r="G172" s="85" t="s">
        <v>26</v>
      </c>
      <c r="H172" s="85" t="s">
        <v>26</v>
      </c>
      <c r="I172" s="55" t="str">
        <f>HYPERLINK("https://www.covid19.gov.la/","Source")</f>
        <v>Source</v>
      </c>
      <c r="J172" s="28"/>
      <c r="K172" s="29"/>
      <c r="L172" s="91">
        <v>12.0</v>
      </c>
      <c r="M172" s="91">
        <v>0.0</v>
      </c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30.0" customHeight="1">
      <c r="A173" s="37" t="s">
        <v>343</v>
      </c>
      <c r="B173" s="91">
        <v>11.0</v>
      </c>
      <c r="C173" s="45">
        <f t="shared" si="1"/>
        <v>0</v>
      </c>
      <c r="D173" s="91">
        <v>1.0</v>
      </c>
      <c r="E173" s="48">
        <f t="shared" si="2"/>
        <v>0</v>
      </c>
      <c r="F173" s="42">
        <f t="shared" si="3"/>
        <v>0.09090909091</v>
      </c>
      <c r="G173" s="85" t="s">
        <v>26</v>
      </c>
      <c r="H173" s="85">
        <v>5.0</v>
      </c>
      <c r="I173" s="55" t="str">
        <f>HYPERLINK("https://www.curacaochronicle.com/post/main/covid-19-update-curacao-remains-at-11-confirmed-cases-5-people-have-recovered/","Source")</f>
        <v>Source</v>
      </c>
      <c r="J173" s="28"/>
      <c r="K173" s="56" t="s">
        <v>29</v>
      </c>
      <c r="L173" s="91">
        <v>11.0</v>
      </c>
      <c r="M173" s="91">
        <v>1.0</v>
      </c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30.0" customHeight="1">
      <c r="A174" s="37" t="s">
        <v>344</v>
      </c>
      <c r="B174" s="91">
        <v>11.0</v>
      </c>
      <c r="C174" s="45">
        <f t="shared" si="1"/>
        <v>0</v>
      </c>
      <c r="D174" s="91">
        <v>0.0</v>
      </c>
      <c r="E174" s="48">
        <f t="shared" si="2"/>
        <v>0</v>
      </c>
      <c r="F174" s="70">
        <f t="shared" si="3"/>
        <v>0</v>
      </c>
      <c r="G174" s="85" t="s">
        <v>26</v>
      </c>
      <c r="H174" s="85">
        <v>2.0</v>
      </c>
      <c r="I174" s="55" t="str">
        <f>HYPERLINK("https://nun.gl/Emner/Borgere/Coronavirus_emne/Foelg_smittespredningen?sc_lang=da","Source")</f>
        <v>Source</v>
      </c>
      <c r="J174" s="28"/>
      <c r="K174" s="29"/>
      <c r="L174" s="91">
        <v>11.0</v>
      </c>
      <c r="M174" s="91">
        <v>0.0</v>
      </c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30.0" customHeight="1">
      <c r="A175" s="37" t="s">
        <v>345</v>
      </c>
      <c r="B175" s="91">
        <v>10.0</v>
      </c>
      <c r="C175" s="45">
        <f t="shared" si="1"/>
        <v>0</v>
      </c>
      <c r="D175" s="91">
        <v>2.0</v>
      </c>
      <c r="E175" s="48">
        <f t="shared" si="2"/>
        <v>0</v>
      </c>
      <c r="F175" s="42">
        <f t="shared" si="3"/>
        <v>0.2</v>
      </c>
      <c r="G175" s="85" t="s">
        <v>26</v>
      </c>
      <c r="H175" s="85" t="s">
        <v>26</v>
      </c>
      <c r="I175" s="55" t="str">
        <f>HYPERLINK("https://fmoh.gov.sd/index.php/files/download/383","Source")</f>
        <v>Source</v>
      </c>
      <c r="J175" s="28"/>
      <c r="K175" s="29"/>
      <c r="L175" s="91">
        <v>10.0</v>
      </c>
      <c r="M175" s="91">
        <v>2.0</v>
      </c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30.0" customHeight="1">
      <c r="A176" s="37" t="s">
        <v>346</v>
      </c>
      <c r="B176" s="91">
        <v>10.0</v>
      </c>
      <c r="C176" s="45">
        <f t="shared" si="1"/>
        <v>0</v>
      </c>
      <c r="D176" s="91">
        <v>2.0</v>
      </c>
      <c r="E176" s="48">
        <f t="shared" si="2"/>
        <v>0</v>
      </c>
      <c r="F176" s="70">
        <f t="shared" si="3"/>
        <v>0.2</v>
      </c>
      <c r="G176" s="85">
        <v>0.0</v>
      </c>
      <c r="H176" s="85">
        <v>2.0</v>
      </c>
      <c r="I176" s="55" t="str">
        <f>HYPERLINK("http://www.angop.ao/angola/en_us/noticias/saude/2020/3/14/COVID-Angola-reports-two-more-positive-cases,fc01f309-04a4-4b89-a5e6-bc997488a23a.html","Source")</f>
        <v>Source</v>
      </c>
      <c r="J176" s="28"/>
      <c r="K176" s="29"/>
      <c r="L176" s="91">
        <v>10.0</v>
      </c>
      <c r="M176" s="91">
        <v>2.0</v>
      </c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30.0" customHeight="1">
      <c r="A177" s="37" t="s">
        <v>347</v>
      </c>
      <c r="B177" s="91">
        <v>10.0</v>
      </c>
      <c r="C177" s="45">
        <f t="shared" si="1"/>
        <v>0</v>
      </c>
      <c r="D177" s="91">
        <v>1.0</v>
      </c>
      <c r="E177" s="48">
        <f t="shared" si="2"/>
        <v>0</v>
      </c>
      <c r="F177" s="42">
        <f t="shared" si="3"/>
        <v>0.1</v>
      </c>
      <c r="G177" s="85" t="s">
        <v>26</v>
      </c>
      <c r="H177" s="85" t="s">
        <v>26</v>
      </c>
      <c r="I177" s="55" t="str">
        <f>HYPERLINK("https://covid-19.sr/president-bouterse-condoleert-familie-covid-19-overledene/","Source")</f>
        <v>Source</v>
      </c>
      <c r="J177" s="28"/>
      <c r="K177" s="29"/>
      <c r="L177" s="91">
        <v>10.0</v>
      </c>
      <c r="M177" s="91">
        <v>1.0</v>
      </c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30.0" customHeight="1">
      <c r="A178" s="37" t="s">
        <v>348</v>
      </c>
      <c r="B178" s="91">
        <v>10.0</v>
      </c>
      <c r="C178" s="45">
        <f t="shared" si="1"/>
        <v>0</v>
      </c>
      <c r="D178" s="91">
        <v>0.0</v>
      </c>
      <c r="E178" s="48">
        <f t="shared" si="2"/>
        <v>0</v>
      </c>
      <c r="F178" s="70">
        <f t="shared" si="3"/>
        <v>0</v>
      </c>
      <c r="G178" s="85">
        <v>1.0</v>
      </c>
      <c r="H178" s="85">
        <v>0.0</v>
      </c>
      <c r="I178" s="55" t="str">
        <f>HYPERLINK("http://www.health.gov.sc/index.php/2020/03/28/new-case-of-covid-19-detected/","Source")</f>
        <v>Source</v>
      </c>
      <c r="J178" s="28"/>
      <c r="K178" s="29"/>
      <c r="L178" s="91">
        <v>10.0</v>
      </c>
      <c r="M178" s="91">
        <v>0.0</v>
      </c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30.0" customHeight="1">
      <c r="A179" s="37" t="s">
        <v>349</v>
      </c>
      <c r="B179" s="91">
        <v>10.0</v>
      </c>
      <c r="C179" s="45">
        <f t="shared" si="1"/>
        <v>0</v>
      </c>
      <c r="D179" s="91">
        <v>0.0</v>
      </c>
      <c r="E179" s="48">
        <f t="shared" si="2"/>
        <v>0</v>
      </c>
      <c r="F179" s="42">
        <f t="shared" si="3"/>
        <v>0</v>
      </c>
      <c r="G179" s="85" t="s">
        <v>26</v>
      </c>
      <c r="H179" s="85">
        <v>0.0</v>
      </c>
      <c r="I179" s="55" t="str">
        <f>HYPERLINK("https://pbs.twimg.com/media/EUq8BAFUMAYsbZY.jpg","Source")</f>
        <v>Source</v>
      </c>
      <c r="J179" s="28"/>
      <c r="K179" s="29"/>
      <c r="L179" s="91">
        <v>10.0</v>
      </c>
      <c r="M179" s="91">
        <v>0.0</v>
      </c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30.0" customHeight="1">
      <c r="A180" s="37" t="s">
        <v>350</v>
      </c>
      <c r="B180" s="91">
        <v>10.0</v>
      </c>
      <c r="C180" s="45">
        <f t="shared" si="1"/>
        <v>0</v>
      </c>
      <c r="D180" s="91">
        <v>0.0</v>
      </c>
      <c r="E180" s="48">
        <f t="shared" si="2"/>
        <v>0</v>
      </c>
      <c r="F180" s="70">
        <f t="shared" si="3"/>
        <v>0</v>
      </c>
      <c r="G180" s="85" t="s">
        <v>26</v>
      </c>
      <c r="H180" s="85">
        <v>0.0</v>
      </c>
      <c r="I180" s="55" t="str">
        <f>HYPERLINK("https://www.covid19.gov.kn/2020/04/04/kitts-and-nevis-confirms-one-1-additional-case-of-covid-19total-number-of-confirmed-cases-now-stands-at-10/","Source")</f>
        <v>Source</v>
      </c>
      <c r="J180" s="28"/>
      <c r="K180" s="29"/>
      <c r="L180" s="91">
        <v>10.0</v>
      </c>
      <c r="M180" s="91">
        <v>0.0</v>
      </c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30.0" customHeight="1">
      <c r="A181" s="37" t="s">
        <v>351</v>
      </c>
      <c r="B181" s="91">
        <v>9.0</v>
      </c>
      <c r="C181" s="45">
        <f t="shared" si="1"/>
        <v>0</v>
      </c>
      <c r="D181" s="91">
        <v>1.0</v>
      </c>
      <c r="E181" s="48">
        <f t="shared" si="2"/>
        <v>0</v>
      </c>
      <c r="F181" s="70">
        <f t="shared" si="3"/>
        <v>0.1111111111</v>
      </c>
      <c r="G181" s="85">
        <v>0.0</v>
      </c>
      <c r="H181" s="85">
        <v>0.0</v>
      </c>
      <c r="I181" s="55" t="str">
        <f>HYPERLINK("https://twitter.com/MoHCCZim/status/1246726098735505409","Source")</f>
        <v>Source</v>
      </c>
      <c r="J181" s="28"/>
      <c r="K181" s="29"/>
      <c r="L181" s="91">
        <v>9.0</v>
      </c>
      <c r="M181" s="91">
        <v>1.0</v>
      </c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30.0" customHeight="1">
      <c r="A182" s="37" t="s">
        <v>352</v>
      </c>
      <c r="B182" s="91">
        <v>9.0</v>
      </c>
      <c r="C182" s="45">
        <f t="shared" si="1"/>
        <v>0</v>
      </c>
      <c r="D182" s="91">
        <v>0.0</v>
      </c>
      <c r="E182" s="48">
        <f t="shared" si="2"/>
        <v>0</v>
      </c>
      <c r="F182" s="42">
        <f t="shared" si="3"/>
        <v>0</v>
      </c>
      <c r="G182" s="85">
        <v>0.0</v>
      </c>
      <c r="H182" s="85">
        <v>1.0</v>
      </c>
      <c r="I182" s="55" t="str">
        <f>HYPERLINK("https://twitter.com/EswatiniGovern1/status/1245032304554229760","Source")</f>
        <v>Source</v>
      </c>
      <c r="J182" s="28"/>
      <c r="K182" s="29"/>
      <c r="L182" s="91">
        <v>9.0</v>
      </c>
      <c r="M182" s="91">
        <v>0.0</v>
      </c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30.0" customHeight="1">
      <c r="A183" s="37" t="s">
        <v>353</v>
      </c>
      <c r="B183" s="91">
        <v>9.0</v>
      </c>
      <c r="C183" s="45">
        <f t="shared" si="1"/>
        <v>0</v>
      </c>
      <c r="D183" s="91">
        <v>0.0</v>
      </c>
      <c r="E183" s="48">
        <f t="shared" si="2"/>
        <v>0</v>
      </c>
      <c r="F183" s="70">
        <f t="shared" si="3"/>
        <v>0</v>
      </c>
      <c r="G183" s="85" t="s">
        <v>26</v>
      </c>
      <c r="H183" s="85">
        <v>1.0</v>
      </c>
      <c r="I183" s="55" t="str">
        <f>HYPERLINK("https://kathmandupost.com/health/2020/04/04/nepal-confirms-three-more-covid-19-cases-including-first-case-of-local-transmission","Source")</f>
        <v>Source</v>
      </c>
      <c r="J183" s="28"/>
      <c r="K183" s="29"/>
      <c r="L183" s="91">
        <v>9.0</v>
      </c>
      <c r="M183" s="91">
        <v>0.0</v>
      </c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30.0" customHeight="1">
      <c r="A184" s="37" t="s">
        <v>354</v>
      </c>
      <c r="B184" s="91">
        <v>9.0</v>
      </c>
      <c r="C184" s="45">
        <f t="shared" si="1"/>
        <v>0</v>
      </c>
      <c r="D184" s="91">
        <v>0.0</v>
      </c>
      <c r="E184" s="48">
        <f t="shared" si="2"/>
        <v>0</v>
      </c>
      <c r="F184" s="70">
        <f t="shared" si="3"/>
        <v>0</v>
      </c>
      <c r="G184" s="85" t="s">
        <v>26</v>
      </c>
      <c r="H184" s="85" t="s">
        <v>26</v>
      </c>
      <c r="I184" s="55" t="str">
        <f>HYPERLINK("https://www.facebook.com/ministeresantetchad/posts/876921376088271?__tn__=-R","Source")</f>
        <v>Source</v>
      </c>
      <c r="J184" s="28"/>
      <c r="K184" s="29"/>
      <c r="L184" s="91">
        <v>9.0</v>
      </c>
      <c r="M184" s="91">
        <v>0.0</v>
      </c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30.0" customHeight="1">
      <c r="A185" s="37" t="s">
        <v>355</v>
      </c>
      <c r="B185" s="91">
        <v>9.0</v>
      </c>
      <c r="C185" s="45">
        <f t="shared" si="1"/>
        <v>0</v>
      </c>
      <c r="D185" s="91">
        <v>0.0</v>
      </c>
      <c r="E185" s="48">
        <f t="shared" si="2"/>
        <v>0</v>
      </c>
      <c r="F185" s="70">
        <f t="shared" si="3"/>
        <v>0</v>
      </c>
      <c r="G185" s="85" t="s">
        <v>26</v>
      </c>
      <c r="H185" s="85">
        <v>3.0</v>
      </c>
      <c r="I185" s="55" t="str">
        <f>HYPERLINK("https://pbs.twimg.com/media/EU1dY7XXgAEuJIr.jpg","Source")</f>
        <v>Source</v>
      </c>
      <c r="J185" s="28"/>
      <c r="K185" s="29"/>
      <c r="L185" s="91">
        <v>9.0</v>
      </c>
      <c r="M185" s="91">
        <v>0.0</v>
      </c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30.0" customHeight="1">
      <c r="A186" s="37" t="s">
        <v>356</v>
      </c>
      <c r="B186" s="91">
        <v>7.0</v>
      </c>
      <c r="C186" s="45">
        <f t="shared" si="1"/>
        <v>0</v>
      </c>
      <c r="D186" s="91">
        <v>1.0</v>
      </c>
      <c r="E186" s="48">
        <f t="shared" si="2"/>
        <v>0</v>
      </c>
      <c r="F186" s="42">
        <f t="shared" si="3"/>
        <v>0.1428571429</v>
      </c>
      <c r="G186" s="85">
        <v>0.0</v>
      </c>
      <c r="H186" s="85">
        <v>0.0</v>
      </c>
      <c r="I186" s="55" t="str">
        <f>HYPERLINK("https://www.facebook.com/watch/?v=858748471266834","Source")</f>
        <v>Source</v>
      </c>
      <c r="J186" s="28"/>
      <c r="K186" s="29"/>
      <c r="L186" s="91">
        <v>7.0</v>
      </c>
      <c r="M186" s="91">
        <v>1.0</v>
      </c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27.75" customHeight="1">
      <c r="A187" s="37" t="s">
        <v>357</v>
      </c>
      <c r="B187" s="147">
        <v>7.0</v>
      </c>
      <c r="C187" s="148">
        <f t="shared" si="1"/>
        <v>0</v>
      </c>
      <c r="D187" s="149">
        <v>0.0</v>
      </c>
      <c r="E187" s="150">
        <f t="shared" si="2"/>
        <v>0</v>
      </c>
      <c r="F187" s="42">
        <f t="shared" si="3"/>
        <v>0</v>
      </c>
      <c r="G187" s="85" t="s">
        <v>26</v>
      </c>
      <c r="H187" s="85" t="s">
        <v>26</v>
      </c>
      <c r="I187" s="55" t="str">
        <f>HYPERLINK("https://www.ilmessaggero.it/vaticano/vaticano_coronavirus_papa_francesco_san_pietro_dipendente_santa_sede_contagio-5148515.html","Source")</f>
        <v>Source</v>
      </c>
      <c r="J187" s="28"/>
      <c r="K187" s="29"/>
      <c r="L187" s="147">
        <v>7.0</v>
      </c>
      <c r="M187" s="149">
        <v>0.0</v>
      </c>
      <c r="N187" s="30"/>
      <c r="O187" s="32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30.0" customHeight="1">
      <c r="A188" s="37" t="s">
        <v>358</v>
      </c>
      <c r="B188" s="91">
        <v>7.0</v>
      </c>
      <c r="C188" s="45">
        <f t="shared" si="1"/>
        <v>0</v>
      </c>
      <c r="D188" s="91">
        <v>0.0</v>
      </c>
      <c r="E188" s="48">
        <f t="shared" si="2"/>
        <v>0</v>
      </c>
      <c r="F188" s="42">
        <f t="shared" si="3"/>
        <v>0</v>
      </c>
      <c r="G188" s="85" t="s">
        <v>26</v>
      </c>
      <c r="H188" s="85">
        <v>1.0</v>
      </c>
      <c r="I188" s="55" t="str">
        <f>HYPERLINK("http://health.gov.vc/health/images/PDF/Four_4_More_Cases_of_COVID_19.pdf","Source")</f>
        <v>Source</v>
      </c>
      <c r="J188" s="28"/>
      <c r="K188" s="29"/>
      <c r="L188" s="91">
        <v>7.0</v>
      </c>
      <c r="M188" s="91">
        <v>0.0</v>
      </c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30.0" customHeight="1">
      <c r="A189" s="37" t="s">
        <v>359</v>
      </c>
      <c r="B189" s="91">
        <v>7.0</v>
      </c>
      <c r="C189" s="45">
        <f t="shared" si="1"/>
        <v>0</v>
      </c>
      <c r="D189" s="91">
        <v>0.0</v>
      </c>
      <c r="E189" s="48">
        <f t="shared" si="2"/>
        <v>0</v>
      </c>
      <c r="F189" s="42">
        <f t="shared" si="3"/>
        <v>0</v>
      </c>
      <c r="G189" s="85" t="s">
        <v>26</v>
      </c>
      <c r="H189" s="85">
        <v>1.0</v>
      </c>
      <c r="I189" s="55" t="str">
        <f>HYPERLINK("https://app.powerbi.com/view?r=eyJrIjoiN2ExNWI3ZGQtZDk3My00YzE2LWFjYmQtNGMwZjk0OWQ1MjFhIiwidCI6ImY2MTBjMGI3LWJkMjQtNGIzOS04MTBiLTNkYzI4MGFmYjU5MCIsImMiOjh9","Source")</f>
        <v>Source</v>
      </c>
      <c r="J189" s="28"/>
      <c r="K189" s="29"/>
      <c r="L189" s="91">
        <v>7.0</v>
      </c>
      <c r="M189" s="91">
        <v>0.0</v>
      </c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30.0" customHeight="1">
      <c r="A190" s="37" t="s">
        <v>360</v>
      </c>
      <c r="B190" s="91">
        <v>7.0</v>
      </c>
      <c r="C190" s="45">
        <f t="shared" si="1"/>
        <v>0</v>
      </c>
      <c r="D190" s="91">
        <v>0.0</v>
      </c>
      <c r="E190" s="48">
        <f t="shared" si="2"/>
        <v>0</v>
      </c>
      <c r="F190" s="70">
        <f t="shared" si="3"/>
        <v>0</v>
      </c>
      <c r="G190" s="85" t="s">
        <v>26</v>
      </c>
      <c r="H190" s="85">
        <v>1.0</v>
      </c>
      <c r="I190" s="55" t="str">
        <f>HYPERLINK("http://www.gov.ms/statement-by-minister-of-health-social-services-hon-charles-t-kirnon-two-new-confirmed-cases-of-covid-19/","Source")</f>
        <v>Source</v>
      </c>
      <c r="J190" s="28"/>
      <c r="K190" s="29"/>
      <c r="L190" s="91">
        <v>7.0</v>
      </c>
      <c r="M190" s="91">
        <v>0.0</v>
      </c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30.0" customHeight="1">
      <c r="A191" s="37" t="s">
        <v>361</v>
      </c>
      <c r="B191" s="91">
        <v>6.0</v>
      </c>
      <c r="C191" s="45">
        <v>0.0</v>
      </c>
      <c r="D191" s="91">
        <v>0.0</v>
      </c>
      <c r="E191" s="48">
        <f t="shared" si="2"/>
        <v>0</v>
      </c>
      <c r="F191" s="70">
        <f t="shared" si="3"/>
        <v>0</v>
      </c>
      <c r="G191" s="85" t="s">
        <v>26</v>
      </c>
      <c r="H191" s="85">
        <v>4.0</v>
      </c>
      <c r="I191" s="55" t="str">
        <f>HYPERLINK("https://www.journaldesaintbarth.com/actualites/conseil-territorial/lobjectif-cest-de-rassurer-la-population-et-obtenir-la-levee-du-confinement--202004042028.html","Source")</f>
        <v>Source</v>
      </c>
      <c r="J191" s="28"/>
      <c r="K191" s="29"/>
      <c r="L191" s="91">
        <v>6.0</v>
      </c>
      <c r="M191" s="91">
        <v>0.0</v>
      </c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30.0" customHeight="1">
      <c r="A192" s="37" t="s">
        <v>362</v>
      </c>
      <c r="B192" s="91">
        <v>6.0</v>
      </c>
      <c r="C192" s="45">
        <f t="shared" ref="C192:C209" si="4">MINUS(B192,L192)</f>
        <v>0</v>
      </c>
      <c r="D192" s="91">
        <v>1.0</v>
      </c>
      <c r="E192" s="48">
        <f t="shared" si="2"/>
        <v>0</v>
      </c>
      <c r="F192" s="70">
        <f t="shared" si="3"/>
        <v>0.1666666667</v>
      </c>
      <c r="G192" s="85">
        <v>0.0</v>
      </c>
      <c r="H192" s="85">
        <v>2.0</v>
      </c>
      <c r="I192" s="55" t="str">
        <f>HYPERLINK("http://www.sante.gov.mr/?p=3872","Source")</f>
        <v>Source</v>
      </c>
      <c r="J192" s="28"/>
      <c r="K192" s="29"/>
      <c r="L192" s="91">
        <v>6.0</v>
      </c>
      <c r="M192" s="91">
        <v>1.0</v>
      </c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30.0" customHeight="1">
      <c r="A193" s="37" t="s">
        <v>363</v>
      </c>
      <c r="B193" s="91">
        <v>5.0</v>
      </c>
      <c r="C193" s="45">
        <f t="shared" si="4"/>
        <v>0</v>
      </c>
      <c r="D193" s="91">
        <v>1.0</v>
      </c>
      <c r="E193" s="48">
        <f t="shared" si="2"/>
        <v>0</v>
      </c>
      <c r="F193" s="70">
        <f t="shared" si="3"/>
        <v>0.2</v>
      </c>
      <c r="G193" s="85" t="s">
        <v>26</v>
      </c>
      <c r="H193" s="85">
        <v>0.0</v>
      </c>
      <c r="I193" s="55" t="str">
        <f>HYPERLINK("https://gov.tc/moh/coronavirus/news/79-confirmed-covid-19-patient-passes-away","Source")</f>
        <v>Source</v>
      </c>
      <c r="J193" s="28"/>
      <c r="K193" s="56" t="s">
        <v>29</v>
      </c>
      <c r="L193" s="91">
        <v>5.0</v>
      </c>
      <c r="M193" s="91">
        <v>1.0</v>
      </c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30.0" customHeight="1">
      <c r="A194" s="37" t="s">
        <v>234</v>
      </c>
      <c r="B194" s="91">
        <v>5.0</v>
      </c>
      <c r="C194" s="45">
        <f t="shared" si="4"/>
        <v>0</v>
      </c>
      <c r="D194" s="91">
        <v>1.0</v>
      </c>
      <c r="E194" s="48">
        <f t="shared" si="2"/>
        <v>0</v>
      </c>
      <c r="F194" s="42">
        <f t="shared" si="3"/>
        <v>0.2</v>
      </c>
      <c r="G194" s="85">
        <v>2.0</v>
      </c>
      <c r="H194" s="85">
        <v>1.0</v>
      </c>
      <c r="I194" s="55" t="str">
        <f>HYPERLINK("https://www.laprensa.com.ni/2020/04/04/nacionales/2659389-dos-de-los-casos-confirmados-con-covid-19-en-nicaragua-estan-delicados-de-salud-asegura-el-minsa","Source")</f>
        <v>Source</v>
      </c>
      <c r="J194" s="28"/>
      <c r="K194" s="29"/>
      <c r="L194" s="91">
        <v>5.0</v>
      </c>
      <c r="M194" s="91">
        <v>1.0</v>
      </c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27.75" customHeight="1">
      <c r="A195" s="37" t="s">
        <v>364</v>
      </c>
      <c r="B195" s="91">
        <v>5.0</v>
      </c>
      <c r="C195" s="148">
        <f t="shared" si="4"/>
        <v>0</v>
      </c>
      <c r="D195" s="91">
        <v>0.0</v>
      </c>
      <c r="E195" s="48">
        <f t="shared" si="2"/>
        <v>0</v>
      </c>
      <c r="F195" s="70">
        <f t="shared" si="3"/>
        <v>0</v>
      </c>
      <c r="G195" s="85" t="s">
        <v>26</v>
      </c>
      <c r="H195" s="85">
        <v>2.0</v>
      </c>
      <c r="I195" s="55" t="str">
        <f>HYPERLINK("http://www.bbs.bt/news/?p=130632","Source")</f>
        <v>Source</v>
      </c>
      <c r="J195" s="28"/>
      <c r="K195" s="29"/>
      <c r="L195" s="91">
        <v>5.0</v>
      </c>
      <c r="M195" s="91">
        <v>0.0</v>
      </c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30.0" customHeight="1">
      <c r="A196" s="37" t="s">
        <v>365</v>
      </c>
      <c r="B196" s="91">
        <v>5.0</v>
      </c>
      <c r="C196" s="45">
        <f t="shared" si="4"/>
        <v>0</v>
      </c>
      <c r="D196" s="91">
        <v>1.0</v>
      </c>
      <c r="E196" s="48">
        <f t="shared" si="2"/>
        <v>0</v>
      </c>
      <c r="F196" s="42">
        <f t="shared" si="3"/>
        <v>0.2</v>
      </c>
      <c r="G196" s="85" t="s">
        <v>26</v>
      </c>
      <c r="H196" s="85">
        <v>0.0</v>
      </c>
      <c r="I196" s="55" t="str">
        <f>HYPERLINK("https://www.breakingbelizenews.com/2020/04/05/belize-records-first-covid-19-death/","Source")</f>
        <v>Source</v>
      </c>
      <c r="J196" s="28"/>
      <c r="K196" s="29"/>
      <c r="L196" s="91">
        <v>5.0</v>
      </c>
      <c r="M196" s="91">
        <v>1.0</v>
      </c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30.0" customHeight="1">
      <c r="A197" s="37" t="s">
        <v>18</v>
      </c>
      <c r="B197" s="91">
        <v>9.0</v>
      </c>
      <c r="C197" s="45">
        <f t="shared" si="4"/>
        <v>0</v>
      </c>
      <c r="D197" s="91">
        <v>0.0</v>
      </c>
      <c r="E197" s="48">
        <f t="shared" si="2"/>
        <v>0</v>
      </c>
      <c r="F197" s="42">
        <f t="shared" si="3"/>
        <v>0</v>
      </c>
      <c r="G197" s="85" t="s">
        <v>26</v>
      </c>
      <c r="H197" s="85" t="s">
        <v>26</v>
      </c>
      <c r="I197" s="55" t="str">
        <f>HYPERLINK("https://tass.com/world/1141003","Source")</f>
        <v>Source</v>
      </c>
      <c r="J197" s="28"/>
      <c r="K197" s="29"/>
      <c r="L197" s="91">
        <v>9.0</v>
      </c>
      <c r="M197" s="91">
        <v>0.0</v>
      </c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30.0" customHeight="1">
      <c r="A198" s="37" t="s">
        <v>366</v>
      </c>
      <c r="B198" s="91">
        <v>4.0</v>
      </c>
      <c r="C198" s="45">
        <f t="shared" si="4"/>
        <v>0</v>
      </c>
      <c r="D198" s="91">
        <v>1.0</v>
      </c>
      <c r="E198" s="48">
        <f t="shared" si="2"/>
        <v>0</v>
      </c>
      <c r="F198" s="42">
        <f t="shared" si="3"/>
        <v>0.25</v>
      </c>
      <c r="G198" s="85" t="s">
        <v>26</v>
      </c>
      <c r="H198" s="85">
        <v>2.0</v>
      </c>
      <c r="I198" s="55" t="str">
        <f>HYPERLINK("https://twitter.com/MohGambia/status/1245795164221734914","Source")</f>
        <v>Source</v>
      </c>
      <c r="J198" s="28"/>
      <c r="K198" s="56" t="s">
        <v>29</v>
      </c>
      <c r="L198" s="91">
        <v>4.0</v>
      </c>
      <c r="M198" s="91">
        <v>1.0</v>
      </c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27.75" customHeight="1">
      <c r="A199" s="37" t="s">
        <v>367</v>
      </c>
      <c r="B199" s="91">
        <v>4.0</v>
      </c>
      <c r="C199" s="45">
        <f t="shared" si="4"/>
        <v>0</v>
      </c>
      <c r="D199" s="91">
        <v>1.0</v>
      </c>
      <c r="E199" s="48">
        <f t="shared" si="2"/>
        <v>0</v>
      </c>
      <c r="F199" s="42">
        <f t="shared" si="3"/>
        <v>0.25</v>
      </c>
      <c r="G199" s="85" t="s">
        <v>26</v>
      </c>
      <c r="H199" s="85" t="s">
        <v>26</v>
      </c>
      <c r="I199" s="55" t="str">
        <f>HYPERLINK("https://www.facebook.com/OfficialSlumberTsogwane/photos/a.402477790274613/815064412349280/?type=3&amp;theater","Source")</f>
        <v>Source</v>
      </c>
      <c r="J199" s="28"/>
      <c r="K199" s="29"/>
      <c r="L199" s="91">
        <v>4.0</v>
      </c>
      <c r="M199" s="91">
        <v>1.0</v>
      </c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30.0" customHeight="1">
      <c r="A200" s="37" t="s">
        <v>368</v>
      </c>
      <c r="B200" s="91">
        <v>4.0</v>
      </c>
      <c r="C200" s="45">
        <f t="shared" si="4"/>
        <v>0</v>
      </c>
      <c r="D200" s="91">
        <v>0.0</v>
      </c>
      <c r="E200" s="48">
        <f t="shared" si="2"/>
        <v>0</v>
      </c>
      <c r="F200" s="42">
        <f t="shared" si="3"/>
        <v>0</v>
      </c>
      <c r="G200" s="85" t="s">
        <v>26</v>
      </c>
      <c r="H200" s="85" t="s">
        <v>26</v>
      </c>
      <c r="I200" s="55" t="str">
        <f>HYPERLINK("https://pbs.twimg.com/media/EU1dY7XXgAEuJIr.jpg","Source")</f>
        <v>Source</v>
      </c>
      <c r="J200" s="28"/>
      <c r="K200" s="29"/>
      <c r="L200" s="91">
        <v>4.0</v>
      </c>
      <c r="M200" s="91">
        <v>0.0</v>
      </c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30.0" customHeight="1">
      <c r="A201" s="37" t="s">
        <v>369</v>
      </c>
      <c r="B201" s="91">
        <v>4.0</v>
      </c>
      <c r="C201" s="45">
        <f t="shared" si="4"/>
        <v>0</v>
      </c>
      <c r="D201" s="91">
        <v>0.0</v>
      </c>
      <c r="E201" s="48">
        <f t="shared" si="2"/>
        <v>0</v>
      </c>
      <c r="F201" s="42">
        <f t="shared" si="3"/>
        <v>0</v>
      </c>
      <c r="G201" s="85" t="s">
        <v>26</v>
      </c>
      <c r="H201" s="85" t="s">
        <v>26</v>
      </c>
      <c r="I201" s="55" t="str">
        <f>HYPERLINK("https://www.nyasatimes.com/malawi-records-another-covid-19-patient-says-minister-of-health/","Source")</f>
        <v>Source</v>
      </c>
      <c r="J201" s="28"/>
      <c r="K201" s="29"/>
      <c r="L201" s="91">
        <v>4.0</v>
      </c>
      <c r="M201" s="91">
        <v>0.0</v>
      </c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30.0" customHeight="1">
      <c r="A202" s="37" t="s">
        <v>370</v>
      </c>
      <c r="B202" s="91">
        <v>3.0</v>
      </c>
      <c r="C202" s="45">
        <f t="shared" si="4"/>
        <v>0</v>
      </c>
      <c r="D202" s="91">
        <v>0.0</v>
      </c>
      <c r="E202" s="48">
        <f t="shared" si="2"/>
        <v>0</v>
      </c>
      <c r="F202" s="42">
        <f t="shared" si="3"/>
        <v>0</v>
      </c>
      <c r="G202" s="85" t="s">
        <v>26</v>
      </c>
      <c r="H202" s="85">
        <v>0.0</v>
      </c>
      <c r="I202" s="55" t="str">
        <f>HYPERLINK("https://bvi.gov.vg/covid-19","Source")</f>
        <v>Source</v>
      </c>
      <c r="J202" s="28"/>
      <c r="K202" s="29"/>
      <c r="L202" s="91">
        <v>3.0</v>
      </c>
      <c r="M202" s="91">
        <v>0.0</v>
      </c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30.0" customHeight="1">
      <c r="A203" s="37" t="s">
        <v>371</v>
      </c>
      <c r="B203" s="91">
        <v>3.0</v>
      </c>
      <c r="C203" s="45">
        <f t="shared" si="4"/>
        <v>0</v>
      </c>
      <c r="D203" s="91">
        <v>0.0</v>
      </c>
      <c r="E203" s="48">
        <f t="shared" si="2"/>
        <v>0</v>
      </c>
      <c r="F203" s="42">
        <f t="shared" si="3"/>
        <v>0</v>
      </c>
      <c r="G203" s="85" t="s">
        <v>26</v>
      </c>
      <c r="H203" s="85" t="s">
        <v>26</v>
      </c>
      <c r="I203" s="55" t="str">
        <f>HYPERLINK("https://beatcovid19.ai/","Source")</f>
        <v>Source</v>
      </c>
      <c r="J203" s="28"/>
      <c r="K203" s="29"/>
      <c r="L203" s="91">
        <v>3.0</v>
      </c>
      <c r="M203" s="91">
        <v>0.0</v>
      </c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30.0" customHeight="1">
      <c r="A204" s="37" t="s">
        <v>372</v>
      </c>
      <c r="B204" s="91">
        <v>3.0</v>
      </c>
      <c r="C204" s="45">
        <f t="shared" si="4"/>
        <v>0</v>
      </c>
      <c r="D204" s="91">
        <v>0.0</v>
      </c>
      <c r="E204" s="48">
        <f t="shared" si="2"/>
        <v>0</v>
      </c>
      <c r="F204" s="42">
        <f t="shared" si="3"/>
        <v>0</v>
      </c>
      <c r="G204" s="85" t="s">
        <v>26</v>
      </c>
      <c r="H204" s="85" t="s">
        <v>26</v>
      </c>
      <c r="I204" s="55" t="str">
        <f>HYPERLINK("https://www.iwacu-burundi.org/covid-19-le-burundi-enregistre-son-troisieme-cas/","Source")</f>
        <v>Source</v>
      </c>
      <c r="J204" s="28"/>
      <c r="K204" s="29"/>
      <c r="L204" s="91">
        <v>3.0</v>
      </c>
      <c r="M204" s="91">
        <v>0.0</v>
      </c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30.0" customHeight="1">
      <c r="A205" s="37" t="s">
        <v>373</v>
      </c>
      <c r="B205" s="91">
        <v>2.0</v>
      </c>
      <c r="C205" s="45">
        <f t="shared" si="4"/>
        <v>0</v>
      </c>
      <c r="D205" s="91">
        <v>0.0</v>
      </c>
      <c r="E205" s="48">
        <f t="shared" si="2"/>
        <v>0</v>
      </c>
      <c r="F205" s="42">
        <f t="shared" si="3"/>
        <v>0</v>
      </c>
      <c r="G205" s="85">
        <v>0.0</v>
      </c>
      <c r="H205" s="85">
        <v>0.0</v>
      </c>
      <c r="I205" s="55" t="str">
        <f>HYPERLINK("https://twitter.com/FalklandsinUK/status/1246867711298351106","Source")</f>
        <v>Source</v>
      </c>
      <c r="J205" s="28"/>
      <c r="K205" s="29"/>
      <c r="L205" s="91">
        <v>2.0</v>
      </c>
      <c r="M205" s="91">
        <v>0.0</v>
      </c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30.0" customHeight="1">
      <c r="A206" s="37" t="s">
        <v>374</v>
      </c>
      <c r="B206" s="91">
        <v>1.0</v>
      </c>
      <c r="C206" s="45">
        <f t="shared" si="4"/>
        <v>0</v>
      </c>
      <c r="D206" s="91">
        <v>0.0</v>
      </c>
      <c r="E206" s="48">
        <f t="shared" si="2"/>
        <v>0</v>
      </c>
      <c r="F206" s="70">
        <f t="shared" si="3"/>
        <v>0</v>
      </c>
      <c r="G206" s="85" t="s">
        <v>26</v>
      </c>
      <c r="H206" s="85" t="s">
        <v>26</v>
      </c>
      <c r="I206" s="55" t="str">
        <f>HYPERLINK("https://asiapacificreport.nz/2020/03/22/timor-leste-health-ministry-urges-calm-over-first-positive-covid-19-case/","Source")</f>
        <v>Source</v>
      </c>
      <c r="J206" s="28"/>
      <c r="K206" s="29"/>
      <c r="L206" s="91">
        <v>1.0</v>
      </c>
      <c r="M206" s="91">
        <v>0.0</v>
      </c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30.0" customHeight="1">
      <c r="A207" s="37" t="s">
        <v>375</v>
      </c>
      <c r="B207" s="91">
        <v>1.0</v>
      </c>
      <c r="C207" s="45">
        <f t="shared" si="4"/>
        <v>0</v>
      </c>
      <c r="D207" s="91">
        <v>0.0</v>
      </c>
      <c r="E207" s="48">
        <f t="shared" si="2"/>
        <v>0</v>
      </c>
      <c r="F207" s="70">
        <f t="shared" si="3"/>
        <v>0</v>
      </c>
      <c r="G207" s="85" t="s">
        <v>26</v>
      </c>
      <c r="H207" s="85" t="s">
        <v>26</v>
      </c>
      <c r="I207" s="55" t="str">
        <f>HYPERLINK("https://uk.reuters.com/article/healthcare-coronavirus-southsudan/south-sudan-confirms-first-case-of-coronavirus-idUKL8N2BT05N","Source")</f>
        <v>Source</v>
      </c>
      <c r="J207" s="28"/>
      <c r="K207" s="29"/>
      <c r="L207" s="91">
        <v>1.0</v>
      </c>
      <c r="M207" s="91">
        <v>0.0</v>
      </c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30.0" customHeight="1">
      <c r="A208" s="151" t="s">
        <v>376</v>
      </c>
      <c r="B208" s="152">
        <v>1.0</v>
      </c>
      <c r="C208" s="45">
        <f t="shared" si="4"/>
        <v>0</v>
      </c>
      <c r="D208" s="152">
        <v>0.0</v>
      </c>
      <c r="E208" s="48">
        <f t="shared" si="2"/>
        <v>0</v>
      </c>
      <c r="F208" s="153">
        <f t="shared" si="3"/>
        <v>0</v>
      </c>
      <c r="G208" s="154" t="s">
        <v>26</v>
      </c>
      <c r="H208" s="154">
        <v>0.0</v>
      </c>
      <c r="I208" s="155" t="str">
        <f>HYPERLINK("https://postcourier.com.pg/passenger-who-came-in-contact-with-covid-19-patient-is-doing-well/","Source")</f>
        <v>Source</v>
      </c>
      <c r="J208" s="124"/>
      <c r="K208" s="156"/>
      <c r="L208" s="152">
        <v>1.0</v>
      </c>
      <c r="M208" s="152">
        <v>0.0</v>
      </c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</row>
    <row r="209" ht="12.75" customHeight="1">
      <c r="A209" s="157" t="s">
        <v>237</v>
      </c>
      <c r="B209" s="158"/>
      <c r="C209" s="159">
        <f t="shared" si="4"/>
        <v>0</v>
      </c>
      <c r="D209" s="158"/>
      <c r="E209" s="160">
        <f t="shared" si="2"/>
        <v>0</v>
      </c>
      <c r="F209" s="161"/>
      <c r="G209" s="161"/>
      <c r="H209" s="161"/>
      <c r="I209" s="162"/>
      <c r="J209" s="53"/>
      <c r="K209" s="133"/>
      <c r="L209" s="158"/>
      <c r="M209" s="158"/>
      <c r="N209" s="53"/>
      <c r="O209" s="158">
        <v>4823.0</v>
      </c>
      <c r="P209" s="158">
        <v>324.0</v>
      </c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30.0" customHeight="1">
      <c r="A210" s="163" t="s">
        <v>57</v>
      </c>
      <c r="B210" s="164">
        <f>sum(B7:B209, O209)</f>
        <v>1347845</v>
      </c>
      <c r="C210" s="165">
        <f>SUM(C7:C209)</f>
        <v>107</v>
      </c>
      <c r="D210" s="166">
        <f>sum(D7:D209, P209)</f>
        <v>74748</v>
      </c>
      <c r="E210" s="167">
        <f>SUM(E7:E209)</f>
        <v>6</v>
      </c>
      <c r="F210" s="168">
        <f>DIVIDE(D210, B210)</f>
        <v>0.05545741536</v>
      </c>
      <c r="G210" s="169">
        <f t="shared" ref="G210:H210" si="5">sum(G7:G208)</f>
        <v>39428</v>
      </c>
      <c r="H210" s="170">
        <f t="shared" si="5"/>
        <v>279098</v>
      </c>
      <c r="I210" s="171"/>
      <c r="J210" s="28"/>
      <c r="K210" s="29"/>
      <c r="L210" s="164">
        <f>sum(L7:L209, Y209)</f>
        <v>1342915</v>
      </c>
      <c r="M210" s="166">
        <f>sum(M7:M209, Y209)</f>
        <v>74418</v>
      </c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30.0" customHeight="1">
      <c r="A211" s="172"/>
      <c r="B211" s="173" t="s">
        <v>7</v>
      </c>
      <c r="C211" s="174" t="s">
        <v>8</v>
      </c>
      <c r="D211" s="175" t="s">
        <v>10</v>
      </c>
      <c r="E211" s="176" t="s">
        <v>11</v>
      </c>
      <c r="F211" s="176" t="s">
        <v>245</v>
      </c>
      <c r="G211" s="177" t="s">
        <v>13</v>
      </c>
      <c r="H211" s="178" t="s">
        <v>14</v>
      </c>
      <c r="I211" s="173"/>
      <c r="J211" s="107"/>
      <c r="K211" s="179"/>
      <c r="L211" s="173" t="s">
        <v>7</v>
      </c>
      <c r="M211" s="175" t="s">
        <v>10</v>
      </c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</sheetData>
  <mergeCells count="3">
    <mergeCell ref="C3:D3"/>
    <mergeCell ref="E3:G3"/>
    <mergeCell ref="C4:D4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  <col customWidth="1" min="14" max="14" width="3.71"/>
    <col customWidth="1" min="15" max="15" width="12.71"/>
    <col customWidth="1" min="16" max="17" width="10.14"/>
    <col customWidth="1" min="18" max="18" width="11.71"/>
    <col customWidth="1" min="19" max="20" width="8.29"/>
  </cols>
  <sheetData>
    <row r="1" ht="27.75" customHeight="1">
      <c r="A1" s="2" t="s">
        <v>0</v>
      </c>
      <c r="I1" s="2"/>
      <c r="J1" s="4"/>
      <c r="K1" s="4"/>
      <c r="N1" s="4"/>
      <c r="O1" s="4"/>
      <c r="P1" s="6"/>
      <c r="Q1" s="6"/>
      <c r="R1" s="6"/>
      <c r="S1" s="4"/>
      <c r="T1" s="4"/>
    </row>
    <row r="2">
      <c r="A2" s="3" t="s">
        <v>1</v>
      </c>
      <c r="B2" s="3" t="s">
        <v>2</v>
      </c>
      <c r="C2" s="5" t="s">
        <v>3</v>
      </c>
      <c r="D2" s="3"/>
      <c r="E2" s="11" t="s">
        <v>4</v>
      </c>
      <c r="H2" s="7"/>
      <c r="I2" s="8"/>
      <c r="J2" s="4"/>
      <c r="K2" s="4"/>
      <c r="L2" s="3" t="s">
        <v>2</v>
      </c>
      <c r="M2" s="3"/>
      <c r="N2" s="4"/>
      <c r="O2" s="4"/>
      <c r="P2" s="6"/>
      <c r="Q2" s="6"/>
      <c r="R2" s="6"/>
      <c r="S2" s="4"/>
      <c r="T2" s="4"/>
    </row>
    <row r="3">
      <c r="A3" s="13">
        <f>SUM(B66, B68)</f>
        <v>366848</v>
      </c>
      <c r="B3" s="13">
        <f>SUM(D66, D68)</f>
        <v>10915</v>
      </c>
      <c r="C3" s="14">
        <f>SUM(H66, H68)</f>
        <v>16438</v>
      </c>
      <c r="D3" s="13"/>
      <c r="E3" s="15">
        <f>MINUS(A3,B3 + C3)</f>
        <v>339495</v>
      </c>
      <c r="F3" s="15"/>
      <c r="G3" s="5"/>
      <c r="H3" s="7"/>
      <c r="I3" s="8"/>
      <c r="J3" s="4"/>
      <c r="K3" s="4"/>
      <c r="L3" s="13">
        <f>SUM(N66, N68)</f>
        <v>0</v>
      </c>
      <c r="M3" s="13"/>
      <c r="N3" s="4"/>
      <c r="O3" s="4"/>
      <c r="P3" s="6"/>
      <c r="Q3" s="6"/>
      <c r="R3" s="6"/>
      <c r="S3" s="4"/>
      <c r="T3" s="4"/>
    </row>
    <row r="4">
      <c r="A4" s="17"/>
      <c r="B4" s="8"/>
      <c r="C4" s="8"/>
      <c r="D4" s="8"/>
      <c r="E4" s="8"/>
      <c r="F4" s="7"/>
      <c r="G4" s="7"/>
      <c r="H4" s="7"/>
      <c r="I4" s="8"/>
      <c r="J4" s="4"/>
      <c r="K4" s="4"/>
      <c r="L4" s="8"/>
      <c r="M4" s="8"/>
      <c r="N4" s="4"/>
      <c r="O4" s="4"/>
      <c r="P4" s="6"/>
      <c r="Q4" s="6"/>
      <c r="R4" s="6"/>
      <c r="S4" s="4"/>
      <c r="T4" s="4"/>
    </row>
    <row r="5" ht="30.0" customHeight="1">
      <c r="A5" s="20" t="s">
        <v>5</v>
      </c>
      <c r="B5" s="21" t="s">
        <v>7</v>
      </c>
      <c r="C5" s="22" t="s">
        <v>8</v>
      </c>
      <c r="D5" s="21" t="s">
        <v>10</v>
      </c>
      <c r="E5" s="24" t="s">
        <v>11</v>
      </c>
      <c r="F5" s="24" t="s">
        <v>12</v>
      </c>
      <c r="G5" s="26" t="s">
        <v>13</v>
      </c>
      <c r="H5" s="26" t="s">
        <v>14</v>
      </c>
      <c r="I5" s="21" t="s">
        <v>15</v>
      </c>
      <c r="J5" s="28"/>
      <c r="K5" s="28"/>
      <c r="L5" s="21" t="s">
        <v>7</v>
      </c>
      <c r="M5" s="21" t="s">
        <v>10</v>
      </c>
      <c r="N5" s="28"/>
      <c r="O5" s="31" t="s">
        <v>16</v>
      </c>
      <c r="P5" s="36" t="s">
        <v>7</v>
      </c>
      <c r="Q5" s="36" t="s">
        <v>10</v>
      </c>
      <c r="R5" s="36" t="s">
        <v>14</v>
      </c>
      <c r="S5" s="31"/>
      <c r="T5" s="31"/>
    </row>
    <row r="6" ht="30.0" customHeight="1">
      <c r="A6" s="39" t="s">
        <v>20</v>
      </c>
      <c r="B6" s="41">
        <v>130689.0</v>
      </c>
      <c r="C6" s="38">
        <f t="shared" ref="C6:C64" si="1">MINUS(B6,L6)</f>
        <v>0</v>
      </c>
      <c r="D6" s="41">
        <v>4758.0</v>
      </c>
      <c r="E6" s="40">
        <f t="shared" ref="E6:E64" si="2">MINUS(D6,M6)</f>
        <v>0</v>
      </c>
      <c r="F6" s="42">
        <f t="shared" ref="F6:F63" si="3">DIVIDE(D6, B6)</f>
        <v>0.03640704267</v>
      </c>
      <c r="G6" s="47">
        <v>4504.0</v>
      </c>
      <c r="H6" s="47">
        <v>13366.0</v>
      </c>
      <c r="I6" s="50" t="str">
        <f>HYPERLINK("https://twitter.com/NYGovCuomo/status/1247191855407566848","Source")</f>
        <v>Source</v>
      </c>
      <c r="J6" s="28"/>
      <c r="K6" s="28"/>
      <c r="L6" s="41">
        <v>130689.0</v>
      </c>
      <c r="M6" s="41">
        <v>4758.0</v>
      </c>
      <c r="N6" s="28"/>
      <c r="O6" s="52" t="s">
        <v>21</v>
      </c>
      <c r="P6" s="54">
        <v>1681.0</v>
      </c>
      <c r="Q6" s="54">
        <v>58.0</v>
      </c>
      <c r="R6" s="56">
        <v>830.0</v>
      </c>
      <c r="S6" s="59" t="str">
        <f>HYPERLINK("https://www.snohd.org/499/COVID-19-Case-Count-Info","Source")</f>
        <v>Source</v>
      </c>
      <c r="T6" s="61"/>
    </row>
    <row r="7" ht="27.75" customHeight="1">
      <c r="A7" s="63" t="s">
        <v>23</v>
      </c>
      <c r="B7" s="65">
        <v>41090.0</v>
      </c>
      <c r="C7" s="38">
        <f t="shared" si="1"/>
        <v>0</v>
      </c>
      <c r="D7" s="66">
        <v>1003.0</v>
      </c>
      <c r="E7" s="60">
        <f t="shared" si="2"/>
        <v>0</v>
      </c>
      <c r="F7" s="70">
        <f t="shared" si="3"/>
        <v>0.02440983208</v>
      </c>
      <c r="G7" s="72" t="s">
        <v>26</v>
      </c>
      <c r="H7" s="72" t="s">
        <v>26</v>
      </c>
      <c r="I7" s="74" t="str">
        <f>HYPERLINK("https://www.nj.gov/health/cd/topics/covid2019_dashboard.shtml","Source")</f>
        <v>Source</v>
      </c>
      <c r="J7" s="28"/>
      <c r="K7" s="56" t="s">
        <v>29</v>
      </c>
      <c r="L7" s="65">
        <v>41090.0</v>
      </c>
      <c r="M7" s="66">
        <v>1003.0</v>
      </c>
      <c r="N7" s="56"/>
      <c r="O7" s="52" t="s">
        <v>30</v>
      </c>
      <c r="P7" s="56">
        <v>717.0</v>
      </c>
      <c r="Q7" s="56">
        <v>12.0</v>
      </c>
      <c r="R7" s="56" t="s">
        <v>26</v>
      </c>
      <c r="S7" s="59" t="str">
        <f>HYPERLINK("https://twitter.com/TPCHD","Source")</f>
        <v>Source</v>
      </c>
      <c r="T7" s="59" t="str">
        <f>HYPERLINK("https://www.tpchd.org/healthy-people/diseases/covid-19-pierce-county-cases","Source")</f>
        <v>Source</v>
      </c>
    </row>
    <row r="8" ht="27.75" customHeight="1">
      <c r="A8" s="63" t="s">
        <v>32</v>
      </c>
      <c r="B8" s="65">
        <v>17221.0</v>
      </c>
      <c r="C8" s="38">
        <f t="shared" si="1"/>
        <v>0</v>
      </c>
      <c r="D8" s="66">
        <v>727.0</v>
      </c>
      <c r="E8" s="60">
        <f t="shared" si="2"/>
        <v>0</v>
      </c>
      <c r="F8" s="42">
        <f t="shared" si="3"/>
        <v>0.04221589919</v>
      </c>
      <c r="G8" s="72" t="s">
        <v>26</v>
      </c>
      <c r="H8" s="72" t="s">
        <v>26</v>
      </c>
      <c r="I8" s="74" t="str">
        <f>HYPERLINK("https://www.michigan.gov/coronavirus/0,9753,7-406-98163_98173---,00.html","Source")</f>
        <v>Source</v>
      </c>
      <c r="J8" s="28"/>
      <c r="K8" s="56" t="s">
        <v>29</v>
      </c>
      <c r="L8" s="65">
        <v>17221.0</v>
      </c>
      <c r="M8" s="66">
        <v>727.0</v>
      </c>
      <c r="N8" s="56"/>
      <c r="O8" s="52" t="s">
        <v>35</v>
      </c>
      <c r="P8" s="56">
        <v>12.0</v>
      </c>
      <c r="Q8" s="56">
        <v>0.0</v>
      </c>
      <c r="R8" s="56" t="s">
        <v>26</v>
      </c>
      <c r="S8" s="59" t="str">
        <f>HYPERLINK("https://kimatv.com/news/local/12-total-cases-of-covid-19-confirmed-in-kittitas-county","Source")</f>
        <v>Source</v>
      </c>
      <c r="T8" s="77"/>
    </row>
    <row r="9" ht="30.0" customHeight="1">
      <c r="A9" s="33" t="s">
        <v>38</v>
      </c>
      <c r="B9" s="35">
        <v>16342.0</v>
      </c>
      <c r="C9" s="38">
        <f t="shared" si="1"/>
        <v>0</v>
      </c>
      <c r="D9" s="58">
        <v>385.0</v>
      </c>
      <c r="E9" s="60">
        <f t="shared" si="2"/>
        <v>0</v>
      </c>
      <c r="F9" s="42">
        <f t="shared" si="3"/>
        <v>0.02355892792</v>
      </c>
      <c r="G9" s="72">
        <v>597.0</v>
      </c>
      <c r="H9" s="46">
        <v>1.0</v>
      </c>
      <c r="I9" s="49" t="str">
        <f>HYPERLINK("https://www.latimes.com/projects/california-coronavirus-cases-tracking-outbreak/","Source")</f>
        <v>Source</v>
      </c>
      <c r="J9" s="75"/>
      <c r="K9" s="56" t="s">
        <v>39</v>
      </c>
      <c r="L9" s="35">
        <v>16342.0</v>
      </c>
      <c r="M9" s="58">
        <v>385.0</v>
      </c>
      <c r="N9" s="56"/>
      <c r="O9" s="52" t="s">
        <v>40</v>
      </c>
      <c r="P9" s="56">
        <v>115.0</v>
      </c>
      <c r="Q9" s="56">
        <v>2.0</v>
      </c>
      <c r="R9" s="56">
        <v>14.0</v>
      </c>
      <c r="S9" s="59" t="str">
        <f>HYPERLINK("http://granthealth.org/updates-for-covid-19-in-grant-county/","Source")</f>
        <v>Source</v>
      </c>
      <c r="T9" s="77"/>
    </row>
    <row r="10" ht="27.75" customHeight="1">
      <c r="A10" s="63" t="s">
        <v>43</v>
      </c>
      <c r="B10" s="65">
        <v>14867.0</v>
      </c>
      <c r="C10" s="38">
        <f t="shared" si="1"/>
        <v>0</v>
      </c>
      <c r="D10" s="66">
        <v>512.0</v>
      </c>
      <c r="E10" s="60">
        <f t="shared" si="2"/>
        <v>0</v>
      </c>
      <c r="F10" s="42">
        <f t="shared" si="3"/>
        <v>0.03443868972</v>
      </c>
      <c r="G10" s="79">
        <v>563.0</v>
      </c>
      <c r="H10" s="72" t="s">
        <v>26</v>
      </c>
      <c r="I10" s="74" t="str">
        <f>HYPERLINK("http://ldh.la.gov/coronavirus/","Source")</f>
        <v>Source</v>
      </c>
      <c r="J10" s="28"/>
      <c r="K10" s="28"/>
      <c r="L10" s="65">
        <v>14867.0</v>
      </c>
      <c r="M10" s="66">
        <v>512.0</v>
      </c>
      <c r="N10" s="28"/>
      <c r="O10" s="52" t="s">
        <v>45</v>
      </c>
      <c r="P10" s="56">
        <v>363.0</v>
      </c>
      <c r="Q10" s="56">
        <v>12.0</v>
      </c>
      <c r="R10" s="56" t="s">
        <v>26</v>
      </c>
      <c r="S10" s="59" t="str">
        <f>HYPERLINK("https://www.yakimacounty.us/2323/COVID-19","Source")</f>
        <v>Source</v>
      </c>
      <c r="T10" s="81"/>
    </row>
    <row r="11" ht="27.75" customHeight="1">
      <c r="A11" s="63" t="s">
        <v>47</v>
      </c>
      <c r="B11" s="65">
        <v>13837.0</v>
      </c>
      <c r="C11" s="38">
        <f t="shared" si="1"/>
        <v>0</v>
      </c>
      <c r="D11" s="66">
        <v>260.0</v>
      </c>
      <c r="E11" s="60">
        <f t="shared" si="2"/>
        <v>0</v>
      </c>
      <c r="F11" s="70">
        <f t="shared" si="3"/>
        <v>0.01879020019</v>
      </c>
      <c r="G11" s="72" t="s">
        <v>26</v>
      </c>
      <c r="H11" s="72" t="s">
        <v>26</v>
      </c>
      <c r="I11" s="74" t="str">
        <f>HYPERLINK("https://www.mass.gov/doc/covid-19-cases-in-massachusetts-as-of-april-6-2020/download","Source")</f>
        <v>Source</v>
      </c>
      <c r="J11" s="28"/>
      <c r="K11" s="56" t="s">
        <v>29</v>
      </c>
      <c r="L11" s="65">
        <v>13837.0</v>
      </c>
      <c r="M11" s="66">
        <v>260.0</v>
      </c>
      <c r="N11" s="56"/>
      <c r="O11" s="52" t="s">
        <v>50</v>
      </c>
      <c r="P11" s="56">
        <v>228.0</v>
      </c>
      <c r="Q11" s="56">
        <v>19.0</v>
      </c>
      <c r="R11" s="56" t="s">
        <v>26</v>
      </c>
      <c r="S11" s="59" t="str">
        <f>HYPERLINK("https://www.whatcomcounty.us/3329/Novel-Coronavirus-COVID-19#case","Source")</f>
        <v>Source</v>
      </c>
      <c r="T11" s="77"/>
    </row>
    <row r="12" ht="30.0" customHeight="1">
      <c r="A12" s="33" t="s">
        <v>52</v>
      </c>
      <c r="B12" s="35">
        <v>13629.0</v>
      </c>
      <c r="C12" s="38">
        <f t="shared" si="1"/>
        <v>0</v>
      </c>
      <c r="D12" s="58">
        <v>254.0</v>
      </c>
      <c r="E12" s="60">
        <f t="shared" si="2"/>
        <v>0</v>
      </c>
      <c r="F12" s="42">
        <f t="shared" si="3"/>
        <v>0.0186367305</v>
      </c>
      <c r="G12" s="72" t="s">
        <v>26</v>
      </c>
      <c r="H12" s="72" t="s">
        <v>26</v>
      </c>
      <c r="I12" s="49" t="str">
        <f>HYPERLINK("https://experience.arcgis.com/experience/96dd742462124fa0b38ddedb9b25e429","Source")</f>
        <v>Source</v>
      </c>
      <c r="J12" s="75"/>
      <c r="K12" s="56" t="s">
        <v>39</v>
      </c>
      <c r="L12" s="35">
        <v>13629.0</v>
      </c>
      <c r="M12" s="58">
        <v>254.0</v>
      </c>
      <c r="N12" s="56"/>
      <c r="O12" s="52" t="s">
        <v>55</v>
      </c>
      <c r="P12" s="54">
        <v>3331.0</v>
      </c>
      <c r="Q12" s="56">
        <v>222.0</v>
      </c>
      <c r="R12" s="56" t="s">
        <v>26</v>
      </c>
      <c r="S12" s="59" t="str">
        <f>HYPERLINK("https://kingcounty.gov/depts/health/communicable-diseases/disease-control/novel-coronavirus.aspx","Source")</f>
        <v>Source</v>
      </c>
      <c r="T12" s="56"/>
    </row>
    <row r="13" ht="27.75" customHeight="1">
      <c r="A13" s="63" t="s">
        <v>56</v>
      </c>
      <c r="B13" s="65">
        <v>13097.0</v>
      </c>
      <c r="C13" s="38">
        <f t="shared" si="1"/>
        <v>0</v>
      </c>
      <c r="D13" s="66">
        <v>162.0</v>
      </c>
      <c r="E13" s="60">
        <f t="shared" si="2"/>
        <v>0</v>
      </c>
      <c r="F13" s="70">
        <f t="shared" si="3"/>
        <v>0.01236924487</v>
      </c>
      <c r="G13" s="72" t="s">
        <v>26</v>
      </c>
      <c r="H13" s="72" t="s">
        <v>26</v>
      </c>
      <c r="I13" s="74" t="str">
        <f>HYPERLINK("https://public.flourish.studio/visualisation/1658682/?utm_source=embed&amp;utm_campaign=visualisation/1658682","Source")</f>
        <v>Source</v>
      </c>
      <c r="J13" s="75"/>
      <c r="K13" s="56" t="s">
        <v>29</v>
      </c>
      <c r="L13" s="65">
        <v>13097.0</v>
      </c>
      <c r="M13" s="66">
        <v>162.0</v>
      </c>
      <c r="N13" s="56"/>
      <c r="O13" s="52" t="s">
        <v>59</v>
      </c>
      <c r="P13" s="54">
        <v>222.0</v>
      </c>
      <c r="Q13" s="56">
        <v>12.0</v>
      </c>
      <c r="R13" s="56" t="s">
        <v>26</v>
      </c>
      <c r="S13" s="59" t="str">
        <f>HYPERLINK("https://srhd.org/covid19","Source")</f>
        <v>Source</v>
      </c>
      <c r="T13" s="56"/>
    </row>
    <row r="14" ht="27.75" customHeight="1">
      <c r="A14" s="63" t="s">
        <v>60</v>
      </c>
      <c r="B14" s="65">
        <v>12262.0</v>
      </c>
      <c r="C14" s="38">
        <f t="shared" si="1"/>
        <v>0</v>
      </c>
      <c r="D14" s="66">
        <v>307.0</v>
      </c>
      <c r="E14" s="60">
        <f t="shared" si="2"/>
        <v>0</v>
      </c>
      <c r="F14" s="70">
        <f t="shared" si="3"/>
        <v>0.02503669874</v>
      </c>
      <c r="G14" s="72" t="s">
        <v>26</v>
      </c>
      <c r="H14" s="72">
        <v>2.0</v>
      </c>
      <c r="I14" s="74" t="str">
        <f>HYPERLINK("https://www2.illinois.gov/IISNews/21348-Public_Health_Officials_Announce_715_New_Cases_of_Coronavirus_Disease_.pdf","Source")</f>
        <v>Source</v>
      </c>
      <c r="J14" s="28"/>
      <c r="K14" s="56" t="s">
        <v>29</v>
      </c>
      <c r="L14" s="65">
        <v>12262.0</v>
      </c>
      <c r="M14" s="66">
        <v>307.0</v>
      </c>
      <c r="N14" s="56"/>
      <c r="O14" s="52" t="s">
        <v>61</v>
      </c>
      <c r="P14" s="54">
        <v>142.0</v>
      </c>
      <c r="Q14" s="56">
        <v>5.0</v>
      </c>
      <c r="R14" s="56" t="s">
        <v>26</v>
      </c>
      <c r="S14" s="59" t="str">
        <f>HYPERLINK("https://www.islandcountywa.gov/Health/Pages/COVID-19.aspx","Source")</f>
        <v>Source</v>
      </c>
      <c r="T14" s="56"/>
    </row>
    <row r="15" ht="30.0" customHeight="1">
      <c r="A15" s="63" t="s">
        <v>16</v>
      </c>
      <c r="B15" s="65">
        <v>8824.0</v>
      </c>
      <c r="C15" s="38">
        <f t="shared" si="1"/>
        <v>0</v>
      </c>
      <c r="D15" s="66">
        <v>377.0</v>
      </c>
      <c r="E15" s="60">
        <f t="shared" si="2"/>
        <v>0</v>
      </c>
      <c r="F15" s="70">
        <f t="shared" si="3"/>
        <v>0.04272438803</v>
      </c>
      <c r="G15" s="72" t="s">
        <v>26</v>
      </c>
      <c r="H15" s="72">
        <v>844.0</v>
      </c>
      <c r="I15" s="95"/>
      <c r="J15" s="28"/>
      <c r="K15" s="56" t="s">
        <v>29</v>
      </c>
      <c r="L15" s="65">
        <v>8824.0</v>
      </c>
      <c r="M15" s="66">
        <v>377.0</v>
      </c>
      <c r="N15" s="56"/>
      <c r="O15" s="52" t="s">
        <v>65</v>
      </c>
      <c r="P15" s="54">
        <v>224.0</v>
      </c>
      <c r="Q15" s="56">
        <v>17.0</v>
      </c>
      <c r="R15" s="56" t="s">
        <v>26</v>
      </c>
      <c r="S15" s="59" t="str">
        <f>HYPERLINK("https://www.bfhd.wa.gov/cms/One.aspx?portalId=10766056&amp;pageId=16584954","Source")</f>
        <v>Source</v>
      </c>
      <c r="T15" s="56"/>
    </row>
    <row r="16" ht="30.0" customHeight="1">
      <c r="A16" s="63" t="s">
        <v>67</v>
      </c>
      <c r="B16" s="65">
        <v>7558.0</v>
      </c>
      <c r="C16" s="38">
        <f t="shared" si="1"/>
        <v>0</v>
      </c>
      <c r="D16" s="66">
        <v>294.0</v>
      </c>
      <c r="E16" s="60">
        <f t="shared" si="2"/>
        <v>0</v>
      </c>
      <c r="F16" s="42">
        <f t="shared" si="3"/>
        <v>0.03889917968</v>
      </c>
      <c r="G16" s="72" t="s">
        <v>26</v>
      </c>
      <c r="H16" s="72" t="s">
        <v>26</v>
      </c>
      <c r="I16" s="74" t="str">
        <f>HYPERLINK("https://dph.georgia.gov/covid-19-daily-status-report","Source")</f>
        <v>Source</v>
      </c>
      <c r="J16" s="75"/>
      <c r="K16" s="56" t="s">
        <v>69</v>
      </c>
      <c r="L16" s="65">
        <v>7558.0</v>
      </c>
      <c r="M16" s="66">
        <v>294.0</v>
      </c>
      <c r="N16" s="56"/>
      <c r="O16" s="52" t="s">
        <v>70</v>
      </c>
      <c r="P16" s="54">
        <v>1697.0</v>
      </c>
      <c r="Q16" s="56">
        <v>17.0</v>
      </c>
      <c r="R16" s="56" t="s">
        <v>26</v>
      </c>
      <c r="S16" s="59" t="str">
        <f>HYPERLINK("https://www.doh.wa.gov/Emergencies/Coronavirus","Source")</f>
        <v>Source</v>
      </c>
      <c r="T16" s="56"/>
    </row>
    <row r="17" ht="30.0" customHeight="1">
      <c r="A17" s="33" t="s">
        <v>72</v>
      </c>
      <c r="B17" s="35">
        <v>8073.0</v>
      </c>
      <c r="C17" s="38">
        <f t="shared" si="1"/>
        <v>0</v>
      </c>
      <c r="D17" s="58">
        <v>149.0</v>
      </c>
      <c r="E17" s="60">
        <f t="shared" si="2"/>
        <v>0</v>
      </c>
      <c r="F17" s="70">
        <f t="shared" si="3"/>
        <v>0.01845658367</v>
      </c>
      <c r="G17" s="46" t="s">
        <v>26</v>
      </c>
      <c r="H17" s="72" t="s">
        <v>26</v>
      </c>
      <c r="I17" s="49" t="str">
        <f>HYPERLINK("https://www.houstonchronicle.com/coronavirus/article/texas-coronavirus-map-cases-houston-covid-19-15137466.php","Source")</f>
        <v>Source</v>
      </c>
      <c r="J17" s="75"/>
      <c r="K17" s="28"/>
      <c r="L17" s="35">
        <v>8073.0</v>
      </c>
      <c r="M17" s="58">
        <v>149.0</v>
      </c>
      <c r="N17" s="28"/>
      <c r="O17" s="52" t="s">
        <v>74</v>
      </c>
      <c r="P17" s="54">
        <v>92.0</v>
      </c>
      <c r="Q17" s="56">
        <v>1.0</v>
      </c>
      <c r="R17" s="56" t="s">
        <v>26</v>
      </c>
      <c r="S17" s="59" t="str">
        <f>HYPERLINK("https://www.bfhd.wa.gov/cms/One.aspx?portalId=10766056&amp;pageId=16584954","Source")</f>
        <v>Source</v>
      </c>
      <c r="T17" s="28"/>
    </row>
    <row r="18" ht="27.75" customHeight="1">
      <c r="A18" s="63" t="s">
        <v>75</v>
      </c>
      <c r="B18" s="65">
        <v>6906.0</v>
      </c>
      <c r="C18" s="38">
        <f t="shared" si="1"/>
        <v>0</v>
      </c>
      <c r="D18" s="66">
        <v>206.0</v>
      </c>
      <c r="E18" s="60">
        <f t="shared" si="2"/>
        <v>0</v>
      </c>
      <c r="F18" s="70">
        <f t="shared" si="3"/>
        <v>0.02982913409</v>
      </c>
      <c r="G18" s="72" t="s">
        <v>26</v>
      </c>
      <c r="H18" s="72" t="s">
        <v>26</v>
      </c>
      <c r="I18" s="74" t="str">
        <f>HYPERLINK("https://portal.ct.gov/-/media/Coronavirus/CTDPHCOVID19summary4062020.pdf?la=en","Source")</f>
        <v>Source</v>
      </c>
      <c r="J18" s="28"/>
      <c r="K18" s="56" t="s">
        <v>29</v>
      </c>
      <c r="L18" s="65">
        <v>6906.0</v>
      </c>
      <c r="M18" s="66">
        <v>206.0</v>
      </c>
      <c r="N18" s="56"/>
      <c r="O18" s="52" t="s">
        <v>77</v>
      </c>
      <c r="P18" s="104">
        <f t="shared" ref="P18:R18" si="4">SUM(P6:P17)</f>
        <v>8824</v>
      </c>
      <c r="Q18" s="104">
        <f t="shared" si="4"/>
        <v>377</v>
      </c>
      <c r="R18" s="36">
        <f t="shared" si="4"/>
        <v>844</v>
      </c>
      <c r="S18" s="56"/>
      <c r="T18" s="56"/>
    </row>
    <row r="19" ht="27.75" customHeight="1">
      <c r="A19" s="63" t="s">
        <v>79</v>
      </c>
      <c r="B19" s="65">
        <v>5172.0</v>
      </c>
      <c r="C19" s="38">
        <f t="shared" si="1"/>
        <v>0</v>
      </c>
      <c r="D19" s="66">
        <v>148.0</v>
      </c>
      <c r="E19" s="60">
        <f t="shared" si="2"/>
        <v>0</v>
      </c>
      <c r="F19" s="42">
        <f t="shared" si="3"/>
        <v>0.02861562258</v>
      </c>
      <c r="G19" s="72" t="s">
        <v>26</v>
      </c>
      <c r="H19" s="72" t="s">
        <v>26</v>
      </c>
      <c r="I19" s="74" t="str">
        <f>HYPERLINK("https://twitter.com/JoeStGeorge/status/1247254653105995777","Source")</f>
        <v>Source</v>
      </c>
      <c r="J19" s="28"/>
      <c r="K19" s="28"/>
      <c r="L19" s="65">
        <v>5172.0</v>
      </c>
      <c r="M19" s="66">
        <v>148.0</v>
      </c>
      <c r="N19" s="28"/>
      <c r="O19" s="105"/>
      <c r="P19" s="29"/>
      <c r="Q19" s="29"/>
      <c r="R19" s="29"/>
      <c r="S19" s="28"/>
      <c r="T19" s="28"/>
    </row>
    <row r="20" ht="30.0" customHeight="1">
      <c r="A20" s="33" t="s">
        <v>83</v>
      </c>
      <c r="B20" s="35">
        <v>4944.0</v>
      </c>
      <c r="C20" s="38">
        <f t="shared" si="1"/>
        <v>0</v>
      </c>
      <c r="D20" s="35">
        <v>139.0</v>
      </c>
      <c r="E20" s="40">
        <f t="shared" si="2"/>
        <v>0</v>
      </c>
      <c r="F20" s="42">
        <f t="shared" si="3"/>
        <v>0.02811488673</v>
      </c>
      <c r="G20" s="44" t="s">
        <v>26</v>
      </c>
      <c r="H20" s="72" t="s">
        <v>26</v>
      </c>
      <c r="I20" s="49" t="str">
        <f>HYPERLINK("https://twitter.com/StateHealthIN/status/1247167247904366592","Source")</f>
        <v>Source</v>
      </c>
      <c r="J20" s="28"/>
      <c r="K20" s="56" t="s">
        <v>29</v>
      </c>
      <c r="L20" s="35">
        <v>4944.0</v>
      </c>
      <c r="M20" s="35">
        <v>139.0</v>
      </c>
      <c r="N20" s="56"/>
      <c r="O20" s="52"/>
      <c r="P20" s="56"/>
      <c r="Q20" s="56"/>
      <c r="R20" s="56"/>
      <c r="S20" s="56"/>
      <c r="T20" s="56"/>
    </row>
    <row r="21" ht="27.75" customHeight="1">
      <c r="A21" s="63" t="s">
        <v>86</v>
      </c>
      <c r="B21" s="65">
        <v>4450.0</v>
      </c>
      <c r="C21" s="38">
        <f t="shared" si="1"/>
        <v>0</v>
      </c>
      <c r="D21" s="66">
        <v>142.0</v>
      </c>
      <c r="E21" s="60">
        <f t="shared" si="2"/>
        <v>0</v>
      </c>
      <c r="F21" s="70">
        <f t="shared" si="3"/>
        <v>0.03191011236</v>
      </c>
      <c r="G21" s="72">
        <v>371.0</v>
      </c>
      <c r="H21" s="72" t="s">
        <v>26</v>
      </c>
      <c r="I21" s="74" t="str">
        <f>HYPERLINK("https://coronavirus.ohio.gov/wps/portal/gov/covid-19/home","Source")</f>
        <v>Source</v>
      </c>
      <c r="J21" s="28"/>
      <c r="K21" s="28"/>
      <c r="L21" s="65">
        <v>4450.0</v>
      </c>
      <c r="M21" s="66">
        <v>142.0</v>
      </c>
      <c r="N21" s="28"/>
      <c r="O21" s="28"/>
      <c r="P21" s="29"/>
      <c r="Q21" s="29"/>
      <c r="R21" s="29"/>
      <c r="S21" s="28"/>
      <c r="T21" s="28"/>
    </row>
    <row r="22" ht="27.75" customHeight="1">
      <c r="A22" s="63" t="s">
        <v>89</v>
      </c>
      <c r="B22" s="65">
        <v>4045.0</v>
      </c>
      <c r="C22" s="38">
        <f t="shared" si="1"/>
        <v>0</v>
      </c>
      <c r="D22" s="66">
        <v>91.0</v>
      </c>
      <c r="E22" s="60">
        <f t="shared" si="2"/>
        <v>0</v>
      </c>
      <c r="F22" s="70">
        <f t="shared" si="3"/>
        <v>0.02249690977</v>
      </c>
      <c r="G22" s="44" t="s">
        <v>26</v>
      </c>
      <c r="H22" s="72">
        <v>184.0</v>
      </c>
      <c r="I22" s="74" t="str">
        <f>HYPERLINK("https://twitter.com/MDHealthDept/status/1246809292986081286","Source")</f>
        <v>Source</v>
      </c>
      <c r="J22" s="28"/>
      <c r="K22" s="56" t="s">
        <v>29</v>
      </c>
      <c r="L22" s="65">
        <v>4045.0</v>
      </c>
      <c r="M22" s="66">
        <v>91.0</v>
      </c>
      <c r="N22" s="56"/>
      <c r="O22" s="56"/>
      <c r="P22" s="56"/>
      <c r="Q22" s="56"/>
      <c r="R22" s="56"/>
      <c r="S22" s="56"/>
      <c r="T22" s="56"/>
    </row>
    <row r="23" ht="27.75" customHeight="1">
      <c r="A23" s="63" t="s">
        <v>93</v>
      </c>
      <c r="B23" s="65">
        <v>3802.0</v>
      </c>
      <c r="C23" s="38">
        <f t="shared" si="1"/>
        <v>0</v>
      </c>
      <c r="D23" s="66">
        <v>65.0</v>
      </c>
      <c r="E23" s="60">
        <f t="shared" si="2"/>
        <v>0</v>
      </c>
      <c r="F23" s="42">
        <f t="shared" si="3"/>
        <v>0.01709626512</v>
      </c>
      <c r="G23" s="72" t="s">
        <v>26</v>
      </c>
      <c r="H23" s="72">
        <v>356.0</v>
      </c>
      <c r="I23" s="74" t="str">
        <f>HYPERLINK("https://www.tn.gov/health/cedep/ncov.html","Source")</f>
        <v>Source</v>
      </c>
      <c r="J23" s="28"/>
      <c r="K23" s="28"/>
      <c r="L23" s="65">
        <v>3802.0</v>
      </c>
      <c r="M23" s="66">
        <v>65.0</v>
      </c>
      <c r="N23" s="28"/>
      <c r="O23" s="28"/>
      <c r="P23" s="29"/>
      <c r="Q23" s="29"/>
      <c r="R23" s="29"/>
      <c r="S23" s="28"/>
      <c r="T23" s="28"/>
    </row>
    <row r="24" ht="30.0" customHeight="1">
      <c r="A24" s="33" t="s">
        <v>97</v>
      </c>
      <c r="B24" s="35">
        <v>3039.0</v>
      </c>
      <c r="C24" s="38">
        <f t="shared" si="1"/>
        <v>0</v>
      </c>
      <c r="D24" s="35">
        <v>48.0</v>
      </c>
      <c r="E24" s="40">
        <f t="shared" si="2"/>
        <v>0</v>
      </c>
      <c r="F24" s="70">
        <f t="shared" si="3"/>
        <v>0.0157946693</v>
      </c>
      <c r="G24" s="44" t="s">
        <v>26</v>
      </c>
      <c r="H24" s="72" t="s">
        <v>26</v>
      </c>
      <c r="I24" s="49" t="str">
        <f>HYPERLINK("https://www.newsobserver.com/news/local/article241168731.html","Source")</f>
        <v>Source</v>
      </c>
      <c r="J24" s="75"/>
      <c r="K24" s="28"/>
      <c r="L24" s="35">
        <v>3039.0</v>
      </c>
      <c r="M24" s="35">
        <v>48.0</v>
      </c>
      <c r="N24" s="28"/>
      <c r="O24" s="28"/>
      <c r="P24" s="29"/>
      <c r="Q24" s="29"/>
      <c r="R24" s="29"/>
      <c r="S24" s="28"/>
      <c r="T24" s="28"/>
    </row>
    <row r="25" ht="30.0" customHeight="1">
      <c r="A25" s="33" t="s">
        <v>100</v>
      </c>
      <c r="B25" s="35">
        <v>2878.0</v>
      </c>
      <c r="C25" s="38">
        <f t="shared" si="1"/>
        <v>0</v>
      </c>
      <c r="D25" s="35">
        <v>54.0</v>
      </c>
      <c r="E25" s="40">
        <f t="shared" si="2"/>
        <v>0</v>
      </c>
      <c r="F25" s="70">
        <f t="shared" si="3"/>
        <v>0.01876302988</v>
      </c>
      <c r="G25" s="44" t="s">
        <v>26</v>
      </c>
      <c r="H25" s="72" t="s">
        <v>26</v>
      </c>
      <c r="I25" s="49" t="str">
        <f>HYPERLINK("http://www.vdh.virginia.gov/coronavirus/","Source")</f>
        <v>Source</v>
      </c>
      <c r="J25" s="28"/>
      <c r="K25" s="56" t="s">
        <v>29</v>
      </c>
      <c r="L25" s="35">
        <v>2878.0</v>
      </c>
      <c r="M25" s="35">
        <v>54.0</v>
      </c>
      <c r="N25" s="56"/>
      <c r="O25" s="56"/>
      <c r="P25" s="56"/>
      <c r="Q25" s="56"/>
      <c r="R25" s="56"/>
      <c r="S25" s="56"/>
      <c r="T25" s="56"/>
    </row>
    <row r="26" ht="30.0" customHeight="1">
      <c r="A26" s="33" t="s">
        <v>104</v>
      </c>
      <c r="B26" s="35">
        <v>2737.0</v>
      </c>
      <c r="C26" s="38">
        <f t="shared" si="1"/>
        <v>0</v>
      </c>
      <c r="D26" s="35">
        <v>59.0</v>
      </c>
      <c r="E26" s="40">
        <f t="shared" si="2"/>
        <v>0</v>
      </c>
      <c r="F26" s="42">
        <f t="shared" si="3"/>
        <v>0.02155644867</v>
      </c>
      <c r="G26" s="44" t="s">
        <v>26</v>
      </c>
      <c r="H26" s="72" t="s">
        <v>26</v>
      </c>
      <c r="I26" s="49" t="str">
        <f>HYPERLINK("https://www.kshb.com/news/coronavirus/covid-19-case-tracker-where-we-stand-in-mo-ks-nationwide","Source")</f>
        <v>Source</v>
      </c>
      <c r="J26" s="75"/>
      <c r="K26" s="28"/>
      <c r="L26" s="35">
        <v>2737.0</v>
      </c>
      <c r="M26" s="35">
        <v>59.0</v>
      </c>
      <c r="N26" s="28"/>
      <c r="O26" s="28"/>
      <c r="P26" s="29"/>
      <c r="Q26" s="29"/>
      <c r="R26" s="29"/>
      <c r="S26" s="28"/>
      <c r="T26" s="28"/>
    </row>
    <row r="27" ht="27.75" customHeight="1">
      <c r="A27" s="63" t="s">
        <v>107</v>
      </c>
      <c r="B27" s="65">
        <v>2456.0</v>
      </c>
      <c r="C27" s="38">
        <f t="shared" si="1"/>
        <v>0</v>
      </c>
      <c r="D27" s="66">
        <v>65.0</v>
      </c>
      <c r="E27" s="60">
        <f t="shared" si="2"/>
        <v>0</v>
      </c>
      <c r="F27" s="70">
        <f t="shared" si="3"/>
        <v>0.02646579805</v>
      </c>
      <c r="G27" s="44" t="s">
        <v>26</v>
      </c>
      <c r="H27" s="72" t="s">
        <v>26</v>
      </c>
      <c r="I27" s="74" t="str">
        <f>HYPERLINK("https://www.azdhs.gov/preparedness/epidemiology-disease-control/infectious-disease-epidemiology/index.php#novel-coronavirus-home","Source")</f>
        <v>Source</v>
      </c>
      <c r="J27" s="28"/>
      <c r="K27" s="28"/>
      <c r="L27" s="65">
        <v>2456.0</v>
      </c>
      <c r="M27" s="66">
        <v>65.0</v>
      </c>
      <c r="N27" s="28"/>
      <c r="O27" s="28"/>
      <c r="P27" s="29"/>
      <c r="Q27" s="29"/>
      <c r="R27" s="29"/>
      <c r="S27" s="28"/>
      <c r="T27" s="28"/>
    </row>
    <row r="28" ht="27.75" customHeight="1">
      <c r="A28" s="63" t="s">
        <v>111</v>
      </c>
      <c r="B28" s="65">
        <v>2440.0</v>
      </c>
      <c r="C28" s="38">
        <f t="shared" si="1"/>
        <v>0</v>
      </c>
      <c r="D28" s="66">
        <v>77.0</v>
      </c>
      <c r="E28" s="60">
        <f t="shared" si="2"/>
        <v>0</v>
      </c>
      <c r="F28" s="42">
        <f t="shared" si="3"/>
        <v>0.03155737705</v>
      </c>
      <c r="G28" s="44" t="s">
        <v>26</v>
      </c>
      <c r="H28" s="72">
        <v>16.0</v>
      </c>
      <c r="I28" s="74" t="str">
        <f>HYPERLINK("https://www.dhs.wisconsin.gov/outbreaks/index.htm","Source")</f>
        <v>Source</v>
      </c>
      <c r="J28" s="28"/>
      <c r="K28" s="28"/>
      <c r="L28" s="65">
        <v>2440.0</v>
      </c>
      <c r="M28" s="66">
        <v>77.0</v>
      </c>
      <c r="N28" s="28"/>
      <c r="O28" s="28"/>
      <c r="P28" s="29"/>
      <c r="Q28" s="29"/>
      <c r="R28" s="29"/>
      <c r="S28" s="28"/>
      <c r="T28" s="28"/>
    </row>
    <row r="29" ht="30.0" customHeight="1">
      <c r="A29" s="33" t="s">
        <v>113</v>
      </c>
      <c r="B29" s="35">
        <v>2232.0</v>
      </c>
      <c r="C29" s="38">
        <f t="shared" si="1"/>
        <v>0</v>
      </c>
      <c r="D29" s="35">
        <v>48.0</v>
      </c>
      <c r="E29" s="40">
        <f t="shared" si="2"/>
        <v>0</v>
      </c>
      <c r="F29" s="70">
        <f t="shared" si="3"/>
        <v>0.02150537634</v>
      </c>
      <c r="G29" s="44" t="s">
        <v>26</v>
      </c>
      <c r="H29" s="72" t="s">
        <v>26</v>
      </c>
      <c r="I29" s="49" t="str">
        <f>HYPERLINK("https://scdhec.gov/infectious-diseases/viruses/coronavirus-disease-2019-covid-19/testing-sc-data-covid-19","Source")</f>
        <v>Source</v>
      </c>
      <c r="J29" s="28"/>
      <c r="K29" s="56" t="s">
        <v>29</v>
      </c>
      <c r="L29" s="35">
        <v>2232.0</v>
      </c>
      <c r="M29" s="35">
        <v>48.0</v>
      </c>
      <c r="N29" s="56"/>
      <c r="O29" s="56"/>
      <c r="P29" s="56"/>
      <c r="Q29" s="56"/>
      <c r="R29" s="56"/>
      <c r="S29" s="56"/>
      <c r="T29" s="56"/>
    </row>
    <row r="30" ht="27.75" customHeight="1">
      <c r="A30" s="63" t="s">
        <v>116</v>
      </c>
      <c r="B30" s="65">
        <v>2006.0</v>
      </c>
      <c r="C30" s="38">
        <f t="shared" si="1"/>
        <v>0</v>
      </c>
      <c r="D30" s="66">
        <v>32.0</v>
      </c>
      <c r="E30" s="60">
        <f t="shared" si="2"/>
        <v>0</v>
      </c>
      <c r="F30" s="42">
        <f t="shared" si="3"/>
        <v>0.01595214357</v>
      </c>
      <c r="G30" s="44" t="s">
        <v>26</v>
      </c>
      <c r="H30" s="72" t="s">
        <v>26</v>
      </c>
      <c r="I30" s="74" t="str">
        <f>HYPERLINK("https://alpublichealth.maps.arcgis.com/apps/opsdashboard/index.html#/6d2771faa9da4a2786a509d82c8cf0f7","Source")</f>
        <v>Source</v>
      </c>
      <c r="J30" s="75"/>
      <c r="K30" s="56" t="s">
        <v>39</v>
      </c>
      <c r="L30" s="65">
        <v>2006.0</v>
      </c>
      <c r="M30" s="66">
        <v>32.0</v>
      </c>
      <c r="N30" s="56"/>
      <c r="O30" s="56"/>
      <c r="P30" s="56"/>
      <c r="Q30" s="56"/>
      <c r="R30" s="56"/>
      <c r="S30" s="56"/>
      <c r="T30" s="56"/>
    </row>
    <row r="31" ht="27.75" customHeight="1">
      <c r="A31" s="63" t="s">
        <v>120</v>
      </c>
      <c r="B31" s="65">
        <v>1953.0</v>
      </c>
      <c r="C31" s="38">
        <f t="shared" si="1"/>
        <v>0</v>
      </c>
      <c r="D31" s="66">
        <v>58.0</v>
      </c>
      <c r="E31" s="60">
        <f t="shared" si="2"/>
        <v>0</v>
      </c>
      <c r="F31" s="42">
        <f t="shared" si="3"/>
        <v>0.02969790067</v>
      </c>
      <c r="G31" s="44" t="s">
        <v>26</v>
      </c>
      <c r="H31" s="72">
        <v>26.0</v>
      </c>
      <c r="I31" s="74" t="str">
        <f>HYPERLINK("https://app.powerbigov.us/view?r=eyJrIjoiMjA2ZThiOWUtM2FlNS00MGY5LWFmYjUtNmQwNTQ3Nzg5N2I2IiwidCI6ImU0YTM0MGU2LWI4OWUtNGU2OC04ZWFhLTE1NDRkMjcwMzk4MCJ9","Source")</f>
        <v>Source</v>
      </c>
      <c r="J31" s="75"/>
      <c r="K31" s="56" t="s">
        <v>39</v>
      </c>
      <c r="L31" s="65">
        <v>1953.0</v>
      </c>
      <c r="M31" s="66">
        <v>58.0</v>
      </c>
      <c r="N31" s="56"/>
      <c r="O31" s="56"/>
      <c r="P31" s="56"/>
      <c r="Q31" s="56"/>
      <c r="R31" s="56"/>
      <c r="S31" s="56"/>
      <c r="T31" s="56"/>
    </row>
    <row r="32" ht="27.75" customHeight="1">
      <c r="A32" s="63" t="s">
        <v>124</v>
      </c>
      <c r="B32" s="65">
        <v>1738.0</v>
      </c>
      <c r="C32" s="38">
        <f t="shared" si="1"/>
        <v>0</v>
      </c>
      <c r="D32" s="66">
        <v>51.0</v>
      </c>
      <c r="E32" s="60">
        <f t="shared" si="2"/>
        <v>0</v>
      </c>
      <c r="F32" s="42">
        <f t="shared" si="3"/>
        <v>0.02934407365</v>
      </c>
      <c r="G32" s="44" t="s">
        <v>26</v>
      </c>
      <c r="H32" s="72" t="s">
        <v>26</v>
      </c>
      <c r="I32" s="74" t="str">
        <f>HYPERLINK("https://twitter.com/msdh/status/1246815125576847362","Source")</f>
        <v>Source</v>
      </c>
      <c r="J32" s="28"/>
      <c r="K32" s="56" t="s">
        <v>29</v>
      </c>
      <c r="L32" s="65">
        <v>1738.0</v>
      </c>
      <c r="M32" s="66">
        <v>51.0</v>
      </c>
      <c r="N32" s="56"/>
      <c r="O32" s="56"/>
      <c r="P32" s="56"/>
      <c r="Q32" s="56"/>
      <c r="R32" s="56"/>
      <c r="S32" s="56"/>
      <c r="T32" s="56"/>
    </row>
    <row r="33" ht="30.0" customHeight="1">
      <c r="A33" s="33" t="s">
        <v>126</v>
      </c>
      <c r="B33" s="35">
        <v>1675.0</v>
      </c>
      <c r="C33" s="38">
        <f t="shared" si="1"/>
        <v>0</v>
      </c>
      <c r="D33" s="35">
        <v>13.0</v>
      </c>
      <c r="E33" s="40">
        <f t="shared" si="2"/>
        <v>0</v>
      </c>
      <c r="F33" s="70">
        <f t="shared" si="3"/>
        <v>0.00776119403</v>
      </c>
      <c r="G33" s="44" t="s">
        <v>26</v>
      </c>
      <c r="H33" s="72" t="s">
        <v>26</v>
      </c>
      <c r="I33" s="49" t="str">
        <f>HYPERLINK("https://coronavirus.utah.gov/case-counts/","Source")</f>
        <v>Source</v>
      </c>
      <c r="J33" s="28"/>
      <c r="K33" s="28"/>
      <c r="L33" s="35">
        <v>1675.0</v>
      </c>
      <c r="M33" s="35">
        <v>13.0</v>
      </c>
      <c r="N33" s="28"/>
      <c r="O33" s="28"/>
      <c r="P33" s="29"/>
      <c r="Q33" s="29"/>
      <c r="R33" s="29"/>
      <c r="S33" s="28"/>
      <c r="T33" s="28"/>
    </row>
    <row r="34" ht="30.0" customHeight="1">
      <c r="A34" s="33" t="s">
        <v>129</v>
      </c>
      <c r="B34" s="35">
        <v>1327.0</v>
      </c>
      <c r="C34" s="38">
        <f t="shared" si="1"/>
        <v>0</v>
      </c>
      <c r="D34" s="35">
        <v>51.0</v>
      </c>
      <c r="E34" s="40">
        <f t="shared" si="2"/>
        <v>0</v>
      </c>
      <c r="F34" s="70">
        <f t="shared" si="3"/>
        <v>0.03843255463</v>
      </c>
      <c r="G34" s="72" t="s">
        <v>26</v>
      </c>
      <c r="H34" s="46" t="s">
        <v>26</v>
      </c>
      <c r="I34" s="49" t="str">
        <f>HYPERLINK("https://coronavirus.health.ok.gov/","Source")</f>
        <v>Source</v>
      </c>
      <c r="J34" s="28"/>
      <c r="K34" s="28"/>
      <c r="L34" s="35">
        <v>1327.0</v>
      </c>
      <c r="M34" s="35">
        <v>51.0</v>
      </c>
      <c r="N34" s="28"/>
      <c r="O34" s="28"/>
      <c r="P34" s="29"/>
      <c r="Q34" s="29"/>
      <c r="R34" s="29"/>
      <c r="S34" s="28"/>
      <c r="T34" s="28"/>
    </row>
    <row r="35" ht="27.75" customHeight="1">
      <c r="A35" s="63" t="s">
        <v>133</v>
      </c>
      <c r="B35" s="65">
        <v>1170.0</v>
      </c>
      <c r="C35" s="38">
        <f t="shared" si="1"/>
        <v>0</v>
      </c>
      <c r="D35" s="66">
        <v>13.0</v>
      </c>
      <c r="E35" s="60">
        <f t="shared" si="2"/>
        <v>0</v>
      </c>
      <c r="F35" s="70">
        <f t="shared" si="3"/>
        <v>0.01111111111</v>
      </c>
      <c r="G35" s="72">
        <v>8.0</v>
      </c>
      <c r="H35" s="72" t="s">
        <v>26</v>
      </c>
      <c r="I35" s="74" t="str">
        <f>HYPERLINK("https://coronavirus.idaho.gov/","Source")</f>
        <v>Source</v>
      </c>
      <c r="J35" s="28"/>
      <c r="K35" s="28"/>
      <c r="L35" s="65">
        <v>1170.0</v>
      </c>
      <c r="M35" s="66">
        <v>13.0</v>
      </c>
      <c r="N35" s="28"/>
      <c r="O35" s="28"/>
      <c r="P35" s="29"/>
      <c r="Q35" s="29"/>
      <c r="R35" s="29"/>
      <c r="S35" s="28"/>
      <c r="T35" s="28"/>
    </row>
    <row r="36" ht="27.75" customHeight="1">
      <c r="A36" s="63" t="s">
        <v>136</v>
      </c>
      <c r="B36" s="65">
        <v>1132.0</v>
      </c>
      <c r="C36" s="38">
        <f t="shared" si="1"/>
        <v>0</v>
      </c>
      <c r="D36" s="66">
        <v>29.0</v>
      </c>
      <c r="E36" s="60">
        <f t="shared" si="2"/>
        <v>0</v>
      </c>
      <c r="F36" s="42">
        <f t="shared" si="3"/>
        <v>0.02561837456</v>
      </c>
      <c r="G36" s="44" t="s">
        <v>26</v>
      </c>
      <c r="H36" s="72" t="s">
        <v>26</v>
      </c>
      <c r="I36" s="74" t="str">
        <f>HYPERLINK("https://govstatus.egov.com/OR-OHA-COVID-19","Source")</f>
        <v>Source</v>
      </c>
      <c r="J36" s="28"/>
      <c r="K36" s="56" t="s">
        <v>29</v>
      </c>
      <c r="L36" s="65">
        <v>1132.0</v>
      </c>
      <c r="M36" s="66">
        <v>29.0</v>
      </c>
      <c r="N36" s="56"/>
      <c r="O36" s="56"/>
      <c r="P36" s="56"/>
      <c r="Q36" s="56"/>
      <c r="R36" s="56"/>
      <c r="S36" s="56"/>
      <c r="T36" s="56"/>
    </row>
    <row r="37" ht="27.75" customHeight="1">
      <c r="A37" s="63" t="s">
        <v>141</v>
      </c>
      <c r="B37" s="65">
        <v>1097.0</v>
      </c>
      <c r="C37" s="38">
        <f t="shared" si="1"/>
        <v>0</v>
      </c>
      <c r="D37" s="66">
        <v>24.0</v>
      </c>
      <c r="E37" s="60">
        <f t="shared" si="2"/>
        <v>0</v>
      </c>
      <c r="F37" s="42">
        <f t="shared" si="3"/>
        <v>0.02187784868</v>
      </c>
      <c r="G37" s="72" t="s">
        <v>26</v>
      </c>
      <c r="H37" s="72">
        <v>287.0</v>
      </c>
      <c r="I37" s="74" t="str">
        <f>HYPERLINK("https://coronavirus.dc.gov/page/coronavirus-data","Source")</f>
        <v>Source</v>
      </c>
      <c r="J37" s="28"/>
      <c r="K37" s="56" t="s">
        <v>29</v>
      </c>
      <c r="L37" s="65">
        <v>1097.0</v>
      </c>
      <c r="M37" s="66">
        <v>24.0</v>
      </c>
      <c r="N37" s="56"/>
      <c r="O37" s="56"/>
      <c r="P37" s="56"/>
      <c r="Q37" s="56"/>
      <c r="R37" s="56"/>
      <c r="S37" s="56"/>
      <c r="T37" s="56"/>
    </row>
    <row r="38" ht="27.75" customHeight="1">
      <c r="A38" s="63" t="s">
        <v>144</v>
      </c>
      <c r="B38" s="65">
        <v>1082.0</v>
      </c>
      <c r="C38" s="38">
        <f t="shared" si="1"/>
        <v>0</v>
      </c>
      <c r="D38" s="66">
        <v>27.0</v>
      </c>
      <c r="E38" s="60">
        <f t="shared" si="2"/>
        <v>0</v>
      </c>
      <c r="F38" s="42">
        <f t="shared" si="3"/>
        <v>0.02495378928</v>
      </c>
      <c r="G38" s="72">
        <v>37.0</v>
      </c>
      <c r="H38" s="72" t="s">
        <v>26</v>
      </c>
      <c r="I38" s="74" t="str">
        <f>HYPERLINK("https://health.ri.gov/data/covid-19/","Source")</f>
        <v>Source</v>
      </c>
      <c r="J38" s="28"/>
      <c r="K38" s="28"/>
      <c r="L38" s="65">
        <v>1082.0</v>
      </c>
      <c r="M38" s="66">
        <v>27.0</v>
      </c>
      <c r="N38" s="28"/>
      <c r="O38" s="28"/>
      <c r="P38" s="29"/>
      <c r="Q38" s="29"/>
      <c r="R38" s="29"/>
      <c r="S38" s="28"/>
      <c r="T38" s="28"/>
    </row>
    <row r="39" ht="27.75" customHeight="1">
      <c r="A39" s="63" t="s">
        <v>147</v>
      </c>
      <c r="B39" s="65">
        <v>1008.0</v>
      </c>
      <c r="C39" s="38">
        <f t="shared" si="1"/>
        <v>0</v>
      </c>
      <c r="D39" s="66">
        <v>59.0</v>
      </c>
      <c r="E39" s="60">
        <f t="shared" si="2"/>
        <v>0</v>
      </c>
      <c r="F39" s="70">
        <f t="shared" si="3"/>
        <v>0.05853174603</v>
      </c>
      <c r="G39" s="72" t="s">
        <v>26</v>
      </c>
      <c r="H39" s="72" t="s">
        <v>26</v>
      </c>
      <c r="I39" s="74" t="str">
        <f>HYPERLINK("https://govstatus.egov.com/kycovid19","Source")</f>
        <v>Source</v>
      </c>
      <c r="J39" s="28"/>
      <c r="K39" s="28"/>
      <c r="L39" s="65">
        <v>1008.0</v>
      </c>
      <c r="M39" s="66">
        <v>59.0</v>
      </c>
      <c r="N39" s="28"/>
      <c r="O39" s="28"/>
      <c r="P39" s="29"/>
      <c r="Q39" s="29"/>
      <c r="R39" s="29"/>
      <c r="S39" s="28"/>
      <c r="T39" s="28"/>
    </row>
    <row r="40" ht="30.0" customHeight="1">
      <c r="A40" s="33" t="s">
        <v>149</v>
      </c>
      <c r="B40" s="35">
        <v>986.0</v>
      </c>
      <c r="C40" s="38">
        <f t="shared" si="1"/>
        <v>0</v>
      </c>
      <c r="D40" s="35">
        <v>30.0</v>
      </c>
      <c r="E40" s="40">
        <f t="shared" si="2"/>
        <v>0</v>
      </c>
      <c r="F40" s="70">
        <f t="shared" si="3"/>
        <v>0.03042596349</v>
      </c>
      <c r="G40" s="44">
        <v>48.0</v>
      </c>
      <c r="H40" s="46">
        <v>470.0</v>
      </c>
      <c r="I40" s="49" t="str">
        <f>HYPERLINK("https://www.health.state.mn.us/diseases/coronavirus/situation.html","Source")</f>
        <v>Source</v>
      </c>
      <c r="J40" s="28"/>
      <c r="K40" s="28"/>
      <c r="L40" s="35">
        <v>986.0</v>
      </c>
      <c r="M40" s="35">
        <v>30.0</v>
      </c>
      <c r="N40" s="28"/>
      <c r="O40" s="28"/>
      <c r="P40" s="29"/>
      <c r="Q40" s="29"/>
      <c r="R40" s="29"/>
      <c r="S40" s="28"/>
      <c r="T40" s="28"/>
    </row>
    <row r="41" ht="27.75" customHeight="1">
      <c r="A41" s="63" t="s">
        <v>151</v>
      </c>
      <c r="B41" s="65">
        <v>946.0</v>
      </c>
      <c r="C41" s="38">
        <f t="shared" si="1"/>
        <v>0</v>
      </c>
      <c r="D41" s="66">
        <v>25.0</v>
      </c>
      <c r="E41" s="60">
        <f t="shared" si="2"/>
        <v>0</v>
      </c>
      <c r="F41" s="42">
        <f t="shared" si="3"/>
        <v>0.02642706131</v>
      </c>
      <c r="G41" s="72" t="s">
        <v>26</v>
      </c>
      <c r="H41" s="72" t="s">
        <v>26</v>
      </c>
      <c r="I41" s="74" t="str">
        <f>HYPERLINK("https://idph.iowa.gov/News/ArtMID/646/ArticleID/158327/Additional-COVID-19-cases-in-Iowa-Additional-Deaths-Confirmed-4620","Source")</f>
        <v>Source</v>
      </c>
      <c r="J41" s="28"/>
      <c r="K41" s="28"/>
      <c r="L41" s="65">
        <v>946.0</v>
      </c>
      <c r="M41" s="66">
        <v>25.0</v>
      </c>
      <c r="N41" s="28"/>
      <c r="O41" s="28"/>
      <c r="P41" s="29"/>
      <c r="Q41" s="29"/>
      <c r="R41" s="29"/>
      <c r="S41" s="28"/>
      <c r="T41" s="28"/>
    </row>
    <row r="42" ht="27.75" customHeight="1">
      <c r="A42" s="63" t="s">
        <v>154</v>
      </c>
      <c r="B42" s="65">
        <v>927.0</v>
      </c>
      <c r="C42" s="38">
        <f t="shared" si="1"/>
        <v>0</v>
      </c>
      <c r="D42" s="66">
        <v>16.0</v>
      </c>
      <c r="E42" s="60">
        <f t="shared" si="2"/>
        <v>0</v>
      </c>
      <c r="F42" s="42">
        <f t="shared" si="3"/>
        <v>0.01725997843</v>
      </c>
      <c r="G42" s="72">
        <v>23.0</v>
      </c>
      <c r="H42" s="72">
        <v>139.0</v>
      </c>
      <c r="I42" s="74" t="str">
        <f>HYPERLINK("https://adem.maps.arcgis.com/apps/opsdashboard/index.html#/f533ac8a8b6040e5896b05b47b17a647","Source")</f>
        <v>Source</v>
      </c>
      <c r="J42" s="28"/>
      <c r="K42" s="56" t="s">
        <v>155</v>
      </c>
      <c r="L42" s="65">
        <v>927.0</v>
      </c>
      <c r="M42" s="66">
        <v>16.0</v>
      </c>
      <c r="N42" s="56"/>
      <c r="O42" s="56"/>
      <c r="P42" s="56"/>
      <c r="Q42" s="56"/>
      <c r="R42" s="56"/>
      <c r="S42" s="56"/>
      <c r="T42" s="56"/>
    </row>
    <row r="43" ht="30.0" customHeight="1">
      <c r="A43" s="33" t="s">
        <v>157</v>
      </c>
      <c r="B43" s="35">
        <v>864.0</v>
      </c>
      <c r="C43" s="38">
        <f t="shared" si="1"/>
        <v>0</v>
      </c>
      <c r="D43" s="35">
        <v>25.0</v>
      </c>
      <c r="E43" s="40">
        <f t="shared" si="2"/>
        <v>0</v>
      </c>
      <c r="F43" s="70">
        <f t="shared" si="3"/>
        <v>0.02893518519</v>
      </c>
      <c r="G43" s="72" t="s">
        <v>26</v>
      </c>
      <c r="H43" s="72" t="s">
        <v>26</v>
      </c>
      <c r="I43" s="49" t="str">
        <f>HYPERLINK("https://public.tableau.com/profile/kdhe.epidemiology#!/vizhome/COVID-19Data_15851817634470/KSCOVID-19CaseData","Source")</f>
        <v>Source</v>
      </c>
      <c r="J43" s="28"/>
      <c r="K43" s="28"/>
      <c r="L43" s="35">
        <v>864.0</v>
      </c>
      <c r="M43" s="35">
        <v>25.0</v>
      </c>
      <c r="N43" s="28"/>
      <c r="O43" s="28"/>
      <c r="P43" s="29"/>
      <c r="Q43" s="29"/>
      <c r="R43" s="29"/>
      <c r="S43" s="28"/>
      <c r="T43" s="28"/>
    </row>
    <row r="44" ht="27.75" customHeight="1">
      <c r="A44" s="63" t="s">
        <v>159</v>
      </c>
      <c r="B44" s="65">
        <v>783.0</v>
      </c>
      <c r="C44" s="38">
        <f t="shared" si="1"/>
        <v>0</v>
      </c>
      <c r="D44" s="66">
        <v>15.0</v>
      </c>
      <c r="E44" s="60">
        <f t="shared" si="2"/>
        <v>0</v>
      </c>
      <c r="F44" s="42">
        <f t="shared" si="3"/>
        <v>0.01915708812</v>
      </c>
      <c r="G44" s="72" t="s">
        <v>26</v>
      </c>
      <c r="H44" s="72">
        <v>71.0</v>
      </c>
      <c r="I44" s="74" t="str">
        <f>HYPERLINK("https://coronavirus.delaware.gov/","Source")</f>
        <v>Source</v>
      </c>
      <c r="J44" s="28"/>
      <c r="K44" s="28"/>
      <c r="L44" s="65">
        <v>783.0</v>
      </c>
      <c r="M44" s="66">
        <v>15.0</v>
      </c>
      <c r="N44" s="28"/>
      <c r="O44" s="28"/>
      <c r="P44" s="29"/>
      <c r="Q44" s="29"/>
      <c r="R44" s="29"/>
      <c r="S44" s="28"/>
      <c r="T44" s="28"/>
    </row>
    <row r="45" ht="30.0" customHeight="1">
      <c r="A45" s="33" t="s">
        <v>160</v>
      </c>
      <c r="B45" s="35">
        <v>715.0</v>
      </c>
      <c r="C45" s="38">
        <f t="shared" si="1"/>
        <v>0</v>
      </c>
      <c r="D45" s="58">
        <v>9.0</v>
      </c>
      <c r="E45" s="60">
        <f t="shared" si="2"/>
        <v>0</v>
      </c>
      <c r="F45" s="70">
        <f t="shared" si="3"/>
        <v>0.01258741259</v>
      </c>
      <c r="G45" s="72" t="s">
        <v>26</v>
      </c>
      <c r="H45" s="72">
        <v>151.0</v>
      </c>
      <c r="I45" s="49" t="str">
        <f>HYPERLINK("https://twitter.com/mikesacconetv/status/1246584047352066048","Source")</f>
        <v>Source</v>
      </c>
      <c r="J45" s="28"/>
      <c r="K45" s="28"/>
      <c r="L45" s="35">
        <v>715.0</v>
      </c>
      <c r="M45" s="58">
        <v>9.0</v>
      </c>
      <c r="N45" s="28"/>
      <c r="O45" s="28"/>
      <c r="P45" s="29"/>
      <c r="Q45" s="29"/>
      <c r="R45" s="29"/>
      <c r="S45" s="28"/>
      <c r="T45" s="28"/>
    </row>
    <row r="46" ht="27.75" customHeight="1">
      <c r="A46" s="63" t="s">
        <v>162</v>
      </c>
      <c r="B46" s="65">
        <v>686.0</v>
      </c>
      <c r="C46" s="38">
        <f t="shared" si="1"/>
        <v>0</v>
      </c>
      <c r="D46" s="66">
        <v>12.0</v>
      </c>
      <c r="E46" s="60">
        <f t="shared" si="2"/>
        <v>0</v>
      </c>
      <c r="F46" s="42">
        <f t="shared" si="3"/>
        <v>0.01749271137</v>
      </c>
      <c r="G46" s="72" t="s">
        <v>26</v>
      </c>
      <c r="H46" s="72" t="s">
        <v>26</v>
      </c>
      <c r="I46" s="74" t="str">
        <f>HYPERLINK("https://cv.nmhealth.org/","Source")</f>
        <v>Source</v>
      </c>
      <c r="J46" s="28"/>
      <c r="K46" s="56" t="s">
        <v>29</v>
      </c>
      <c r="L46" s="65">
        <v>686.0</v>
      </c>
      <c r="M46" s="66">
        <v>12.0</v>
      </c>
      <c r="N46" s="56"/>
      <c r="O46" s="56"/>
      <c r="P46" s="56"/>
      <c r="Q46" s="56"/>
      <c r="R46" s="56"/>
      <c r="S46" s="56"/>
      <c r="T46" s="56"/>
    </row>
    <row r="47" ht="27.75" customHeight="1">
      <c r="A47" s="63" t="s">
        <v>165</v>
      </c>
      <c r="B47" s="65">
        <v>513.0</v>
      </c>
      <c r="C47" s="38">
        <f t="shared" si="1"/>
        <v>0</v>
      </c>
      <c r="D47" s="66">
        <v>21.0</v>
      </c>
      <c r="E47" s="60">
        <f t="shared" si="2"/>
        <v>0</v>
      </c>
      <c r="F47" s="42">
        <f t="shared" si="3"/>
        <v>0.04093567251</v>
      </c>
      <c r="G47" s="72" t="s">
        <v>26</v>
      </c>
      <c r="H47" s="72" t="s">
        <v>26</v>
      </c>
      <c r="I47" s="74" t="str">
        <f>HYPERLINK("https://twitter.com/DeptSaludPR/status/1246408168852328450","Source")</f>
        <v>Source</v>
      </c>
      <c r="J47" s="28"/>
      <c r="K47" s="56" t="s">
        <v>29</v>
      </c>
      <c r="L47" s="65">
        <v>513.0</v>
      </c>
      <c r="M47" s="66">
        <v>21.0</v>
      </c>
      <c r="N47" s="56"/>
      <c r="O47" s="56"/>
      <c r="P47" s="56"/>
      <c r="Q47" s="56"/>
      <c r="R47" s="56"/>
      <c r="S47" s="56"/>
      <c r="T47" s="56"/>
    </row>
    <row r="48" ht="30.0" customHeight="1">
      <c r="A48" s="33" t="s">
        <v>168</v>
      </c>
      <c r="B48" s="35">
        <v>543.0</v>
      </c>
      <c r="C48" s="38">
        <f t="shared" si="1"/>
        <v>0</v>
      </c>
      <c r="D48" s="35">
        <v>23.0</v>
      </c>
      <c r="E48" s="40">
        <f t="shared" si="2"/>
        <v>0</v>
      </c>
      <c r="F48" s="42">
        <f t="shared" si="3"/>
        <v>0.0423572744</v>
      </c>
      <c r="G48" s="72" t="s">
        <v>26</v>
      </c>
      <c r="H48" s="72" t="s">
        <v>26</v>
      </c>
      <c r="I48" s="49" t="str">
        <f>HYPERLINK("https://www.healthvermont.gov/response/infectious-disease/2019-novel-coronavirus","Source")</f>
        <v>Source</v>
      </c>
      <c r="J48" s="28"/>
      <c r="K48" s="28"/>
      <c r="L48" s="35">
        <v>543.0</v>
      </c>
      <c r="M48" s="35">
        <v>23.0</v>
      </c>
      <c r="N48" s="28"/>
      <c r="O48" s="28"/>
      <c r="P48" s="29"/>
      <c r="Q48" s="29"/>
      <c r="R48" s="29"/>
      <c r="S48" s="28"/>
      <c r="T48" s="28"/>
    </row>
    <row r="49" ht="27.75" customHeight="1">
      <c r="A49" s="63" t="s">
        <v>173</v>
      </c>
      <c r="B49" s="65">
        <v>499.0</v>
      </c>
      <c r="C49" s="38">
        <f t="shared" si="1"/>
        <v>0</v>
      </c>
      <c r="D49" s="66">
        <v>10.0</v>
      </c>
      <c r="E49" s="60">
        <f t="shared" si="2"/>
        <v>0</v>
      </c>
      <c r="F49" s="70">
        <f t="shared" si="3"/>
        <v>0.02004008016</v>
      </c>
      <c r="G49" s="72" t="s">
        <v>26</v>
      </c>
      <c r="H49" s="72">
        <v>158.0</v>
      </c>
      <c r="I49" s="74" t="str">
        <f>HYPERLINK("https://www.maine.gov/dhhs/mecdc/infectious-disease/epi/airborne/coronavirus.shtml","Source")</f>
        <v>Source</v>
      </c>
      <c r="J49" s="28"/>
      <c r="K49" s="28"/>
      <c r="L49" s="65">
        <v>499.0</v>
      </c>
      <c r="M49" s="66">
        <v>10.0</v>
      </c>
      <c r="N49" s="28"/>
      <c r="O49" s="28"/>
      <c r="P49" s="29"/>
      <c r="Q49" s="29"/>
      <c r="R49" s="29"/>
      <c r="S49" s="28"/>
      <c r="T49" s="28"/>
    </row>
    <row r="50" ht="27.75" customHeight="1">
      <c r="A50" s="63" t="s">
        <v>177</v>
      </c>
      <c r="B50" s="65">
        <v>409.0</v>
      </c>
      <c r="C50" s="38">
        <f t="shared" si="1"/>
        <v>0</v>
      </c>
      <c r="D50" s="66">
        <v>8.0</v>
      </c>
      <c r="E50" s="60">
        <f t="shared" si="2"/>
        <v>0</v>
      </c>
      <c r="F50" s="42">
        <f t="shared" si="3"/>
        <v>0.0195599022</v>
      </c>
      <c r="G50" s="72" t="s">
        <v>26</v>
      </c>
      <c r="H50" s="72" t="s">
        <v>26</v>
      </c>
      <c r="I50" s="74" t="str">
        <f>HYPERLINK("https://twitter.com/NEDHHS/status/1247205576175738880","Source")</f>
        <v>Source</v>
      </c>
      <c r="J50" s="28"/>
      <c r="K50" s="28"/>
      <c r="L50" s="65">
        <v>409.0</v>
      </c>
      <c r="M50" s="66">
        <v>8.0</v>
      </c>
      <c r="N50" s="28"/>
      <c r="O50" s="28"/>
      <c r="P50" s="29"/>
      <c r="Q50" s="29"/>
      <c r="R50" s="29"/>
      <c r="S50" s="28"/>
      <c r="T50" s="28"/>
    </row>
    <row r="51" ht="27.75" customHeight="1">
      <c r="A51" s="63" t="s">
        <v>180</v>
      </c>
      <c r="B51" s="65">
        <v>387.0</v>
      </c>
      <c r="C51" s="38">
        <f t="shared" si="1"/>
        <v>0</v>
      </c>
      <c r="D51" s="66">
        <v>5.0</v>
      </c>
      <c r="E51" s="60">
        <f t="shared" si="2"/>
        <v>0</v>
      </c>
      <c r="F51" s="42">
        <f t="shared" si="3"/>
        <v>0.01291989664</v>
      </c>
      <c r="G51" s="72" t="s">
        <v>26</v>
      </c>
      <c r="H51" s="72">
        <v>89.0</v>
      </c>
      <c r="I51" s="74" t="str">
        <f>HYPERLINK("https://health.hawaii.gov/coronavirusdisease2019/","Source")</f>
        <v>Source</v>
      </c>
      <c r="J51" s="28"/>
      <c r="K51" s="28"/>
      <c r="L51" s="65">
        <v>387.0</v>
      </c>
      <c r="M51" s="66">
        <v>5.0</v>
      </c>
      <c r="N51" s="28"/>
      <c r="O51" s="28"/>
      <c r="P51" s="29"/>
      <c r="Q51" s="29"/>
      <c r="R51" s="29"/>
      <c r="S51" s="28"/>
      <c r="T51" s="28"/>
    </row>
    <row r="52" ht="27.75" customHeight="1">
      <c r="A52" s="63" t="s">
        <v>183</v>
      </c>
      <c r="B52" s="65">
        <v>345.0</v>
      </c>
      <c r="C52" s="38">
        <f t="shared" si="1"/>
        <v>0</v>
      </c>
      <c r="D52" s="66">
        <v>4.0</v>
      </c>
      <c r="E52" s="60">
        <f t="shared" si="2"/>
        <v>0</v>
      </c>
      <c r="F52" s="70">
        <f t="shared" si="3"/>
        <v>0.0115942029</v>
      </c>
      <c r="G52" s="72" t="s">
        <v>26</v>
      </c>
      <c r="H52" s="72" t="s">
        <v>26</v>
      </c>
      <c r="I52" s="74" t="str">
        <f>HYPERLINK("https://dhhr.wv.gov/News/2020/Pages/COVID-19-Daily-Update---4-5-2020.aspx","Source")</f>
        <v>Source</v>
      </c>
      <c r="J52" s="28"/>
      <c r="K52" s="56" t="s">
        <v>29</v>
      </c>
      <c r="L52" s="65">
        <v>345.0</v>
      </c>
      <c r="M52" s="66">
        <v>4.0</v>
      </c>
      <c r="N52" s="56"/>
      <c r="O52" s="56"/>
      <c r="P52" s="56"/>
      <c r="Q52" s="56"/>
      <c r="R52" s="56"/>
      <c r="S52" s="56"/>
      <c r="T52" s="56"/>
    </row>
    <row r="53" ht="27.75" customHeight="1">
      <c r="A53" s="63" t="s">
        <v>187</v>
      </c>
      <c r="B53" s="65">
        <v>319.0</v>
      </c>
      <c r="C53" s="38">
        <f t="shared" si="1"/>
        <v>0</v>
      </c>
      <c r="D53" s="66">
        <v>6.0</v>
      </c>
      <c r="E53" s="60">
        <f t="shared" si="2"/>
        <v>0</v>
      </c>
      <c r="F53" s="70">
        <f t="shared" si="3"/>
        <v>0.01880877743</v>
      </c>
      <c r="G53" s="72" t="s">
        <v>26</v>
      </c>
      <c r="H53" s="72" t="s">
        <v>26</v>
      </c>
      <c r="I53" s="74" t="str">
        <f>HYPERLINK("https://nbcmontana.com/news/local/coronavirus-cases-in-montana-increase-to-281-deaths-rise-to-six","Source")</f>
        <v>Source</v>
      </c>
      <c r="J53" s="28"/>
      <c r="K53" s="56" t="s">
        <v>190</v>
      </c>
      <c r="L53" s="65">
        <v>319.0</v>
      </c>
      <c r="M53" s="66">
        <v>6.0</v>
      </c>
      <c r="N53" s="56"/>
      <c r="O53" s="56"/>
      <c r="P53" s="56"/>
      <c r="Q53" s="56"/>
      <c r="R53" s="56"/>
      <c r="S53" s="56"/>
      <c r="T53" s="56"/>
    </row>
    <row r="54" ht="27.75" customHeight="1">
      <c r="A54" s="63" t="s">
        <v>193</v>
      </c>
      <c r="B54" s="65">
        <v>288.0</v>
      </c>
      <c r="C54" s="38">
        <f t="shared" si="1"/>
        <v>0</v>
      </c>
      <c r="D54" s="66">
        <v>4.0</v>
      </c>
      <c r="E54" s="60">
        <f t="shared" si="2"/>
        <v>0</v>
      </c>
      <c r="F54" s="70">
        <f t="shared" si="3"/>
        <v>0.01388888889</v>
      </c>
      <c r="G54" s="72" t="s">
        <v>26</v>
      </c>
      <c r="H54" s="72">
        <v>91.0</v>
      </c>
      <c r="I54" s="74" t="str">
        <f>HYPERLINK("https://twitter.com/mgeheren/status/1246293900857413633","Source")</f>
        <v>Source</v>
      </c>
      <c r="J54" s="28"/>
      <c r="K54" s="28"/>
      <c r="L54" s="65">
        <v>288.0</v>
      </c>
      <c r="M54" s="66">
        <v>4.0</v>
      </c>
      <c r="N54" s="28"/>
      <c r="O54" s="28"/>
      <c r="P54" s="29"/>
      <c r="Q54" s="29"/>
      <c r="R54" s="29"/>
      <c r="S54" s="28"/>
      <c r="T54" s="28"/>
    </row>
    <row r="55" ht="27.75" customHeight="1">
      <c r="A55" s="63" t="s">
        <v>195</v>
      </c>
      <c r="B55" s="65">
        <v>225.0</v>
      </c>
      <c r="C55" s="38">
        <f t="shared" si="1"/>
        <v>0</v>
      </c>
      <c r="D55" s="66">
        <v>3.0</v>
      </c>
      <c r="E55" s="60">
        <f t="shared" si="2"/>
        <v>0</v>
      </c>
      <c r="F55" s="70">
        <f t="shared" si="3"/>
        <v>0.01333333333</v>
      </c>
      <c r="G55" s="72" t="s">
        <v>26</v>
      </c>
      <c r="H55" s="72">
        <v>74.0</v>
      </c>
      <c r="I55" s="74" t="str">
        <f>HYPERLINK("https://www.health.nd.gov/diseases-conditions/coronavirus/north-dakota-coronavirus-cases","Source")</f>
        <v>Source</v>
      </c>
      <c r="J55" s="28"/>
      <c r="K55" s="56" t="s">
        <v>29</v>
      </c>
      <c r="L55" s="65">
        <v>225.0</v>
      </c>
      <c r="M55" s="66">
        <v>3.0</v>
      </c>
      <c r="N55" s="56"/>
      <c r="O55" s="56"/>
      <c r="P55" s="56"/>
      <c r="Q55" s="56"/>
      <c r="R55" s="56"/>
      <c r="S55" s="56"/>
      <c r="T55" s="56"/>
    </row>
    <row r="56" ht="27.75" customHeight="1">
      <c r="A56" s="63" t="s">
        <v>196</v>
      </c>
      <c r="B56" s="65">
        <v>210.0</v>
      </c>
      <c r="C56" s="38">
        <f t="shared" si="1"/>
        <v>0</v>
      </c>
      <c r="D56" s="66">
        <v>0.0</v>
      </c>
      <c r="E56" s="60">
        <f t="shared" si="2"/>
        <v>0</v>
      </c>
      <c r="F56" s="42">
        <f t="shared" si="3"/>
        <v>0</v>
      </c>
      <c r="G56" s="72" t="s">
        <v>26</v>
      </c>
      <c r="H56" s="72">
        <v>50.0</v>
      </c>
      <c r="I56" s="74" t="str">
        <f>HYPERLINK("https://health.wyo.gov/publichealth/infectious-disease-epidemiology-unit/disease/novel-coronavirus/","Source")</f>
        <v>Source</v>
      </c>
      <c r="J56" s="28"/>
      <c r="K56" s="28"/>
      <c r="L56" s="65">
        <v>210.0</v>
      </c>
      <c r="M56" s="66">
        <v>0.0</v>
      </c>
      <c r="N56" s="28"/>
      <c r="O56" s="28"/>
      <c r="P56" s="29"/>
      <c r="Q56" s="29"/>
      <c r="R56" s="29"/>
      <c r="S56" s="28"/>
      <c r="T56" s="28"/>
    </row>
    <row r="57" ht="27.75" customHeight="1">
      <c r="A57" s="63" t="s">
        <v>198</v>
      </c>
      <c r="B57" s="65">
        <v>191.0</v>
      </c>
      <c r="C57" s="38">
        <f t="shared" si="1"/>
        <v>0</v>
      </c>
      <c r="D57" s="66">
        <v>6.0</v>
      </c>
      <c r="E57" s="60">
        <f t="shared" si="2"/>
        <v>0</v>
      </c>
      <c r="F57" s="70">
        <f t="shared" si="3"/>
        <v>0.03141361257</v>
      </c>
      <c r="G57" s="72" t="s">
        <v>26</v>
      </c>
      <c r="H57" s="72" t="s">
        <v>26</v>
      </c>
      <c r="I57" s="74" t="str">
        <f>HYPERLINK("https://www.arcgis.com/apps/opsdashboard/index.html#/83c63cfec8b24397bdf359f49b11f218","Source")</f>
        <v>Source</v>
      </c>
      <c r="J57" s="28"/>
      <c r="K57" s="28"/>
      <c r="L57" s="65">
        <v>191.0</v>
      </c>
      <c r="M57" s="66">
        <v>6.0</v>
      </c>
      <c r="N57" s="28"/>
      <c r="O57" s="28"/>
      <c r="P57" s="29"/>
      <c r="Q57" s="29"/>
      <c r="R57" s="29"/>
      <c r="S57" s="28"/>
      <c r="T57" s="28"/>
    </row>
    <row r="58" ht="27.75" customHeight="1">
      <c r="A58" s="63" t="s">
        <v>200</v>
      </c>
      <c r="B58" s="65">
        <v>113.0</v>
      </c>
      <c r="C58" s="38">
        <f t="shared" si="1"/>
        <v>0</v>
      </c>
      <c r="D58" s="66">
        <v>4.0</v>
      </c>
      <c r="E58" s="60">
        <f t="shared" si="2"/>
        <v>0</v>
      </c>
      <c r="F58" s="42">
        <f t="shared" si="3"/>
        <v>0.03539823009</v>
      </c>
      <c r="G58" s="72" t="s">
        <v>26</v>
      </c>
      <c r="H58" s="72">
        <v>25.0</v>
      </c>
      <c r="I58" s="74" t="str">
        <f>HYPERLINK("https://ghs.guam.gov/coronavirus-covid-19","Source")</f>
        <v>Source</v>
      </c>
      <c r="J58" s="28"/>
      <c r="K58" s="28"/>
      <c r="L58" s="65">
        <v>113.0</v>
      </c>
      <c r="M58" s="66">
        <v>4.0</v>
      </c>
      <c r="N58" s="28"/>
      <c r="O58" s="28"/>
      <c r="P58" s="29"/>
      <c r="Q58" s="29"/>
      <c r="R58" s="29"/>
      <c r="S58" s="28"/>
      <c r="T58" s="28"/>
    </row>
    <row r="59" ht="33.0" customHeight="1">
      <c r="A59" s="63" t="s">
        <v>202</v>
      </c>
      <c r="B59" s="65">
        <v>46.0</v>
      </c>
      <c r="C59" s="38">
        <f t="shared" si="1"/>
        <v>0</v>
      </c>
      <c r="D59" s="66">
        <v>0.0</v>
      </c>
      <c r="E59" s="60">
        <f t="shared" si="2"/>
        <v>0</v>
      </c>
      <c r="F59" s="70">
        <f t="shared" si="3"/>
        <v>0</v>
      </c>
      <c r="G59" s="72" t="s">
        <v>26</v>
      </c>
      <c r="H59" s="72">
        <v>2.0</v>
      </c>
      <c r="I59" s="74" t="str">
        <f>HYPERLINK("https://www.cdc.gov/coronavirus/2019-ncov/cases-in-us.html","Source")</f>
        <v>Source</v>
      </c>
      <c r="J59" s="28"/>
      <c r="K59" s="28"/>
      <c r="L59" s="65">
        <v>46.0</v>
      </c>
      <c r="M59" s="66">
        <v>0.0</v>
      </c>
      <c r="N59" s="28"/>
      <c r="O59" s="28"/>
      <c r="P59" s="29"/>
      <c r="Q59" s="29"/>
      <c r="R59" s="29"/>
      <c r="S59" s="28"/>
      <c r="T59" s="28"/>
    </row>
    <row r="60" ht="27.75" customHeight="1">
      <c r="A60" s="63" t="s">
        <v>208</v>
      </c>
      <c r="B60" s="65">
        <v>43.0</v>
      </c>
      <c r="C60" s="38">
        <f t="shared" si="1"/>
        <v>0</v>
      </c>
      <c r="D60" s="66">
        <v>1.0</v>
      </c>
      <c r="E60" s="60">
        <f t="shared" si="2"/>
        <v>0</v>
      </c>
      <c r="F60" s="70">
        <f t="shared" si="3"/>
        <v>0.02325581395</v>
      </c>
      <c r="G60" s="72" t="s">
        <v>26</v>
      </c>
      <c r="H60" s="72">
        <v>36.0</v>
      </c>
      <c r="I60" s="74" t="str">
        <f>HYPERLINK("https://doh.vi.gov/news/health-department-announces-eleven-additional-confirmed-covid-19-cases","Source")</f>
        <v>Source</v>
      </c>
      <c r="J60" s="28"/>
      <c r="K60" s="28"/>
      <c r="L60" s="65">
        <v>43.0</v>
      </c>
      <c r="M60" s="66">
        <v>1.0</v>
      </c>
      <c r="N60" s="28"/>
      <c r="O60" s="28"/>
      <c r="P60" s="29"/>
      <c r="Q60" s="29"/>
      <c r="R60" s="29"/>
      <c r="S60" s="28"/>
      <c r="T60" s="28"/>
    </row>
    <row r="61" ht="27.75" customHeight="1">
      <c r="A61" s="63" t="s">
        <v>216</v>
      </c>
      <c r="B61" s="65">
        <v>21.0</v>
      </c>
      <c r="C61" s="38">
        <f t="shared" si="1"/>
        <v>0</v>
      </c>
      <c r="D61" s="66">
        <v>0.0</v>
      </c>
      <c r="E61" s="60">
        <f t="shared" si="2"/>
        <v>0</v>
      </c>
      <c r="F61" s="42">
        <f t="shared" si="3"/>
        <v>0</v>
      </c>
      <c r="G61" s="72" t="s">
        <v>26</v>
      </c>
      <c r="H61" s="72" t="s">
        <v>26</v>
      </c>
      <c r="I61" s="74" t="str">
        <f>HYPERLINK("https://www.youtube.com/watch?v=pAsq7-_3XTI","Source")</f>
        <v>Source</v>
      </c>
      <c r="J61" s="28"/>
      <c r="K61" s="28"/>
      <c r="L61" s="65">
        <v>21.0</v>
      </c>
      <c r="M61" s="66">
        <v>0.0</v>
      </c>
      <c r="N61" s="28"/>
      <c r="O61" s="28"/>
      <c r="P61" s="29"/>
      <c r="Q61" s="29"/>
      <c r="R61" s="29"/>
      <c r="S61" s="28"/>
      <c r="T61" s="28"/>
    </row>
    <row r="62" ht="27.75" customHeight="1">
      <c r="A62" s="63" t="s">
        <v>220</v>
      </c>
      <c r="B62" s="65">
        <v>8.0</v>
      </c>
      <c r="C62" s="38">
        <f t="shared" si="1"/>
        <v>0</v>
      </c>
      <c r="D62" s="66">
        <v>1.0</v>
      </c>
      <c r="E62" s="60">
        <f t="shared" si="2"/>
        <v>0</v>
      </c>
      <c r="F62" s="42">
        <f t="shared" si="3"/>
        <v>0.125</v>
      </c>
      <c r="G62" s="72" t="s">
        <v>26</v>
      </c>
      <c r="H62" s="72" t="s">
        <v>26</v>
      </c>
      <c r="I62" s="74" t="str">
        <f>HYPERLINK("https://guampdn.com/story/news/local/2020/03/28/saipan-confirms-two-covid-19-positive-cases/2932326001/","Source")</f>
        <v>Source</v>
      </c>
      <c r="J62" s="28"/>
      <c r="K62" s="28"/>
      <c r="L62" s="65">
        <v>8.0</v>
      </c>
      <c r="M62" s="66">
        <v>1.0</v>
      </c>
      <c r="N62" s="28"/>
      <c r="O62" s="28"/>
      <c r="P62" s="29"/>
      <c r="Q62" s="29"/>
      <c r="R62" s="29"/>
      <c r="S62" s="28"/>
      <c r="T62" s="28"/>
    </row>
    <row r="63" ht="27.75" customHeight="1">
      <c r="A63" s="63" t="s">
        <v>226</v>
      </c>
      <c r="B63" s="65">
        <v>3.0</v>
      </c>
      <c r="C63" s="38">
        <f t="shared" si="1"/>
        <v>0</v>
      </c>
      <c r="D63" s="66">
        <v>0.0</v>
      </c>
      <c r="E63" s="60">
        <f t="shared" si="2"/>
        <v>0</v>
      </c>
      <c r="F63" s="42">
        <f t="shared" si="3"/>
        <v>0</v>
      </c>
      <c r="G63" s="72" t="s">
        <v>26</v>
      </c>
      <c r="H63" s="72" t="s">
        <v>26</v>
      </c>
      <c r="I63" s="126" t="s">
        <v>26</v>
      </c>
      <c r="J63" s="28"/>
      <c r="K63" s="28"/>
      <c r="L63" s="65">
        <v>3.0</v>
      </c>
      <c r="M63" s="66">
        <v>0.0</v>
      </c>
      <c r="N63" s="28"/>
      <c r="O63" s="28"/>
      <c r="P63" s="29"/>
      <c r="Q63" s="29"/>
      <c r="R63" s="29"/>
      <c r="S63" s="28"/>
      <c r="T63" s="28"/>
    </row>
    <row r="64" ht="27.75" customHeight="1">
      <c r="A64" s="63" t="s">
        <v>235</v>
      </c>
      <c r="B64" s="65">
        <v>0.0</v>
      </c>
      <c r="C64" s="38">
        <f t="shared" si="1"/>
        <v>0</v>
      </c>
      <c r="D64" s="66">
        <v>0.0</v>
      </c>
      <c r="E64" s="60">
        <f t="shared" si="2"/>
        <v>0</v>
      </c>
      <c r="F64" s="108" t="s">
        <v>49</v>
      </c>
      <c r="G64" s="72" t="s">
        <v>26</v>
      </c>
      <c r="H64" s="72" t="s">
        <v>26</v>
      </c>
      <c r="I64" s="95" t="s">
        <v>26</v>
      </c>
      <c r="J64" s="28"/>
      <c r="K64" s="28"/>
      <c r="L64" s="65">
        <v>0.0</v>
      </c>
      <c r="M64" s="66">
        <v>0.0</v>
      </c>
      <c r="N64" s="28"/>
      <c r="O64" s="28"/>
      <c r="P64" s="29"/>
      <c r="Q64" s="29"/>
      <c r="R64" s="29"/>
      <c r="S64" s="28"/>
      <c r="T64" s="28"/>
    </row>
    <row r="65" ht="15.75" customHeight="1">
      <c r="A65" s="127" t="s">
        <v>237</v>
      </c>
      <c r="B65" s="128"/>
      <c r="C65" s="128"/>
      <c r="D65" s="129"/>
      <c r="E65" s="129"/>
      <c r="F65" s="130"/>
      <c r="G65" s="130"/>
      <c r="H65" s="131"/>
      <c r="I65" s="132"/>
      <c r="J65" s="53"/>
      <c r="K65" s="53"/>
      <c r="L65" s="128"/>
      <c r="M65" s="129"/>
      <c r="N65" s="53"/>
      <c r="O65" s="53"/>
      <c r="P65" s="133"/>
      <c r="Q65" s="133"/>
      <c r="R65" s="133"/>
      <c r="S65" s="53"/>
      <c r="T65" s="53"/>
    </row>
    <row r="66" ht="30.0" customHeight="1">
      <c r="A66" s="134" t="s">
        <v>239</v>
      </c>
      <c r="B66" s="135">
        <f>SUM(B6:B65, L65)</f>
        <v>366848</v>
      </c>
      <c r="C66" s="136">
        <f>SUM(C6:C64)</f>
        <v>0</v>
      </c>
      <c r="D66" s="135">
        <f>SUM(D6:D65)</f>
        <v>10915</v>
      </c>
      <c r="E66" s="137">
        <f>SUM(E6:E63)</f>
        <v>0</v>
      </c>
      <c r="F66" s="138">
        <f>DIVIDE(B3,A3)</f>
        <v>0.02975346738</v>
      </c>
      <c r="G66" s="139">
        <f t="shared" ref="G66:H66" si="5">SUM(G6:G63)</f>
        <v>6151</v>
      </c>
      <c r="H66" s="140">
        <f t="shared" si="5"/>
        <v>16438</v>
      </c>
      <c r="I66" s="141"/>
      <c r="J66" s="28"/>
      <c r="K66" s="28"/>
      <c r="L66" s="135">
        <f>SUM(L6:L65, V65)</f>
        <v>366848</v>
      </c>
      <c r="M66" s="135">
        <f>SUM(M6:M65)</f>
        <v>10915</v>
      </c>
      <c r="N66" s="28"/>
      <c r="O66" s="28"/>
      <c r="P66" s="29"/>
      <c r="Q66" s="29"/>
      <c r="R66" s="29"/>
      <c r="S66" s="28"/>
      <c r="T66" s="28"/>
    </row>
    <row r="67">
      <c r="A67" s="142"/>
      <c r="B67" s="143" t="s">
        <v>7</v>
      </c>
      <c r="C67" s="143" t="s">
        <v>8</v>
      </c>
      <c r="D67" s="143" t="s">
        <v>10</v>
      </c>
      <c r="E67" s="144" t="s">
        <v>11</v>
      </c>
      <c r="F67" s="144" t="s">
        <v>245</v>
      </c>
      <c r="G67" s="144" t="s">
        <v>13</v>
      </c>
      <c r="H67" s="144" t="s">
        <v>14</v>
      </c>
      <c r="I67" s="143" t="s">
        <v>15</v>
      </c>
      <c r="J67" s="4"/>
      <c r="K67" s="4"/>
      <c r="L67" s="143" t="s">
        <v>7</v>
      </c>
      <c r="M67" s="143" t="s">
        <v>10</v>
      </c>
      <c r="N67" s="4"/>
      <c r="O67" s="4"/>
      <c r="P67" s="6"/>
      <c r="Q67" s="6"/>
      <c r="R67" s="6"/>
      <c r="S67" s="4"/>
      <c r="T67" s="4"/>
    </row>
    <row r="68">
      <c r="A68" s="96"/>
      <c r="B68" s="97"/>
      <c r="C68" s="97"/>
      <c r="D68" s="97"/>
      <c r="E68" s="97"/>
      <c r="F68" s="97"/>
      <c r="G68" s="97"/>
      <c r="H68" s="97"/>
      <c r="I68" s="99"/>
      <c r="J68" s="4"/>
      <c r="K68" s="4"/>
      <c r="L68" s="97"/>
      <c r="M68" s="97"/>
      <c r="N68" s="4"/>
      <c r="O68" s="4"/>
      <c r="P68" s="6"/>
      <c r="Q68" s="6"/>
      <c r="R68" s="6"/>
      <c r="S68" s="4"/>
      <c r="T68" s="4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2"/>
      <c r="J1" s="10"/>
      <c r="K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3" t="s">
        <v>1</v>
      </c>
      <c r="B2" s="3" t="s">
        <v>2</v>
      </c>
      <c r="C2" s="5" t="s">
        <v>3</v>
      </c>
      <c r="D2" s="3"/>
      <c r="E2" s="11" t="s">
        <v>4</v>
      </c>
      <c r="I2" s="8"/>
      <c r="J2" s="4"/>
      <c r="K2" s="4"/>
      <c r="L2" s="3" t="s">
        <v>2</v>
      </c>
      <c r="M2" s="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3">
        <f>SUM(B17, B18)</f>
        <v>5797</v>
      </c>
      <c r="B3" s="13">
        <f>SUM(D17, D18)</f>
        <v>40</v>
      </c>
      <c r="C3" s="14">
        <f>SUM(H17, H18)</f>
        <v>1080</v>
      </c>
      <c r="D3" s="13"/>
      <c r="E3" s="15">
        <f>MINUS(A3,B3 + C3)</f>
        <v>4677</v>
      </c>
      <c r="F3" s="15"/>
      <c r="G3" s="15"/>
      <c r="H3" s="5"/>
      <c r="I3" s="8"/>
      <c r="J3" s="4"/>
      <c r="K3" s="4"/>
      <c r="L3" s="13">
        <f>SUM(N17, N18)</f>
        <v>0</v>
      </c>
      <c r="M3" s="1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7"/>
      <c r="B4" s="8"/>
      <c r="C4" s="8"/>
      <c r="D4" s="8"/>
      <c r="E4" s="8"/>
      <c r="F4" s="7"/>
      <c r="G4" s="7"/>
      <c r="H4" s="7"/>
      <c r="I4" s="8"/>
      <c r="J4" s="4"/>
      <c r="K4" s="4"/>
      <c r="L4" s="8"/>
      <c r="M4" s="8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30.0" customHeight="1">
      <c r="A5" s="20" t="s">
        <v>6</v>
      </c>
      <c r="B5" s="21" t="s">
        <v>7</v>
      </c>
      <c r="C5" s="22" t="s">
        <v>8</v>
      </c>
      <c r="D5" s="21" t="s">
        <v>10</v>
      </c>
      <c r="E5" s="24" t="s">
        <v>11</v>
      </c>
      <c r="F5" s="24" t="s">
        <v>12</v>
      </c>
      <c r="G5" s="26" t="s">
        <v>13</v>
      </c>
      <c r="H5" s="26" t="s">
        <v>14</v>
      </c>
      <c r="I5" s="21" t="s">
        <v>15</v>
      </c>
      <c r="J5" s="28"/>
      <c r="K5" s="28"/>
      <c r="L5" s="21" t="s">
        <v>7</v>
      </c>
      <c r="M5" s="21" t="s">
        <v>10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ht="30.0" customHeight="1">
      <c r="A6" s="33" t="s">
        <v>17</v>
      </c>
      <c r="B6" s="35">
        <v>2637.0</v>
      </c>
      <c r="C6" s="38">
        <f t="shared" ref="C6:C15" si="1">MINUS(B6,L6)</f>
        <v>0</v>
      </c>
      <c r="D6" s="35">
        <v>18.0</v>
      </c>
      <c r="E6" s="40">
        <f t="shared" ref="E6:E13" si="2">MINUS(D6,M6)</f>
        <v>0</v>
      </c>
      <c r="F6" s="42">
        <f t="shared" ref="F6:F13" si="3">DIVIDE(D6, B6)</f>
        <v>0.006825938567</v>
      </c>
      <c r="G6" s="44">
        <v>40.0</v>
      </c>
      <c r="H6" s="46">
        <v>4.0</v>
      </c>
      <c r="I6" s="49" t="str">
        <f>HYPERLINK("https://www.health.nsw.gov.au/news/Pages/20200406_00.aspx","Source")</f>
        <v>Source</v>
      </c>
      <c r="J6" s="53"/>
      <c r="K6" s="28"/>
      <c r="L6" s="35">
        <v>2637.0</v>
      </c>
      <c r="M6" s="35">
        <v>18.0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ht="30.0" customHeight="1">
      <c r="A7" s="33" t="s">
        <v>22</v>
      </c>
      <c r="B7" s="35">
        <v>1158.0</v>
      </c>
      <c r="C7" s="38">
        <f t="shared" si="1"/>
        <v>0</v>
      </c>
      <c r="D7" s="58">
        <v>10.0</v>
      </c>
      <c r="E7" s="60">
        <f t="shared" si="2"/>
        <v>0</v>
      </c>
      <c r="F7" s="62">
        <f t="shared" si="3"/>
        <v>0.008635578584</v>
      </c>
      <c r="G7" s="46">
        <v>11.0</v>
      </c>
      <c r="H7" s="46">
        <v>620.0</v>
      </c>
      <c r="I7" s="49" t="str">
        <f>HYPERLINK("https://www.dhhs.vic.gov.au/coronavirus-update-victoria-6-april-2020","Source")</f>
        <v>Source</v>
      </c>
      <c r="J7" s="53"/>
      <c r="K7" s="28"/>
      <c r="L7" s="35">
        <v>1158.0</v>
      </c>
      <c r="M7" s="58">
        <v>10.0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ht="30.0" customHeight="1">
      <c r="A8" s="39" t="s">
        <v>25</v>
      </c>
      <c r="B8" s="41">
        <v>921.0</v>
      </c>
      <c r="C8" s="38">
        <f t="shared" si="1"/>
        <v>0</v>
      </c>
      <c r="D8" s="68">
        <v>4.0</v>
      </c>
      <c r="E8" s="60">
        <f t="shared" si="2"/>
        <v>0</v>
      </c>
      <c r="F8" s="42">
        <f t="shared" si="3"/>
        <v>0.00434310532</v>
      </c>
      <c r="G8" s="46" t="s">
        <v>26</v>
      </c>
      <c r="H8" s="71">
        <v>173.0</v>
      </c>
      <c r="I8" s="50" t="str">
        <f>HYPERLINK("https://www.health.qld.gov.au/news-events/doh-media-releases/releases/queensland-novel-coronavirus-covid-19-update-2020-04-06","Source")</f>
        <v>Source</v>
      </c>
      <c r="J8" s="53"/>
      <c r="K8" s="28"/>
      <c r="L8" s="41">
        <v>921.0</v>
      </c>
      <c r="M8" s="68">
        <v>4.0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ht="30.0" customHeight="1">
      <c r="A9" s="33" t="s">
        <v>28</v>
      </c>
      <c r="B9" s="35">
        <v>460.0</v>
      </c>
      <c r="C9" s="38">
        <f t="shared" si="1"/>
        <v>0</v>
      </c>
      <c r="D9" s="58">
        <v>4.0</v>
      </c>
      <c r="E9" s="60">
        <f t="shared" si="2"/>
        <v>0</v>
      </c>
      <c r="F9" s="42">
        <f t="shared" si="3"/>
        <v>0.008695652174</v>
      </c>
      <c r="G9" s="46">
        <v>18.0</v>
      </c>
      <c r="H9" s="46">
        <v>162.0</v>
      </c>
      <c r="I9" s="49" t="str">
        <f>HYPERLINK("https://ww2.health.wa.gov.au/Media-releases/2020/COVID19-update-6-April-2020","Source")</f>
        <v>Source</v>
      </c>
      <c r="J9" s="53"/>
      <c r="K9" s="28"/>
      <c r="L9" s="35">
        <v>460.0</v>
      </c>
      <c r="M9" s="58">
        <v>4.0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ht="30.0" customHeight="1">
      <c r="A10" s="33" t="s">
        <v>33</v>
      </c>
      <c r="B10" s="35">
        <v>411.0</v>
      </c>
      <c r="C10" s="38">
        <f t="shared" si="1"/>
        <v>0</v>
      </c>
      <c r="D10" s="58">
        <v>0.0</v>
      </c>
      <c r="E10" s="60">
        <f t="shared" si="2"/>
        <v>0</v>
      </c>
      <c r="F10" s="62">
        <f t="shared" si="3"/>
        <v>0</v>
      </c>
      <c r="G10" s="46">
        <v>10.0</v>
      </c>
      <c r="H10" s="46">
        <v>53.0</v>
      </c>
      <c r="I10" s="49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53"/>
      <c r="K10" s="28"/>
      <c r="L10" s="35">
        <v>411.0</v>
      </c>
      <c r="M10" s="58">
        <v>0.0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ht="30.0" customHeight="1">
      <c r="A11" s="33" t="s">
        <v>36</v>
      </c>
      <c r="B11" s="35">
        <v>96.0</v>
      </c>
      <c r="C11" s="38">
        <f t="shared" si="1"/>
        <v>0</v>
      </c>
      <c r="D11" s="58">
        <v>2.0</v>
      </c>
      <c r="E11" s="60">
        <f t="shared" si="2"/>
        <v>0</v>
      </c>
      <c r="F11" s="62">
        <f t="shared" si="3"/>
        <v>0.02083333333</v>
      </c>
      <c r="G11" s="46" t="s">
        <v>26</v>
      </c>
      <c r="H11" s="46">
        <v>40.0</v>
      </c>
      <c r="I11" s="49" t="str">
        <f>HYPERLINK("https://www.covid19.act.gov.au/news-articles/covid-19-update-6-april-0-new-cases","Source")</f>
        <v>Source</v>
      </c>
      <c r="J11" s="53"/>
      <c r="K11" s="28"/>
      <c r="L11" s="35">
        <v>96.0</v>
      </c>
      <c r="M11" s="58">
        <v>2.0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ht="30.0" customHeight="1">
      <c r="A12" s="33" t="s">
        <v>42</v>
      </c>
      <c r="B12" s="35">
        <v>86.0</v>
      </c>
      <c r="C12" s="38">
        <f t="shared" si="1"/>
        <v>0</v>
      </c>
      <c r="D12" s="58">
        <v>2.0</v>
      </c>
      <c r="E12" s="60">
        <f t="shared" si="2"/>
        <v>0</v>
      </c>
      <c r="F12" s="42">
        <f t="shared" si="3"/>
        <v>0.02325581395</v>
      </c>
      <c r="G12" s="46" t="s">
        <v>26</v>
      </c>
      <c r="H12" s="46">
        <v>26.0</v>
      </c>
      <c r="I12" s="49" t="str">
        <f>HYPERLINK("https://www.dhhs.tas.gov.au/news/2020/coronavirus_update_5_april_2020","Source")</f>
        <v>Source</v>
      </c>
      <c r="J12" s="53"/>
      <c r="K12" s="28"/>
      <c r="L12" s="35">
        <v>86.0</v>
      </c>
      <c r="M12" s="58">
        <v>2.0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ht="30.0" customHeight="1">
      <c r="A13" s="33" t="s">
        <v>44</v>
      </c>
      <c r="B13" s="35">
        <v>28.0</v>
      </c>
      <c r="C13" s="38">
        <f t="shared" si="1"/>
        <v>0</v>
      </c>
      <c r="D13" s="58">
        <v>0.0</v>
      </c>
      <c r="E13" s="60">
        <f t="shared" si="2"/>
        <v>0</v>
      </c>
      <c r="F13" s="62">
        <f t="shared" si="3"/>
        <v>0</v>
      </c>
      <c r="G13" s="46" t="s">
        <v>26</v>
      </c>
      <c r="H13" s="46">
        <v>2.0</v>
      </c>
      <c r="I13" s="49" t="str">
        <f>HYPERLINK("http://mediareleases.nt.gov.au/mediaRelease/33157","Source")</f>
        <v>Source</v>
      </c>
      <c r="J13" s="53"/>
      <c r="K13" s="28"/>
      <c r="L13" s="35">
        <v>28.0</v>
      </c>
      <c r="M13" s="58">
        <v>0.0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ht="30.0" customHeight="1">
      <c r="A14" s="33" t="s">
        <v>48</v>
      </c>
      <c r="B14" s="35">
        <v>0.0</v>
      </c>
      <c r="C14" s="38">
        <f t="shared" si="1"/>
        <v>0</v>
      </c>
      <c r="D14" s="58">
        <v>0.0</v>
      </c>
      <c r="E14" s="40">
        <f t="shared" ref="E14:E15" si="4">MINUS(D14,L14)</f>
        <v>0</v>
      </c>
      <c r="F14" s="82" t="s">
        <v>49</v>
      </c>
      <c r="G14" s="46">
        <v>0.0</v>
      </c>
      <c r="H14" s="46">
        <v>0.0</v>
      </c>
      <c r="I14" s="83"/>
      <c r="J14" s="28"/>
      <c r="K14" s="28"/>
      <c r="L14" s="35">
        <v>0.0</v>
      </c>
      <c r="M14" s="58">
        <v>0.0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ht="30.0" customHeight="1">
      <c r="A15" s="33" t="s">
        <v>53</v>
      </c>
      <c r="B15" s="35">
        <v>0.0</v>
      </c>
      <c r="C15" s="38">
        <f t="shared" si="1"/>
        <v>0</v>
      </c>
      <c r="D15" s="58">
        <v>0.0</v>
      </c>
      <c r="E15" s="40">
        <f t="shared" si="4"/>
        <v>0</v>
      </c>
      <c r="F15" s="84" t="s">
        <v>49</v>
      </c>
      <c r="G15" s="46">
        <v>0.0</v>
      </c>
      <c r="H15" s="46">
        <v>0.0</v>
      </c>
      <c r="I15" s="83"/>
      <c r="J15" s="28"/>
      <c r="K15" s="28"/>
      <c r="L15" s="35">
        <v>0.0</v>
      </c>
      <c r="M15" s="58">
        <v>0.0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ht="12.75" customHeight="1">
      <c r="A16" s="86"/>
      <c r="B16" s="87"/>
      <c r="C16" s="86"/>
      <c r="D16" s="88"/>
      <c r="E16" s="86"/>
      <c r="F16" s="89"/>
      <c r="G16" s="89"/>
      <c r="H16" s="89"/>
      <c r="I16" s="90"/>
      <c r="J16" s="28"/>
      <c r="K16" s="28"/>
      <c r="L16" s="87"/>
      <c r="M16" s="88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ht="30.0" customHeight="1">
      <c r="A17" s="92" t="s">
        <v>57</v>
      </c>
      <c r="B17" s="93">
        <f>SUM(B6:B15)</f>
        <v>5797</v>
      </c>
      <c r="C17" s="38">
        <f>MINUS(B17,L17)</f>
        <v>0</v>
      </c>
      <c r="D17" s="93">
        <f>SUM(D6:D15)</f>
        <v>40</v>
      </c>
      <c r="E17" s="40">
        <f>MINUS(D17,M17)</f>
        <v>0</v>
      </c>
      <c r="F17" s="42">
        <f>DIVIDE(D17, B17)</f>
        <v>0.006900120752</v>
      </c>
      <c r="G17" s="93">
        <f t="shared" ref="G17:H17" si="5">SUM(G6:G15)</f>
        <v>79</v>
      </c>
      <c r="H17" s="93">
        <f t="shared" si="5"/>
        <v>1080</v>
      </c>
      <c r="I17" s="94"/>
      <c r="J17" s="28"/>
      <c r="K17" s="28"/>
      <c r="L17" s="93">
        <f t="shared" ref="L17:M17" si="6">SUM(L6:L15)</f>
        <v>5797</v>
      </c>
      <c r="M17" s="93">
        <f t="shared" si="6"/>
        <v>40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>
      <c r="A18" s="96"/>
      <c r="B18" s="97"/>
      <c r="C18" s="97"/>
      <c r="D18" s="97"/>
      <c r="E18" s="97"/>
      <c r="F18" s="98"/>
      <c r="G18" s="98"/>
      <c r="H18" s="97"/>
      <c r="I18" s="99"/>
      <c r="J18" s="4"/>
      <c r="K18" s="4"/>
      <c r="L18" s="97"/>
      <c r="M18" s="97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00"/>
      <c r="B19" s="101"/>
      <c r="C19" s="101"/>
      <c r="D19" s="9"/>
      <c r="E19" s="9"/>
      <c r="F19" s="9"/>
      <c r="G19" s="9"/>
      <c r="H19" s="9"/>
      <c r="I19" s="10"/>
      <c r="J19" s="4"/>
      <c r="K19" s="4"/>
      <c r="L19" s="101"/>
      <c r="M19" s="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03"/>
      <c r="B20" s="9"/>
      <c r="C20" s="9"/>
      <c r="D20" s="9"/>
      <c r="E20" s="9"/>
      <c r="F20" s="9"/>
      <c r="G20" s="9"/>
      <c r="H20" s="9"/>
      <c r="I20" s="10"/>
      <c r="J20" s="10"/>
      <c r="K20" s="10"/>
      <c r="L20" s="9"/>
      <c r="M20" s="9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103"/>
      <c r="B21" s="9"/>
      <c r="C21" s="9"/>
      <c r="D21" s="9"/>
      <c r="E21" s="9"/>
      <c r="F21" s="9"/>
      <c r="G21" s="9"/>
      <c r="H21" s="9"/>
      <c r="I21" s="10"/>
      <c r="J21" s="10"/>
      <c r="K21" s="10"/>
      <c r="L21" s="9"/>
      <c r="M21" s="9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2"/>
      <c r="J1" s="10"/>
      <c r="K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1</v>
      </c>
      <c r="B2" s="3" t="s">
        <v>2</v>
      </c>
      <c r="C2" s="5" t="s">
        <v>3</v>
      </c>
      <c r="D2" s="3"/>
      <c r="E2" s="11" t="s">
        <v>4</v>
      </c>
      <c r="I2" s="8"/>
      <c r="J2" s="4"/>
      <c r="K2" s="10"/>
      <c r="L2" s="3"/>
      <c r="M2" s="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3">
        <f>SUM(B20, B21)</f>
        <v>16529</v>
      </c>
      <c r="B3" s="13">
        <f>SUM(D20, D21)</f>
        <v>322</v>
      </c>
      <c r="C3" s="14">
        <f>SUM(H20, H21)</f>
        <v>3113</v>
      </c>
      <c r="D3" s="13"/>
      <c r="E3" s="15">
        <f>MINUS(A3,B3 + C3)</f>
        <v>13094</v>
      </c>
      <c r="F3" s="15"/>
      <c r="G3" s="15"/>
      <c r="H3" s="5"/>
      <c r="I3" s="8"/>
      <c r="J3" s="4"/>
      <c r="K3" s="10"/>
      <c r="L3" s="13"/>
      <c r="M3" s="1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7"/>
      <c r="B4" s="8"/>
      <c r="C4" s="8"/>
      <c r="D4" s="8"/>
      <c r="E4" s="8"/>
      <c r="F4" s="7"/>
      <c r="G4" s="7"/>
      <c r="H4" s="7"/>
      <c r="I4" s="8"/>
      <c r="J4" s="4"/>
      <c r="K4" s="10"/>
      <c r="L4" s="8"/>
      <c r="M4" s="8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0.0" customHeight="1">
      <c r="A5" s="20" t="s">
        <v>90</v>
      </c>
      <c r="B5" s="21" t="s">
        <v>7</v>
      </c>
      <c r="C5" s="22" t="s">
        <v>8</v>
      </c>
      <c r="D5" s="21" t="s">
        <v>10</v>
      </c>
      <c r="E5" s="24" t="s">
        <v>11</v>
      </c>
      <c r="F5" s="24" t="s">
        <v>12</v>
      </c>
      <c r="G5" s="26" t="s">
        <v>13</v>
      </c>
      <c r="H5" s="26" t="s">
        <v>14</v>
      </c>
      <c r="I5" s="21" t="s">
        <v>15</v>
      </c>
      <c r="J5" s="28"/>
      <c r="K5" s="28"/>
      <c r="L5" s="21" t="s">
        <v>7</v>
      </c>
      <c r="M5" s="21" t="s">
        <v>10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30.0" customHeight="1">
      <c r="A6" s="33" t="s">
        <v>94</v>
      </c>
      <c r="B6" s="35">
        <v>8580.0</v>
      </c>
      <c r="C6" s="38">
        <f t="shared" ref="C6:C20" si="1">MINUS(B6,L6)</f>
        <v>0</v>
      </c>
      <c r="D6" s="58">
        <v>121.0</v>
      </c>
      <c r="E6" s="60">
        <f t="shared" ref="E6:E20" si="2">MINUS(D6,M6)</f>
        <v>0</v>
      </c>
      <c r="F6" s="42">
        <f t="shared" ref="F6:F18" si="3">DIVIDE(D6, B6)</f>
        <v>0.0141025641</v>
      </c>
      <c r="G6" s="46" t="s">
        <v>26</v>
      </c>
      <c r="H6" s="46">
        <v>306.0</v>
      </c>
      <c r="I6" s="49" t="str">
        <f>HYPERLINK("https://twitter.com/sante_qc/status/1247214551814352901","Source")</f>
        <v>Source</v>
      </c>
      <c r="J6" s="28"/>
      <c r="K6" s="28"/>
      <c r="L6" s="35">
        <v>8580.0</v>
      </c>
      <c r="M6" s="58">
        <v>121.0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30.0" customHeight="1">
      <c r="A7" s="39" t="s">
        <v>98</v>
      </c>
      <c r="B7" s="41">
        <v>4347.0</v>
      </c>
      <c r="C7" s="38">
        <f t="shared" si="1"/>
        <v>0</v>
      </c>
      <c r="D7" s="68">
        <v>132.0</v>
      </c>
      <c r="E7" s="60">
        <f t="shared" si="2"/>
        <v>0</v>
      </c>
      <c r="F7" s="70">
        <f t="shared" si="3"/>
        <v>0.0303657695</v>
      </c>
      <c r="G7" s="46">
        <v>216.0</v>
      </c>
      <c r="H7" s="47">
        <v>1624.0</v>
      </c>
      <c r="I7" s="50" t="str">
        <f>HYPERLINK("https://www.ontario.ca/page/2019-novel-coronavirus","Source")</f>
        <v>Source</v>
      </c>
      <c r="J7" s="28"/>
      <c r="K7" s="28"/>
      <c r="L7" s="41">
        <v>4347.0</v>
      </c>
      <c r="M7" s="68">
        <v>132.0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30.0" customHeight="1">
      <c r="A8" s="33" t="s">
        <v>102</v>
      </c>
      <c r="B8" s="35">
        <v>1250.0</v>
      </c>
      <c r="C8" s="38">
        <f t="shared" si="1"/>
        <v>0</v>
      </c>
      <c r="D8" s="58">
        <v>23.0</v>
      </c>
      <c r="E8" s="60">
        <f t="shared" si="2"/>
        <v>0</v>
      </c>
      <c r="F8" s="70">
        <f t="shared" si="3"/>
        <v>0.0184</v>
      </c>
      <c r="G8" s="46">
        <v>14.0</v>
      </c>
      <c r="H8" s="46">
        <v>196.0</v>
      </c>
      <c r="I8" s="49" t="str">
        <f>HYPERLINK("https://www.alberta.ca/coronavirus-info-for-albertans.aspx","Source")</f>
        <v>Source</v>
      </c>
      <c r="J8" s="28"/>
      <c r="K8" s="28"/>
      <c r="L8" s="35">
        <v>1250.0</v>
      </c>
      <c r="M8" s="58">
        <v>23.0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30.0" customHeight="1">
      <c r="A9" s="33" t="s">
        <v>106</v>
      </c>
      <c r="B9" s="35">
        <v>1266.0</v>
      </c>
      <c r="C9" s="38">
        <f t="shared" si="1"/>
        <v>0</v>
      </c>
      <c r="D9" s="35">
        <v>39.0</v>
      </c>
      <c r="E9" s="40">
        <f t="shared" si="2"/>
        <v>0</v>
      </c>
      <c r="F9" s="42">
        <f t="shared" si="3"/>
        <v>0.0308056872</v>
      </c>
      <c r="G9" s="44">
        <v>72.0</v>
      </c>
      <c r="H9" s="46">
        <v>783.0</v>
      </c>
      <c r="I9" s="49" t="str">
        <f>HYPERLINK("https://twitter.com/richardzussman/status/1247263630543835137","Source")</f>
        <v>Source</v>
      </c>
      <c r="J9" s="28"/>
      <c r="K9" s="28"/>
      <c r="L9" s="35">
        <v>1266.0</v>
      </c>
      <c r="M9" s="35">
        <v>39.0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30.0" customHeight="1">
      <c r="A10" s="33" t="s">
        <v>110</v>
      </c>
      <c r="B10" s="35">
        <v>249.0</v>
      </c>
      <c r="C10" s="38">
        <f t="shared" si="1"/>
        <v>0</v>
      </c>
      <c r="D10" s="58">
        <v>3.0</v>
      </c>
      <c r="E10" s="60">
        <f t="shared" si="2"/>
        <v>0</v>
      </c>
      <c r="F10" s="42">
        <f t="shared" si="3"/>
        <v>0.01204819277</v>
      </c>
      <c r="G10" s="46">
        <v>4.0</v>
      </c>
      <c r="H10" s="46">
        <v>67.0</v>
      </c>
      <c r="I10" s="49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0" s="28"/>
      <c r="K10" s="28"/>
      <c r="L10" s="35">
        <v>249.0</v>
      </c>
      <c r="M10" s="58">
        <v>3.0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30.0" customHeight="1">
      <c r="A11" s="33" t="s">
        <v>115</v>
      </c>
      <c r="B11" s="35">
        <v>262.0</v>
      </c>
      <c r="C11" s="38">
        <f t="shared" si="1"/>
        <v>0</v>
      </c>
      <c r="D11" s="58">
        <v>0.0</v>
      </c>
      <c r="E11" s="60">
        <f t="shared" si="2"/>
        <v>0</v>
      </c>
      <c r="F11" s="42">
        <f t="shared" si="3"/>
        <v>0</v>
      </c>
      <c r="G11" s="46" t="s">
        <v>26</v>
      </c>
      <c r="H11" s="46">
        <v>53.0</v>
      </c>
      <c r="I11" s="49" t="str">
        <f>HYPERLINK("https://novascotia.ca/coronavirus/#alerts","Source")</f>
        <v>Source</v>
      </c>
      <c r="J11" s="28"/>
      <c r="K11" s="28"/>
      <c r="L11" s="35">
        <v>262.0</v>
      </c>
      <c r="M11" s="58">
        <v>0.0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30.0" customHeight="1">
      <c r="A12" s="33" t="s">
        <v>118</v>
      </c>
      <c r="B12" s="35">
        <v>226.0</v>
      </c>
      <c r="C12" s="38">
        <f t="shared" si="1"/>
        <v>0</v>
      </c>
      <c r="D12" s="58">
        <v>2.0</v>
      </c>
      <c r="E12" s="60">
        <f t="shared" si="2"/>
        <v>0</v>
      </c>
      <c r="F12" s="70">
        <f t="shared" si="3"/>
        <v>0.008849557522</v>
      </c>
      <c r="G12" s="46">
        <v>4.0</v>
      </c>
      <c r="H12" s="46">
        <v>28.0</v>
      </c>
      <c r="I12" s="49" t="str">
        <f>HYPERLINK("https://www.cbc.ca/news/canada/newfoundland-labrador/newfoundland-labrador-covid-april-6-1.5523014","Source")</f>
        <v>Source</v>
      </c>
      <c r="J12" s="28"/>
      <c r="K12" s="107"/>
      <c r="L12" s="35">
        <v>226.0</v>
      </c>
      <c r="M12" s="58">
        <v>2.0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30.0" customHeight="1">
      <c r="A13" s="33" t="s">
        <v>123</v>
      </c>
      <c r="B13" s="35">
        <v>203.0</v>
      </c>
      <c r="C13" s="38">
        <f t="shared" si="1"/>
        <v>0</v>
      </c>
      <c r="D13" s="58">
        <v>2.0</v>
      </c>
      <c r="E13" s="60">
        <f t="shared" si="2"/>
        <v>0</v>
      </c>
      <c r="F13" s="42">
        <f t="shared" si="3"/>
        <v>0.009852216749</v>
      </c>
      <c r="G13" s="46">
        <v>7.0</v>
      </c>
      <c r="H13" s="46">
        <v>17.0</v>
      </c>
      <c r="I13" s="49" t="str">
        <f>HYPERLINK("https://news.gov.mb.ca/news/?archive=&amp;item=47385","Source")</f>
        <v>Source</v>
      </c>
      <c r="J13" s="28"/>
      <c r="K13" s="28"/>
      <c r="L13" s="35">
        <v>203.0</v>
      </c>
      <c r="M13" s="58">
        <v>2.0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30.0" customHeight="1">
      <c r="A14" s="33" t="s">
        <v>127</v>
      </c>
      <c r="B14" s="35">
        <v>101.0</v>
      </c>
      <c r="C14" s="38">
        <f t="shared" si="1"/>
        <v>0</v>
      </c>
      <c r="D14" s="58">
        <v>0.0</v>
      </c>
      <c r="E14" s="60">
        <f t="shared" si="2"/>
        <v>0</v>
      </c>
      <c r="F14" s="70">
        <f t="shared" si="3"/>
        <v>0</v>
      </c>
      <c r="G14" s="46" t="s">
        <v>26</v>
      </c>
      <c r="H14" s="46">
        <v>28.0</v>
      </c>
      <c r="I14" s="49" t="str">
        <f>HYPERLINK("https://www2.gnb.ca/content/gnb/en/departments/ocmoh/cdc/content/respiratory_diseases/coronavirus.html","Source")</f>
        <v>Source</v>
      </c>
      <c r="J14" s="28"/>
      <c r="K14" s="28"/>
      <c r="L14" s="35">
        <v>101.0</v>
      </c>
      <c r="M14" s="58">
        <v>0.0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30.0" customHeight="1">
      <c r="A15" s="33" t="s">
        <v>130</v>
      </c>
      <c r="B15" s="35">
        <v>22.0</v>
      </c>
      <c r="C15" s="38">
        <f t="shared" si="1"/>
        <v>0</v>
      </c>
      <c r="D15" s="58">
        <v>0.0</v>
      </c>
      <c r="E15" s="60">
        <f t="shared" si="2"/>
        <v>0</v>
      </c>
      <c r="F15" s="42">
        <f t="shared" si="3"/>
        <v>0</v>
      </c>
      <c r="G15" s="46" t="s">
        <v>26</v>
      </c>
      <c r="H15" s="46">
        <v>6.0</v>
      </c>
      <c r="I15" s="49" t="str">
        <f>HYPERLINK("https://www.princeedwardisland.ca/en/topic/covid-19","Source")</f>
        <v>Source</v>
      </c>
      <c r="J15" s="28"/>
      <c r="K15" s="28"/>
      <c r="L15" s="35">
        <v>22.0</v>
      </c>
      <c r="M15" s="58">
        <v>0.0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30.0" customHeight="1">
      <c r="A16" s="33" t="s">
        <v>134</v>
      </c>
      <c r="B16" s="35">
        <v>13.0</v>
      </c>
      <c r="C16" s="38">
        <f t="shared" si="1"/>
        <v>0</v>
      </c>
      <c r="D16" s="58">
        <v>0.0</v>
      </c>
      <c r="E16" s="60">
        <f t="shared" si="2"/>
        <v>0</v>
      </c>
      <c r="F16" s="70">
        <f t="shared" si="3"/>
        <v>0</v>
      </c>
      <c r="G16" s="46" t="s">
        <v>26</v>
      </c>
      <c r="H16" s="46" t="s">
        <v>26</v>
      </c>
      <c r="I16" s="49" t="str">
        <f>HYPERLINK("https://www.canada.ca/en/public-health/services/diseases/2019-novel-coronavirus-infection.html#a1","Source")</f>
        <v>Source</v>
      </c>
      <c r="J16" s="28"/>
      <c r="K16" s="28"/>
      <c r="L16" s="35">
        <v>13.0</v>
      </c>
      <c r="M16" s="58">
        <v>0.0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30.0" customHeight="1">
      <c r="A17" s="33" t="s">
        <v>138</v>
      </c>
      <c r="B17" s="35">
        <v>6.0</v>
      </c>
      <c r="C17" s="38">
        <f t="shared" si="1"/>
        <v>0</v>
      </c>
      <c r="D17" s="58">
        <v>0.0</v>
      </c>
      <c r="E17" s="60">
        <f t="shared" si="2"/>
        <v>0</v>
      </c>
      <c r="F17" s="70">
        <f t="shared" si="3"/>
        <v>0</v>
      </c>
      <c r="G17" s="46" t="s">
        <v>26</v>
      </c>
      <c r="H17" s="46">
        <v>4.0</v>
      </c>
      <c r="I17" s="49" t="str">
        <f>HYPERLINK("https://yukon.ca/covid-19","Source")</f>
        <v>Source</v>
      </c>
      <c r="J17" s="28"/>
      <c r="K17" s="28"/>
      <c r="L17" s="35">
        <v>6.0</v>
      </c>
      <c r="M17" s="58">
        <v>0.0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30.0" customHeight="1">
      <c r="A18" s="33" t="s">
        <v>140</v>
      </c>
      <c r="B18" s="35">
        <v>4.0</v>
      </c>
      <c r="C18" s="38">
        <f t="shared" si="1"/>
        <v>0</v>
      </c>
      <c r="D18" s="58">
        <v>0.0</v>
      </c>
      <c r="E18" s="60">
        <f t="shared" si="2"/>
        <v>0</v>
      </c>
      <c r="F18" s="42">
        <f t="shared" si="3"/>
        <v>0</v>
      </c>
      <c r="G18" s="46" t="s">
        <v>26</v>
      </c>
      <c r="H18" s="46">
        <v>1.0</v>
      </c>
      <c r="I18" s="49" t="str">
        <f>HYPERLINK("https://www.cbc.ca/news/canada/north/nwt-first-case-covid19-1.5505701","Source")</f>
        <v>Source</v>
      </c>
      <c r="J18" s="28"/>
      <c r="K18" s="28"/>
      <c r="L18" s="35">
        <v>4.0</v>
      </c>
      <c r="M18" s="58">
        <v>0.0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30.0" customHeight="1">
      <c r="A19" s="33" t="s">
        <v>143</v>
      </c>
      <c r="B19" s="35">
        <v>0.0</v>
      </c>
      <c r="C19" s="38">
        <f t="shared" si="1"/>
        <v>0</v>
      </c>
      <c r="D19" s="58">
        <v>0.0</v>
      </c>
      <c r="E19" s="60">
        <f t="shared" si="2"/>
        <v>0</v>
      </c>
      <c r="F19" s="108" t="s">
        <v>49</v>
      </c>
      <c r="G19" s="46" t="s">
        <v>49</v>
      </c>
      <c r="H19" s="46" t="s">
        <v>49</v>
      </c>
      <c r="I19" s="49" t="str">
        <f>HYPERLINK("https://www.gov.nu.ca/health/information/covid-19-novel-coronavirus","Source")</f>
        <v>Source</v>
      </c>
      <c r="J19" s="28"/>
      <c r="K19" s="28"/>
      <c r="L19" s="35">
        <v>0.0</v>
      </c>
      <c r="M19" s="58">
        <v>0.0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30.0" customHeight="1">
      <c r="A20" s="92" t="s">
        <v>57</v>
      </c>
      <c r="B20" s="93">
        <f>SUM(B6:B19)</f>
        <v>16529</v>
      </c>
      <c r="C20" s="38">
        <f t="shared" si="1"/>
        <v>0</v>
      </c>
      <c r="D20" s="93">
        <f>SUM(D6:D19)</f>
        <v>322</v>
      </c>
      <c r="E20" s="40">
        <f t="shared" si="2"/>
        <v>0</v>
      </c>
      <c r="F20" s="42">
        <f>DIVIDE(D20, B20)</f>
        <v>0.01948091234</v>
      </c>
      <c r="G20" s="93">
        <f t="shared" ref="G20:H20" si="4">SUM(G6:G19)</f>
        <v>317</v>
      </c>
      <c r="H20" s="93">
        <f t="shared" si="4"/>
        <v>3113</v>
      </c>
      <c r="I20" s="94"/>
      <c r="J20" s="28"/>
      <c r="K20" s="28"/>
      <c r="L20" s="93">
        <f t="shared" ref="L20:M20" si="5">SUM(L6:L19)</f>
        <v>16529</v>
      </c>
      <c r="M20" s="93">
        <f t="shared" si="5"/>
        <v>322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103"/>
      <c r="B21" s="9"/>
      <c r="C21" s="9"/>
      <c r="D21" s="9"/>
      <c r="E21" s="9"/>
      <c r="F21" s="9"/>
      <c r="G21" s="9"/>
      <c r="H21" s="9"/>
      <c r="I21" s="10"/>
      <c r="J21" s="4"/>
      <c r="K21" s="4"/>
      <c r="L21" s="9"/>
      <c r="M21" s="9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0"/>
      <c r="B22" s="101"/>
      <c r="C22" s="101"/>
      <c r="D22" s="9"/>
      <c r="E22" s="9"/>
      <c r="F22" s="9"/>
      <c r="G22" s="9"/>
      <c r="H22" s="9"/>
      <c r="I22" s="10"/>
      <c r="J22" s="4"/>
      <c r="K22" s="4"/>
      <c r="L22" s="101"/>
      <c r="M22" s="9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3"/>
      <c r="B23" s="9"/>
      <c r="C23" s="9"/>
      <c r="D23" s="9"/>
      <c r="E23" s="9"/>
      <c r="F23" s="9"/>
      <c r="G23" s="9"/>
      <c r="H23" s="9"/>
      <c r="I23" s="10"/>
      <c r="J23" s="4"/>
      <c r="K23" s="4"/>
      <c r="L23" s="9"/>
      <c r="M23" s="9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3"/>
      <c r="B24" s="9"/>
      <c r="C24" s="9"/>
      <c r="D24" s="9"/>
      <c r="E24" s="9"/>
      <c r="F24" s="9"/>
      <c r="G24" s="9"/>
      <c r="H24" s="9"/>
      <c r="I24" s="10"/>
      <c r="J24" s="4"/>
      <c r="K24" s="10"/>
      <c r="L24" s="9"/>
      <c r="M24" s="9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2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>
      <c r="A2" s="3" t="s">
        <v>1</v>
      </c>
      <c r="B2" s="3" t="s">
        <v>2</v>
      </c>
      <c r="D2" s="5" t="s">
        <v>3</v>
      </c>
      <c r="F2" s="11" t="s">
        <v>164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>
      <c r="A3" s="13">
        <f t="shared" ref="A3:B3" si="1">SUM(B15, B16)</f>
        <v>83595</v>
      </c>
      <c r="B3" s="13">
        <f t="shared" si="1"/>
        <v>3331</v>
      </c>
      <c r="D3" s="14">
        <f>SUM(F15, F16)</f>
        <v>77451</v>
      </c>
      <c r="F3" s="15">
        <f>MINUS(A3,B3 + D3)</f>
        <v>2813</v>
      </c>
      <c r="G3" s="15"/>
      <c r="H3" s="5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>
      <c r="A4" s="17"/>
      <c r="B4" s="8"/>
      <c r="C4" s="8"/>
      <c r="D4" s="7"/>
      <c r="E4" s="7"/>
      <c r="F4" s="7"/>
      <c r="G4" s="8"/>
      <c r="H4" s="4"/>
      <c r="I4" s="4"/>
      <c r="J4" s="4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30.0" customHeight="1">
      <c r="A5" s="110" t="s">
        <v>167</v>
      </c>
      <c r="B5" s="111" t="s">
        <v>7</v>
      </c>
      <c r="C5" s="111" t="s">
        <v>10</v>
      </c>
      <c r="D5" s="112" t="s">
        <v>170</v>
      </c>
      <c r="E5" s="112" t="s">
        <v>171</v>
      </c>
      <c r="F5" s="112" t="s">
        <v>14</v>
      </c>
      <c r="G5" s="111"/>
      <c r="H5" s="28"/>
      <c r="I5" s="28"/>
      <c r="J5" s="28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ht="30.0" customHeight="1">
      <c r="A6" s="86" t="s">
        <v>172</v>
      </c>
      <c r="B6" s="87">
        <v>67803.0</v>
      </c>
      <c r="C6" s="87">
        <v>3212.0</v>
      </c>
      <c r="D6" s="113">
        <v>184.0</v>
      </c>
      <c r="E6" s="89" t="s">
        <v>26</v>
      </c>
      <c r="F6" s="113">
        <v>64073.0</v>
      </c>
      <c r="G6" s="114" t="str">
        <f>HYPERLINK("http://www.nhc.gov.cn/yjb/s7860/202004/4c63d42ef61142d6a3d827b9f9fd2fe9.shtml","Source")</f>
        <v>Source</v>
      </c>
      <c r="H6" s="106"/>
      <c r="I6" s="28"/>
      <c r="J6" s="28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ht="30.0" customHeight="1">
      <c r="A7" s="115" t="s">
        <v>175</v>
      </c>
      <c r="B7" s="116">
        <v>1450.0</v>
      </c>
      <c r="C7" s="117">
        <v>8.0</v>
      </c>
      <c r="D7" s="118">
        <v>2.0</v>
      </c>
      <c r="E7" s="118">
        <v>4.0</v>
      </c>
      <c r="F7" s="119">
        <v>1357.0</v>
      </c>
      <c r="G7" s="120" t="str">
        <f>HYPERLINK("http://wsjkw.gd.gov.cn/zwyw_yqxx/content/post_2963066.html","Source")</f>
        <v>Source</v>
      </c>
      <c r="H7" s="28"/>
      <c r="I7" s="28"/>
      <c r="J7" s="28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ht="30.0" customHeight="1">
      <c r="A8" s="86" t="s">
        <v>178</v>
      </c>
      <c r="B8" s="87">
        <v>1276.0</v>
      </c>
      <c r="C8" s="88">
        <v>22.0</v>
      </c>
      <c r="D8" s="89">
        <v>0.0</v>
      </c>
      <c r="E8" s="89">
        <v>0.0</v>
      </c>
      <c r="F8" s="113">
        <v>1251.0</v>
      </c>
      <c r="G8" s="114" t="str">
        <f>HYPERLINK("https://m.weibo.cn/detail/4488452735550800","Source")</f>
        <v>Source</v>
      </c>
      <c r="H8" s="106"/>
      <c r="I8" s="28"/>
      <c r="J8" s="28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ht="30.0" customHeight="1">
      <c r="A9" s="86" t="s">
        <v>181</v>
      </c>
      <c r="B9" s="87">
        <v>1257.0</v>
      </c>
      <c r="C9" s="88">
        <v>1.0</v>
      </c>
      <c r="D9" s="89" t="s">
        <v>26</v>
      </c>
      <c r="E9" s="89" t="s">
        <v>26</v>
      </c>
      <c r="F9" s="113">
        <v>1226.0</v>
      </c>
      <c r="G9" s="121" t="str">
        <f>HYPERLINK("http://www.bjnews.com.cn/feature/2020/03/31/711060.html","Source")</f>
        <v>Source</v>
      </c>
      <c r="H9" s="28"/>
      <c r="I9" s="28"/>
      <c r="J9" s="28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ht="30.0" customHeight="1">
      <c r="A10" s="86" t="s">
        <v>184</v>
      </c>
      <c r="B10" s="87">
        <v>1018.0</v>
      </c>
      <c r="C10" s="88">
        <v>4.0</v>
      </c>
      <c r="D10" s="89">
        <v>0.0</v>
      </c>
      <c r="E10" s="89">
        <v>0.0</v>
      </c>
      <c r="F10" s="113">
        <v>1014.0</v>
      </c>
      <c r="G10" s="114" t="str">
        <f>HYPERLINK("http://wjw.hunan.gov.cn/wjw/xxgk/gzdt/zyxw_1/202003/t20200331_11867420.html","Source")</f>
        <v>Source</v>
      </c>
      <c r="H10" s="28"/>
      <c r="I10" s="28"/>
      <c r="J10" s="28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ht="30.0" customHeight="1">
      <c r="A11" s="86" t="s">
        <v>185</v>
      </c>
      <c r="B11" s="87">
        <v>580.0</v>
      </c>
      <c r="C11" s="88">
        <v>8.0</v>
      </c>
      <c r="D11" s="89" t="s">
        <v>26</v>
      </c>
      <c r="E11" s="89" t="s">
        <v>26</v>
      </c>
      <c r="F11" s="89">
        <v>418.0</v>
      </c>
      <c r="G11" s="121" t="str">
        <f>HYPERLINK("http://wjw.beijing.gov.cn/xwzx_20031/wnxw/202004/t20200401_1771919.html","Source")</f>
        <v>Source</v>
      </c>
      <c r="H11" s="28"/>
      <c r="I11" s="28"/>
      <c r="J11" s="28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ht="30.0" customHeight="1">
      <c r="A12" s="86" t="s">
        <v>188</v>
      </c>
      <c r="B12" s="87">
        <v>516.0</v>
      </c>
      <c r="C12" s="88">
        <v>6.0</v>
      </c>
      <c r="D12" s="89">
        <v>0.0</v>
      </c>
      <c r="E12" s="89">
        <v>5.0</v>
      </c>
      <c r="F12" s="89">
        <v>341.0</v>
      </c>
      <c r="G12" s="114" t="str">
        <f>HYPERLINK("http://wsjkw.sh.gov.cn/xwfb/20200401/50133c67b43d4c91a884d6de41dfce23.html","Source")</f>
        <v>Source</v>
      </c>
      <c r="H12" s="28"/>
      <c r="I12" s="28"/>
      <c r="J12" s="28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ht="30.0" customHeight="1">
      <c r="A13" s="86" t="s">
        <v>189</v>
      </c>
      <c r="B13" s="87">
        <v>7840.0</v>
      </c>
      <c r="C13" s="88">
        <v>70.0</v>
      </c>
      <c r="D13" s="89" t="s">
        <v>191</v>
      </c>
      <c r="E13" s="89" t="s">
        <v>26</v>
      </c>
      <c r="F13" s="113">
        <v>7457.0</v>
      </c>
      <c r="G13" s="114" t="str">
        <f>HYPERLINK("http://www.nhc.gov.cn/yjb/s7860/202004/4c63d42ef61142d6a3d827b9f9fd2fe9.shtml","Source")</f>
        <v>Source</v>
      </c>
      <c r="H13" s="106"/>
      <c r="I13" s="28"/>
      <c r="J13" s="28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ht="30.0" customHeight="1">
      <c r="A14" s="86" t="s">
        <v>194</v>
      </c>
      <c r="B14" s="87">
        <v>1855.0</v>
      </c>
      <c r="C14" s="88">
        <v>0.0</v>
      </c>
      <c r="D14" s="89">
        <v>0.0</v>
      </c>
      <c r="E14" s="89">
        <v>0.0</v>
      </c>
      <c r="F14" s="113">
        <v>314.0</v>
      </c>
      <c r="G14" s="90"/>
      <c r="H14" s="106"/>
      <c r="I14" s="28"/>
      <c r="J14" s="28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ht="30.0" customHeight="1">
      <c r="A15" s="96" t="s">
        <v>57</v>
      </c>
      <c r="B15" s="122">
        <f t="shared" ref="B15:C15" si="2">SUM(B6:B14)</f>
        <v>83595</v>
      </c>
      <c r="C15" s="122">
        <f t="shared" si="2"/>
        <v>3331</v>
      </c>
      <c r="D15" s="122">
        <v>211.0</v>
      </c>
      <c r="E15" s="122"/>
      <c r="F15" s="122">
        <f>SUM(F6:F14)</f>
        <v>77451</v>
      </c>
      <c r="G15" s="99"/>
      <c r="H15" s="28"/>
      <c r="I15" s="28"/>
      <c r="J15" s="28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>
      <c r="A16" s="96"/>
      <c r="B16" s="97"/>
      <c r="C16" s="97"/>
      <c r="D16" s="98"/>
      <c r="E16" s="123"/>
      <c r="F16" s="97"/>
      <c r="G16" s="99"/>
      <c r="H16" s="4"/>
      <c r="I16" s="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>
      <c r="A17" s="100"/>
      <c r="B17" s="101"/>
      <c r="C17" s="9"/>
      <c r="D17" s="9"/>
      <c r="E17" s="9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>
      <c r="A18" s="103"/>
      <c r="B18" s="9"/>
      <c r="C18" s="9"/>
      <c r="D18" s="9"/>
      <c r="E18" s="9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>
      <c r="A19" s="103"/>
      <c r="B19" s="9"/>
      <c r="C19" s="9"/>
      <c r="D19" s="9"/>
      <c r="E19" s="9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2" t="s">
        <v>203</v>
      </c>
      <c r="F1" s="10"/>
      <c r="G1" s="10"/>
      <c r="H1" s="10"/>
    </row>
    <row r="2">
      <c r="A2" s="3" t="s">
        <v>205</v>
      </c>
      <c r="B2" s="3" t="s">
        <v>206</v>
      </c>
      <c r="D2" s="5" t="s">
        <v>207</v>
      </c>
      <c r="E2" s="7"/>
      <c r="F2" s="10"/>
      <c r="G2" s="10"/>
      <c r="H2" s="10"/>
    </row>
    <row r="3">
      <c r="A3" s="13">
        <f t="shared" ref="A3:B3" si="1">SUM(B24, B25)</f>
        <v>3196</v>
      </c>
      <c r="B3" s="13">
        <f t="shared" si="1"/>
        <v>33</v>
      </c>
      <c r="D3" s="14">
        <f>SUM(E24, E25)</f>
        <v>9</v>
      </c>
      <c r="E3" s="7"/>
      <c r="F3" s="10"/>
      <c r="G3" s="10"/>
      <c r="H3" s="10"/>
    </row>
    <row r="4">
      <c r="A4" s="17"/>
      <c r="B4" s="8"/>
      <c r="C4" s="8"/>
      <c r="D4" s="7"/>
      <c r="E4" s="7"/>
      <c r="F4" s="10"/>
      <c r="G4" s="10"/>
      <c r="H4" s="10"/>
    </row>
    <row r="5" ht="30.0" customHeight="1">
      <c r="A5" s="110" t="s">
        <v>210</v>
      </c>
      <c r="B5" s="111" t="s">
        <v>211</v>
      </c>
      <c r="C5" s="111" t="s">
        <v>212</v>
      </c>
      <c r="D5" s="112" t="s">
        <v>213</v>
      </c>
      <c r="E5" s="112" t="s">
        <v>214</v>
      </c>
      <c r="F5" s="30"/>
      <c r="G5" s="30"/>
      <c r="H5" s="30"/>
    </row>
    <row r="6" ht="30.0" customHeight="1">
      <c r="A6" s="86" t="s">
        <v>215</v>
      </c>
      <c r="B6" s="87">
        <v>977.0</v>
      </c>
      <c r="C6" s="88">
        <v>11.0</v>
      </c>
      <c r="D6" s="89"/>
      <c r="E6" s="89">
        <v>1.0</v>
      </c>
      <c r="F6" s="30"/>
      <c r="G6" s="30"/>
      <c r="H6" s="30"/>
    </row>
    <row r="7" ht="30.0" customHeight="1">
      <c r="A7" s="86" t="s">
        <v>122</v>
      </c>
      <c r="B7" s="87">
        <v>434.0</v>
      </c>
      <c r="C7" s="88">
        <v>0.0</v>
      </c>
      <c r="D7" s="89"/>
      <c r="E7" s="125"/>
      <c r="F7" s="30"/>
      <c r="G7" s="30"/>
      <c r="H7" s="30"/>
    </row>
    <row r="8" ht="30.0" customHeight="1">
      <c r="A8" s="86" t="s">
        <v>145</v>
      </c>
      <c r="B8" s="87">
        <v>426.0</v>
      </c>
      <c r="C8" s="87">
        <v>7.0</v>
      </c>
      <c r="D8" s="113">
        <v>6.0</v>
      </c>
      <c r="E8" s="89">
        <v>3.0</v>
      </c>
      <c r="F8" s="30"/>
      <c r="G8" s="30"/>
      <c r="H8" s="30"/>
    </row>
    <row r="9" ht="30.0" customHeight="1">
      <c r="A9" s="86" t="s">
        <v>163</v>
      </c>
      <c r="B9" s="87">
        <v>263.0</v>
      </c>
      <c r="C9" s="88">
        <v>3.0</v>
      </c>
      <c r="D9" s="89">
        <v>16.0</v>
      </c>
      <c r="E9" s="89">
        <v>2.0</v>
      </c>
      <c r="F9" s="30"/>
      <c r="G9" s="30"/>
      <c r="H9" s="30"/>
    </row>
    <row r="10" ht="30.0" customHeight="1">
      <c r="A10" s="86" t="s">
        <v>218</v>
      </c>
      <c r="B10" s="87">
        <v>203.0</v>
      </c>
      <c r="C10" s="88">
        <v>2.0</v>
      </c>
      <c r="D10" s="89">
        <v>3.0</v>
      </c>
      <c r="E10" s="89">
        <v>3.0</v>
      </c>
      <c r="F10" s="30"/>
      <c r="G10" s="30"/>
      <c r="H10" s="30"/>
    </row>
    <row r="11" ht="30.0" customHeight="1">
      <c r="A11" s="86" t="s">
        <v>219</v>
      </c>
      <c r="B11" s="87">
        <v>200.0</v>
      </c>
      <c r="C11" s="88">
        <v>1.0</v>
      </c>
      <c r="D11" s="89">
        <v>8.0</v>
      </c>
      <c r="E11" s="125"/>
      <c r="F11" s="30"/>
      <c r="G11" s="30"/>
      <c r="H11" s="30"/>
    </row>
    <row r="12" ht="30.0" customHeight="1">
      <c r="A12" s="86" t="s">
        <v>199</v>
      </c>
      <c r="B12" s="87">
        <v>158.0</v>
      </c>
      <c r="C12" s="88">
        <v>3.0</v>
      </c>
      <c r="D12" s="89"/>
      <c r="E12" s="125"/>
      <c r="F12" s="30"/>
      <c r="G12" s="30"/>
      <c r="H12" s="30"/>
    </row>
    <row r="13" ht="30.0" customHeight="1">
      <c r="A13" s="86" t="s">
        <v>204</v>
      </c>
      <c r="B13" s="87">
        <v>158.0</v>
      </c>
      <c r="C13" s="88">
        <v>0.0</v>
      </c>
      <c r="D13" s="89"/>
      <c r="E13" s="125"/>
      <c r="F13" s="30"/>
      <c r="G13" s="30"/>
      <c r="H13" s="30"/>
    </row>
    <row r="14" ht="30.0" customHeight="1">
      <c r="A14" s="86" t="s">
        <v>222</v>
      </c>
      <c r="B14" s="87">
        <v>113.0</v>
      </c>
      <c r="C14" s="88">
        <v>2.0</v>
      </c>
      <c r="D14" s="89"/>
      <c r="E14" s="125"/>
      <c r="F14" s="30"/>
      <c r="G14" s="30"/>
      <c r="H14" s="30"/>
    </row>
    <row r="15" ht="30.0" customHeight="1">
      <c r="A15" s="86" t="s">
        <v>223</v>
      </c>
      <c r="B15" s="87">
        <v>110.0</v>
      </c>
      <c r="C15" s="88"/>
      <c r="D15" s="89"/>
      <c r="E15" s="125"/>
      <c r="F15" s="30"/>
      <c r="G15" s="30"/>
      <c r="H15" s="30"/>
    </row>
    <row r="16" ht="30.0" customHeight="1">
      <c r="A16" s="86" t="s">
        <v>224</v>
      </c>
      <c r="B16" s="87">
        <v>72.0</v>
      </c>
      <c r="C16" s="88">
        <v>2.0</v>
      </c>
      <c r="D16" s="89"/>
      <c r="E16" s="125"/>
      <c r="F16" s="30"/>
      <c r="G16" s="30"/>
      <c r="H16" s="30"/>
    </row>
    <row r="17" ht="30.0" customHeight="1">
      <c r="A17" s="86" t="s">
        <v>225</v>
      </c>
      <c r="B17" s="87">
        <v>24.0</v>
      </c>
      <c r="C17" s="88">
        <v>0.0</v>
      </c>
      <c r="D17" s="89"/>
      <c r="E17" s="125"/>
      <c r="F17" s="30"/>
      <c r="G17" s="30"/>
      <c r="H17" s="30"/>
    </row>
    <row r="18" ht="30.0" customHeight="1">
      <c r="A18" s="86" t="s">
        <v>227</v>
      </c>
      <c r="B18" s="87">
        <v>21.0</v>
      </c>
      <c r="C18" s="88">
        <v>1.0</v>
      </c>
      <c r="D18" s="89"/>
      <c r="E18" s="125"/>
      <c r="F18" s="30"/>
      <c r="G18" s="30"/>
      <c r="H18" s="30"/>
    </row>
    <row r="19" ht="30.0" customHeight="1">
      <c r="A19" s="86" t="s">
        <v>229</v>
      </c>
      <c r="B19" s="87">
        <v>19.0</v>
      </c>
      <c r="C19" s="88">
        <v>0.0</v>
      </c>
      <c r="D19" s="89"/>
      <c r="E19" s="125"/>
      <c r="F19" s="30"/>
      <c r="G19" s="30"/>
      <c r="H19" s="30"/>
    </row>
    <row r="20" ht="30.0" customHeight="1">
      <c r="A20" s="86" t="s">
        <v>230</v>
      </c>
      <c r="B20" s="87">
        <v>18.0</v>
      </c>
      <c r="C20" s="88">
        <v>1.0</v>
      </c>
      <c r="D20" s="89"/>
      <c r="E20" s="125"/>
      <c r="F20" s="30"/>
      <c r="G20" s="30"/>
      <c r="H20" s="30"/>
    </row>
    <row r="21" ht="30.0" customHeight="1">
      <c r="A21" s="86" t="s">
        <v>231</v>
      </c>
      <c r="B21" s="87">
        <v>13.0</v>
      </c>
      <c r="C21" s="88">
        <v>1.0</v>
      </c>
      <c r="D21" s="89"/>
      <c r="E21" s="125"/>
      <c r="F21" s="30"/>
      <c r="G21" s="30"/>
      <c r="H21" s="30"/>
    </row>
    <row r="22" ht="30.0" customHeight="1">
      <c r="A22" s="86" t="s">
        <v>232</v>
      </c>
      <c r="B22" s="87">
        <v>3.0</v>
      </c>
      <c r="C22" s="88"/>
      <c r="D22" s="89"/>
      <c r="E22" s="125"/>
      <c r="F22" s="30"/>
      <c r="G22" s="30"/>
      <c r="H22" s="30"/>
    </row>
    <row r="23" ht="30.0" customHeight="1">
      <c r="A23" s="86" t="s">
        <v>234</v>
      </c>
      <c r="B23" s="87">
        <v>2.0</v>
      </c>
      <c r="C23" s="88"/>
      <c r="D23" s="89"/>
      <c r="E23" s="125"/>
      <c r="F23" s="30"/>
      <c r="G23" s="30"/>
      <c r="H23" s="30"/>
    </row>
    <row r="24" ht="30.0" customHeight="1">
      <c r="A24" s="96" t="s">
        <v>57</v>
      </c>
      <c r="B24" s="122">
        <f t="shared" ref="B24:C24" si="2">SUM(B6:B20)</f>
        <v>3196</v>
      </c>
      <c r="C24" s="122">
        <f t="shared" si="2"/>
        <v>33</v>
      </c>
      <c r="D24" s="122">
        <f t="shared" ref="D24:E24" si="3">SUM(D6:D16)</f>
        <v>33</v>
      </c>
      <c r="E24" s="122">
        <f t="shared" si="3"/>
        <v>9</v>
      </c>
      <c r="F24" s="30"/>
      <c r="G24" s="30"/>
      <c r="H24" s="30"/>
    </row>
    <row r="25">
      <c r="A25" s="103"/>
      <c r="B25" s="9"/>
      <c r="C25" s="9"/>
      <c r="D25" s="9"/>
      <c r="E25" s="9"/>
      <c r="F25" s="10"/>
      <c r="G25" s="10"/>
      <c r="H25" s="10"/>
    </row>
    <row r="26">
      <c r="A26" s="100"/>
      <c r="B26" s="101"/>
      <c r="C26" s="9"/>
      <c r="D26" s="9"/>
      <c r="E26" s="9"/>
      <c r="F26" s="10"/>
      <c r="G26" s="10"/>
      <c r="H26" s="10"/>
    </row>
    <row r="27">
      <c r="A27" s="103"/>
      <c r="B27" s="9"/>
      <c r="C27" s="9"/>
      <c r="D27" s="9"/>
      <c r="E27" s="9"/>
      <c r="F27" s="10"/>
      <c r="G27" s="10"/>
      <c r="H27" s="10"/>
    </row>
    <row r="28">
      <c r="A28" s="103"/>
      <c r="B28" s="9"/>
      <c r="C28" s="9"/>
      <c r="D28" s="9"/>
      <c r="E28" s="9"/>
      <c r="F28" s="10"/>
      <c r="G28" s="10"/>
      <c r="H28" s="10"/>
    </row>
  </sheetData>
  <mergeCells count="3">
    <mergeCell ref="A1:E1"/>
    <mergeCell ref="B2:C2"/>
    <mergeCell ref="B3:C3"/>
  </mergeCells>
  <drawing r:id="rId1"/>
  <tableParts count="1">
    <tablePart r:id="rId3"/>
  </tableParts>
</worksheet>
</file>