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Notes" sheetId="6" r:id="rId9"/>
    <sheet state="visible" name="Cases" sheetId="9" r:id="rId10"/>
    <sheet state="visible" name="Deaths" sheetId="11" r:id="rId11"/>
    <sheet state="visible" name="América Latina" sheetId="12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30,902 confirmed or suspected cases in nursing homes (23,620 old)</t>
      </text>
    </comment>
    <comment authorId="0" ref="L11">
      <text>
        <t xml:space="preserve">30,902 confirmed or suspected cases in nursing homes (23,620 old)</t>
      </text>
    </comment>
  </commentList>
</comments>
</file>

<file path=xl/sharedStrings.xml><?xml version="1.0" encoding="utf-8"?>
<sst xmlns="http://schemas.openxmlformats.org/spreadsheetml/2006/main" count="840" uniqueCount="388">
  <si>
    <t>Updated throughout the day</t>
  </si>
  <si>
    <t>Currently being updated</t>
  </si>
  <si>
    <t>CASES</t>
  </si>
  <si>
    <t>DEATHS</t>
  </si>
  <si>
    <t>RECOVERED</t>
  </si>
  <si>
    <t>UNRESOLVED</t>
  </si>
  <si>
    <t>UNITED STATES</t>
  </si>
  <si>
    <t>AUSTRALIA</t>
  </si>
  <si>
    <t>Cases</t>
  </si>
  <si>
    <t>New cases</t>
  </si>
  <si>
    <t>Deaths</t>
  </si>
  <si>
    <t>New deaths</t>
  </si>
  <si>
    <t>LOCATION</t>
  </si>
  <si>
    <t>Death rate</t>
  </si>
  <si>
    <t>Serious &amp; Critical</t>
  </si>
  <si>
    <t>Recovered</t>
  </si>
  <si>
    <t>Links</t>
  </si>
  <si>
    <t>New York</t>
  </si>
  <si>
    <t>United States</t>
  </si>
  <si>
    <t>New South Wales</t>
  </si>
  <si>
    <t>Victoria</t>
  </si>
  <si>
    <t>New Jersey</t>
  </si>
  <si>
    <t>Queensland</t>
  </si>
  <si>
    <t>Spain</t>
  </si>
  <si>
    <t>N/A</t>
  </si>
  <si>
    <t>Western Australia</t>
  </si>
  <si>
    <t>Italy</t>
  </si>
  <si>
    <t>Daily</t>
  </si>
  <si>
    <t>Michigan</t>
  </si>
  <si>
    <t>South Australia</t>
  </si>
  <si>
    <t>Germany</t>
  </si>
  <si>
    <t>California</t>
  </si>
  <si>
    <t>France</t>
  </si>
  <si>
    <t>Tasmania</t>
  </si>
  <si>
    <t>Frequent</t>
  </si>
  <si>
    <t>Massachusetts</t>
  </si>
  <si>
    <t>Canberra (ACT)</t>
  </si>
  <si>
    <t>China</t>
  </si>
  <si>
    <t>Pennsylvania</t>
  </si>
  <si>
    <t>Northern Territory</t>
  </si>
  <si>
    <t>Louisiana</t>
  </si>
  <si>
    <t>Iran</t>
  </si>
  <si>
    <t>External territories</t>
  </si>
  <si>
    <t>Florida</t>
  </si>
  <si>
    <t>United Kingdom</t>
  </si>
  <si>
    <t>-</t>
  </si>
  <si>
    <t>Illinois</t>
  </si>
  <si>
    <t>Jervis Bay</t>
  </si>
  <si>
    <t>Turkey</t>
  </si>
  <si>
    <t>Texas</t>
  </si>
  <si>
    <t>Belgium</t>
  </si>
  <si>
    <t>Georgia</t>
  </si>
  <si>
    <t>TOTAL</t>
  </si>
  <si>
    <t>Switzerland</t>
  </si>
  <si>
    <t>Several</t>
  </si>
  <si>
    <t>Washington</t>
  </si>
  <si>
    <t>Netherlands</t>
  </si>
  <si>
    <t>Connecticut</t>
  </si>
  <si>
    <t>Canada</t>
  </si>
  <si>
    <t>Indiana</t>
  </si>
  <si>
    <t>Brazil</t>
  </si>
  <si>
    <t>Colorado</t>
  </si>
  <si>
    <t>Portugal</t>
  </si>
  <si>
    <t>Maryland</t>
  </si>
  <si>
    <t>Austria</t>
  </si>
  <si>
    <t>Ohio</t>
  </si>
  <si>
    <t>Throughout</t>
  </si>
  <si>
    <t>South Korea</t>
  </si>
  <si>
    <t>Tennessee</t>
  </si>
  <si>
    <t>Russia</t>
  </si>
  <si>
    <t>Virginia</t>
  </si>
  <si>
    <t>Israel</t>
  </si>
  <si>
    <t>At least 2</t>
  </si>
  <si>
    <t>Sweden</t>
  </si>
  <si>
    <t>North Carolina</t>
  </si>
  <si>
    <t>India</t>
  </si>
  <si>
    <t>Missouri</t>
  </si>
  <si>
    <t>Australia</t>
  </si>
  <si>
    <t>U.S. military</t>
  </si>
  <si>
    <t>CANADA</t>
  </si>
  <si>
    <t>Norway</t>
  </si>
  <si>
    <t>Quebec</t>
  </si>
  <si>
    <t>Arizona</t>
  </si>
  <si>
    <t>Ireland</t>
  </si>
  <si>
    <t>Wisconsin</t>
  </si>
  <si>
    <t>Ontario</t>
  </si>
  <si>
    <t>Chile</t>
  </si>
  <si>
    <t>Alabama</t>
  </si>
  <si>
    <t>Denmark</t>
  </si>
  <si>
    <t>Alberta</t>
  </si>
  <si>
    <t>South Carolina</t>
  </si>
  <si>
    <t>Poland</t>
  </si>
  <si>
    <t>British Columbia</t>
  </si>
  <si>
    <t>Nevada</t>
  </si>
  <si>
    <t>Czech Republic</t>
  </si>
  <si>
    <t>Nova Scotia</t>
  </si>
  <si>
    <t>Mississippi</t>
  </si>
  <si>
    <t>Numerous</t>
  </si>
  <si>
    <t>Peru</t>
  </si>
  <si>
    <t>Saskatchewan</t>
  </si>
  <si>
    <t>Utah</t>
  </si>
  <si>
    <t>Romania</t>
  </si>
  <si>
    <t>Newfoundland &amp; Labrador</t>
  </si>
  <si>
    <t>Rhode Island</t>
  </si>
  <si>
    <t>Daily + deaths</t>
  </si>
  <si>
    <t>Oklahoma</t>
  </si>
  <si>
    <t>Japan</t>
  </si>
  <si>
    <t>Manitoba</t>
  </si>
  <si>
    <t>District of Columbia</t>
  </si>
  <si>
    <t>Ecuador</t>
  </si>
  <si>
    <t>New Brunswick</t>
  </si>
  <si>
    <t>2 updates</t>
  </si>
  <si>
    <t>Pakistan</t>
  </si>
  <si>
    <t>Kentucky</t>
  </si>
  <si>
    <t>Prince Edward Island</t>
  </si>
  <si>
    <t>Any time</t>
  </si>
  <si>
    <t>Malaysia</t>
  </si>
  <si>
    <t>Idaho</t>
  </si>
  <si>
    <t>Repatriated travellers</t>
  </si>
  <si>
    <t>Philippines</t>
  </si>
  <si>
    <t>Oregon</t>
  </si>
  <si>
    <t>Indonesia</t>
  </si>
  <si>
    <t>Yukon</t>
  </si>
  <si>
    <t>Iowa</t>
  </si>
  <si>
    <t>Saudi Arabia</t>
  </si>
  <si>
    <t>Northwest Territories</t>
  </si>
  <si>
    <t>Minnesota</t>
  </si>
  <si>
    <t>Mexico</t>
  </si>
  <si>
    <t>Nunavut</t>
  </si>
  <si>
    <t>Delaware</t>
  </si>
  <si>
    <t>Luxembourg</t>
  </si>
  <si>
    <t>Arkansas</t>
  </si>
  <si>
    <t>3 times/day</t>
  </si>
  <si>
    <t>United Arab Emirates</t>
  </si>
  <si>
    <t>Kansas</t>
  </si>
  <si>
    <t>Serbia</t>
  </si>
  <si>
    <t>New Mexico</t>
  </si>
  <si>
    <t>Panama</t>
  </si>
  <si>
    <t>New Hampshire</t>
  </si>
  <si>
    <t>Finland</t>
  </si>
  <si>
    <t>Puerto Rico</t>
  </si>
  <si>
    <t>Thailand</t>
  </si>
  <si>
    <t>Vermont</t>
  </si>
  <si>
    <t>Qatar</t>
  </si>
  <si>
    <t>Nebraska</t>
  </si>
  <si>
    <t>Dominican Republic</t>
  </si>
  <si>
    <t>Maine</t>
  </si>
  <si>
    <t>ACTIVE CASES</t>
  </si>
  <si>
    <t>Colombia</t>
  </si>
  <si>
    <t>West Virginia</t>
  </si>
  <si>
    <t>MAINLAND CHINA</t>
  </si>
  <si>
    <t>Greece</t>
  </si>
  <si>
    <t>Serious</t>
  </si>
  <si>
    <t>Critical</t>
  </si>
  <si>
    <t>Hubei province (includes Wuhan)</t>
  </si>
  <si>
    <t>South Dakota</t>
  </si>
  <si>
    <t>South Africa</t>
  </si>
  <si>
    <t>Guangdong province</t>
  </si>
  <si>
    <t>Hawaii</t>
  </si>
  <si>
    <t>Singapore</t>
  </si>
  <si>
    <t>Henan province</t>
  </si>
  <si>
    <t>Zhejiang province</t>
  </si>
  <si>
    <t>Federal prisons</t>
  </si>
  <si>
    <t>Ukraine</t>
  </si>
  <si>
    <t>Hunan province</t>
  </si>
  <si>
    <t>Beijing</t>
  </si>
  <si>
    <t>2 times/day</t>
  </si>
  <si>
    <t>Montana</t>
  </si>
  <si>
    <t>Argentina</t>
  </si>
  <si>
    <t>Shanghai</t>
  </si>
  <si>
    <t>Other regions/TBD</t>
  </si>
  <si>
    <t>&lt;28</t>
  </si>
  <si>
    <t>Twice a day</t>
  </si>
  <si>
    <t>Asymptomatic</t>
  </si>
  <si>
    <t>Wyoming</t>
  </si>
  <si>
    <t>Egypt</t>
  </si>
  <si>
    <t>North Dakota</t>
  </si>
  <si>
    <t>Algeria</t>
  </si>
  <si>
    <t>Iceland</t>
  </si>
  <si>
    <t>Alaska</t>
  </si>
  <si>
    <t>Guam</t>
  </si>
  <si>
    <t>Belarus</t>
  </si>
  <si>
    <t>U.S. Virgin Islands</t>
  </si>
  <si>
    <t>Croatia</t>
  </si>
  <si>
    <t>Disputed territories</t>
  </si>
  <si>
    <t>Donetsk People’s Republic</t>
  </si>
  <si>
    <t>Diamond Princess (repatriated)</t>
  </si>
  <si>
    <t>Morocco</t>
  </si>
  <si>
    <t>Grand Princess</t>
  </si>
  <si>
    <t>Luhansk People's Republic</t>
  </si>
  <si>
    <t>At least 3</t>
  </si>
  <si>
    <t>Snohomish</t>
  </si>
  <si>
    <t>New Zealand</t>
  </si>
  <si>
    <t>Abkhazia</t>
  </si>
  <si>
    <t>Northern Mariana Islands</t>
  </si>
  <si>
    <t>Estonia</t>
  </si>
  <si>
    <t>Pierce</t>
  </si>
  <si>
    <t>Iraq</t>
  </si>
  <si>
    <t>Wuhan (repatriated)</t>
  </si>
  <si>
    <t>Republic of Artsakh (AKA Nagorno-Karabakh)</t>
  </si>
  <si>
    <t>Kittitas</t>
  </si>
  <si>
    <t>Moldova</t>
  </si>
  <si>
    <t>American Samoa</t>
  </si>
  <si>
    <t>Grant</t>
  </si>
  <si>
    <t>ICE/TSA/CBP</t>
  </si>
  <si>
    <t>Yakima</t>
  </si>
  <si>
    <t>Slovenia</t>
  </si>
  <si>
    <t>To check for inclusion</t>
  </si>
  <si>
    <t>Whatcom</t>
  </si>
  <si>
    <t>Reunion</t>
  </si>
  <si>
    <t>Hungary</t>
  </si>
  <si>
    <t>Spokane</t>
  </si>
  <si>
    <t>U.S. TOTAL</t>
  </si>
  <si>
    <t>Saint Pierre and Miquelon</t>
  </si>
  <si>
    <t>King</t>
  </si>
  <si>
    <t>Hong Kong</t>
  </si>
  <si>
    <t>Guantanamo</t>
  </si>
  <si>
    <t>Island</t>
  </si>
  <si>
    <t>Sint Eustatius</t>
  </si>
  <si>
    <t>Lithuania</t>
  </si>
  <si>
    <t>Franklin</t>
  </si>
  <si>
    <t>Somaliland</t>
  </si>
  <si>
    <t>Benton</t>
  </si>
  <si>
    <t>São Tomé and Príncipe</t>
  </si>
  <si>
    <t>Other</t>
  </si>
  <si>
    <t>Åland Islands</t>
  </si>
  <si>
    <t>Armenia</t>
  </si>
  <si>
    <t>Total</t>
  </si>
  <si>
    <t>% of deaths</t>
  </si>
  <si>
    <t>Kuwait</t>
  </si>
  <si>
    <t>Akrotiri and Dhekelia</t>
  </si>
  <si>
    <t>Saint Martin</t>
  </si>
  <si>
    <t>French Guiana</t>
  </si>
  <si>
    <t>Bosnia</t>
  </si>
  <si>
    <t>Guadeloupe</t>
  </si>
  <si>
    <t>Martinique</t>
  </si>
  <si>
    <t>Bahrain</t>
  </si>
  <si>
    <t>Mayotte</t>
  </si>
  <si>
    <t>Calculating recoveries for</t>
  </si>
  <si>
    <t>Find old totals</t>
  </si>
  <si>
    <t>Kazakhstan</t>
  </si>
  <si>
    <t>Last checked</t>
  </si>
  <si>
    <t>April 7 for March 24</t>
  </si>
  <si>
    <t>Azerbaijan</t>
  </si>
  <si>
    <t>Diamond Princess</t>
  </si>
  <si>
    <t>Cameroon</t>
  </si>
  <si>
    <t>Slovakia</t>
  </si>
  <si>
    <t>Tunisia</t>
  </si>
  <si>
    <t>Bulgaria</t>
  </si>
  <si>
    <t>North Macedonia</t>
  </si>
  <si>
    <t>Lebanon</t>
  </si>
  <si>
    <t>Uzbekistan</t>
  </si>
  <si>
    <t>Latvia</t>
  </si>
  <si>
    <t>Andorra</t>
  </si>
  <si>
    <t>Costa Rica</t>
  </si>
  <si>
    <t>Cyprus</t>
  </si>
  <si>
    <t>Afghanistan</t>
  </si>
  <si>
    <t>Cuba</t>
  </si>
  <si>
    <t>Oman</t>
  </si>
  <si>
    <t>Uruguay</t>
  </si>
  <si>
    <t>Albania</t>
  </si>
  <si>
    <t>Burkina Faso</t>
  </si>
  <si>
    <t>Taiwan</t>
  </si>
  <si>
    <t>Jordan</t>
  </si>
  <si>
    <t>A Marzo 21</t>
  </si>
  <si>
    <t>Honduras</t>
  </si>
  <si>
    <t>CASOS</t>
  </si>
  <si>
    <t>MUERTES</t>
  </si>
  <si>
    <t>RECUPERADOS</t>
  </si>
  <si>
    <t>Malta</t>
  </si>
  <si>
    <t>Mundo Hispano</t>
  </si>
  <si>
    <t>Casos</t>
  </si>
  <si>
    <t>Muertes</t>
  </si>
  <si>
    <t>Serios</t>
  </si>
  <si>
    <t>Recuperados</t>
  </si>
  <si>
    <t>Brasil</t>
  </si>
  <si>
    <t>Bangladesh</t>
  </si>
  <si>
    <t>Ivory Coast</t>
  </si>
  <si>
    <t>México</t>
  </si>
  <si>
    <t>Panamá</t>
  </si>
  <si>
    <t>San Marino</t>
  </si>
  <si>
    <t>Rep. Dominicana</t>
  </si>
  <si>
    <t>Bolivia</t>
  </si>
  <si>
    <t>Paraguay</t>
  </si>
  <si>
    <t>Guatemala</t>
  </si>
  <si>
    <t>El Salvador</t>
  </si>
  <si>
    <t>Ghana</t>
  </si>
  <si>
    <t>Nicaragua</t>
  </si>
  <si>
    <t>Kyrgyzstan</t>
  </si>
  <si>
    <t>Nigeria</t>
  </si>
  <si>
    <t>Mauritius</t>
  </si>
  <si>
    <t>Palestine</t>
  </si>
  <si>
    <t>Niger</t>
  </si>
  <si>
    <t>Montenegro</t>
  </si>
  <si>
    <t>2 times</t>
  </si>
  <si>
    <t>Vietnam</t>
  </si>
  <si>
    <t>Senegal</t>
  </si>
  <si>
    <t>Sri Lanka</t>
  </si>
  <si>
    <t>Kosovo</t>
  </si>
  <si>
    <t>Kenya</t>
  </si>
  <si>
    <t>Isle of Man</t>
  </si>
  <si>
    <t>Jersey</t>
  </si>
  <si>
    <t>Venezuela</t>
  </si>
  <si>
    <t>Guernsey</t>
  </si>
  <si>
    <t>DR Congo</t>
  </si>
  <si>
    <t>Guinea</t>
  </si>
  <si>
    <t>Brunei</t>
  </si>
  <si>
    <t>Djibouti</t>
  </si>
  <si>
    <t>Cambodia</t>
  </si>
  <si>
    <t>Gibraltar</t>
  </si>
  <si>
    <t>Trinidad and Tobago</t>
  </si>
  <si>
    <t>Rwanda</t>
  </si>
  <si>
    <t>Northern Cyprus</t>
  </si>
  <si>
    <t>Madagascar</t>
  </si>
  <si>
    <t>Monaco</t>
  </si>
  <si>
    <t>Liechtenstein</t>
  </si>
  <si>
    <t>Aruba</t>
  </si>
  <si>
    <t>Togo</t>
  </si>
  <si>
    <t>1 or 2</t>
  </si>
  <si>
    <t>Barbados</t>
  </si>
  <si>
    <t>Jamaica</t>
  </si>
  <si>
    <t>Mali</t>
  </si>
  <si>
    <t>Ethiopia</t>
  </si>
  <si>
    <t>Uganda</t>
  </si>
  <si>
    <t>French Polynesia</t>
  </si>
  <si>
    <t>Cayman Islands</t>
  </si>
  <si>
    <t>Congo Republic</t>
  </si>
  <si>
    <t>Macau</t>
  </si>
  <si>
    <t>Sint Maarten</t>
  </si>
  <si>
    <t>Bermuda</t>
  </si>
  <si>
    <t>Zambia</t>
  </si>
  <si>
    <t>Guyana</t>
  </si>
  <si>
    <t>Bahamas</t>
  </si>
  <si>
    <t>Guinea-Bissau</t>
  </si>
  <si>
    <t>Eritrea</t>
  </si>
  <si>
    <t>Gabon</t>
  </si>
  <si>
    <t>Haiti</t>
  </si>
  <si>
    <t>Benin</t>
  </si>
  <si>
    <t>Tanzania</t>
  </si>
  <si>
    <t>Myanmar</t>
  </si>
  <si>
    <t>Syria</t>
  </si>
  <si>
    <t>Maldives</t>
  </si>
  <si>
    <t>Libya</t>
  </si>
  <si>
    <t>New Caledonia</t>
  </si>
  <si>
    <t>Namibia</t>
  </si>
  <si>
    <t>Equatorial Guinea</t>
  </si>
  <si>
    <t>Angola</t>
  </si>
  <si>
    <t>Laos</t>
  </si>
  <si>
    <t>Antigua and Barbuda</t>
  </si>
  <si>
    <t>Mongolia</t>
  </si>
  <si>
    <t>Fiji</t>
  </si>
  <si>
    <t>Liberia</t>
  </si>
  <si>
    <t>Saint Lucia</t>
  </si>
  <si>
    <t>Curaçao</t>
  </si>
  <si>
    <t>Botswana</t>
  </si>
  <si>
    <t>Grenada</t>
  </si>
  <si>
    <t>Greenland</t>
  </si>
  <si>
    <t>St. Kitts and Nevis</t>
  </si>
  <si>
    <t>Seychelles</t>
  </si>
  <si>
    <t>Zimbabwe</t>
  </si>
  <si>
    <t>Somalia</t>
  </si>
  <si>
    <t>Sudan</t>
  </si>
  <si>
    <t>Suriname</t>
  </si>
  <si>
    <t>Mozambique</t>
  </si>
  <si>
    <t>Chad</t>
  </si>
  <si>
    <t>Eswatini</t>
  </si>
  <si>
    <t>Nepal</t>
  </si>
  <si>
    <t>Central African Republic</t>
  </si>
  <si>
    <t>Malawi</t>
  </si>
  <si>
    <t>Turks and Caicos Islands</t>
  </si>
  <si>
    <t>Belize</t>
  </si>
  <si>
    <t>Cape Verde</t>
  </si>
  <si>
    <t>Vatican City</t>
  </si>
  <si>
    <t>Saint Vincent and the Grenadines</t>
  </si>
  <si>
    <t>Montserrat</t>
  </si>
  <si>
    <t>St. Barthélemy</t>
  </si>
  <si>
    <t>Mauritania</t>
  </si>
  <si>
    <t>Sierra Leone</t>
  </si>
  <si>
    <t>Bhutan</t>
  </si>
  <si>
    <t>The Gambia</t>
  </si>
  <si>
    <t>British Virgin Islands</t>
  </si>
  <si>
    <t>Anguilla</t>
  </si>
  <si>
    <t>Burundi</t>
  </si>
  <si>
    <t>Falkland Islands</t>
  </si>
  <si>
    <t>Papua New Guinea</t>
  </si>
  <si>
    <t>Timor-Leste</t>
  </si>
  <si>
    <t>South Sudan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</si>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</sst>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8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000000"/>
      <name val="Docs-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00000"/>
      <name val="Arial"/>
    </font>
    <font>
      <b/>
      <sz val="11.0"/>
      <color theme="1"/>
      <name val="Arial"/>
    </font>
    <font>
      <u/>
      <sz val="11.0"/>
      <color rgb="FF0000FF"/>
    </font>
    <font>
      <u/>
      <sz val="11.0"/>
      <color rgb="FF1155CC"/>
      <name val="Arial"/>
    </font>
    <font>
      <u/>
      <sz val="11.0"/>
      <color rgb="FF1155CC"/>
      <name val="Arial"/>
    </font>
    <font>
      <u/>
      <color rgb="FF0000FF"/>
      <name val="Arial"/>
    </font>
    <font>
      <sz val="11.0"/>
      <color rgb="FFFFFFFF"/>
      <name val="Roboto"/>
    </font>
    <font>
      <b/>
      <sz val="11.0"/>
      <color rgb="FF38761D"/>
      <name val="Roboto"/>
    </font>
    <font>
      <u/>
      <color rgb="FF0000FF"/>
    </font>
    <font>
      <sz val="19.0"/>
      <color rgb="FF333333"/>
      <name val="Arial"/>
    </font>
    <font>
      <u/>
      <sz val="11.0"/>
      <color rgb="FF00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2" fontId="4" numFmtId="0" xfId="0" applyFill="1" applyFont="1"/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0" fontId="8" numFmtId="3" xfId="0" applyAlignment="1" applyFont="1" applyNumberFormat="1">
      <alignment horizontal="left" vertical="bottom"/>
    </xf>
    <xf borderId="0" fillId="2" fontId="9" numFmtId="0" xfId="0" applyAlignment="1" applyFont="1">
      <alignment horizontal="left" readingOrder="0"/>
    </xf>
    <xf borderId="0" fillId="0" fontId="10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center" vertical="bottom"/>
    </xf>
    <xf borderId="0" fillId="2" fontId="8" numFmtId="3" xfId="0" applyAlignment="1" applyFont="1" applyNumberFormat="1">
      <alignment horizontal="left"/>
    </xf>
    <xf borderId="0" fillId="0" fontId="7" numFmtId="0" xfId="0" applyAlignment="1" applyFont="1">
      <alignment horizontal="left" readingOrder="0"/>
    </xf>
    <xf borderId="0" fillId="0" fontId="11" numFmtId="3" xfId="0" applyAlignment="1" applyFont="1" applyNumberFormat="1">
      <alignment horizontal="left" shrinkToFit="0" vertical="bottom" wrapText="0"/>
    </xf>
    <xf borderId="1" fillId="3" fontId="7" numFmtId="0" xfId="0" applyAlignment="1" applyBorder="1" applyFill="1" applyFont="1">
      <alignment horizontal="left" readingOrder="0" shrinkToFit="0" vertical="center" wrapText="1"/>
    </xf>
    <xf borderId="0" fillId="2" fontId="8" numFmtId="0" xfId="0" applyAlignment="1" applyFont="1">
      <alignment horizontal="left"/>
    </xf>
    <xf borderId="1" fillId="3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1" fillId="0" fontId="6" numFmtId="0" xfId="0" applyAlignment="1" applyBorder="1" applyFont="1">
      <alignment horizontal="left" readingOrder="0" vertical="center"/>
    </xf>
    <xf borderId="1" fillId="4" fontId="12" numFmtId="0" xfId="0" applyAlignment="1" applyBorder="1" applyFill="1" applyFont="1">
      <alignment horizontal="left" readingOrder="0" shrinkToFit="0" vertical="center" wrapText="1"/>
    </xf>
    <xf borderId="0" fillId="2" fontId="4" numFmtId="0" xfId="0" applyAlignment="1" applyFont="1">
      <alignment horizontal="center" vertical="center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2" fontId="4" numFmtId="10" xfId="0" applyAlignment="1" applyBorder="1" applyFont="1" applyNumberFormat="1">
      <alignment horizontal="center" readingOrder="0" vertical="center"/>
    </xf>
    <xf borderId="1" fillId="4" fontId="4" numFmtId="3" xfId="0" applyAlignment="1" applyBorder="1" applyFont="1" applyNumberFormat="1">
      <alignment horizontal="center" readingOrder="0" shrinkToFit="0" vertical="center" wrapText="1"/>
    </xf>
    <xf borderId="1" fillId="7" fontId="12" numFmtId="3" xfId="0" applyAlignment="1" applyBorder="1" applyFill="1" applyFont="1" applyNumberFormat="1">
      <alignment horizontal="center" readingOrder="0" vertical="center"/>
    </xf>
    <xf borderId="1" fillId="0" fontId="4" numFmtId="3" xfId="0" applyAlignment="1" applyBorder="1" applyFont="1" applyNumberFormat="1">
      <alignment horizontal="center" readingOrder="0" shrinkToFit="0" vertical="center" wrapText="1"/>
    </xf>
    <xf borderId="1" fillId="4" fontId="1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6" fontId="4" numFmtId="3" xfId="0" applyAlignment="1" applyBorder="1" applyFont="1" applyNumberForma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1"/>
    </xf>
    <xf borderId="0" fillId="2" fontId="15" numFmtId="0" xfId="0" applyAlignment="1" applyFont="1">
      <alignment vertical="center"/>
    </xf>
    <xf borderId="1" fillId="0" fontId="4" numFmtId="3" xfId="0" applyAlignment="1" applyBorder="1" applyFont="1" applyNumberFormat="1">
      <alignment horizontal="center" readingOrder="0" vertical="center"/>
    </xf>
    <xf borderId="0" fillId="8" fontId="4" numFmtId="0" xfId="0" applyAlignment="1" applyFill="1" applyFont="1">
      <alignment vertical="center"/>
    </xf>
    <xf borderId="1" fillId="0" fontId="16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vertical="center"/>
    </xf>
    <xf borderId="1" fillId="6" fontId="12" numFmtId="0" xfId="0" applyAlignment="1" applyBorder="1" applyFont="1">
      <alignment horizontal="center" readingOrder="0" shrinkToFit="0" vertical="center" wrapText="1"/>
    </xf>
    <xf borderId="0" fillId="9" fontId="4" numFmtId="0" xfId="0" applyAlignment="1" applyFill="1" applyFont="1">
      <alignment horizontal="center" vertical="center"/>
    </xf>
    <xf borderId="1" fillId="3" fontId="4" numFmtId="10" xfId="0" applyAlignment="1" applyBorder="1" applyFont="1" applyNumberFormat="1">
      <alignment horizontal="center" readingOrder="0" vertical="center"/>
    </xf>
    <xf borderId="1" fillId="3" fontId="12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4" fontId="12" numFmtId="0" xfId="0" applyAlignment="1" applyBorder="1" applyFon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4" fontId="4" numFmtId="10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3" xfId="0" applyAlignment="1" applyBorder="1" applyFont="1" applyNumberFormat="1">
      <alignment horizontal="center" readingOrder="0" shrinkToFit="0" vertical="center" wrapText="1"/>
    </xf>
    <xf borderId="0" fillId="10" fontId="4" numFmtId="0" xfId="0" applyAlignment="1" applyFill="1" applyFont="1">
      <alignment vertical="center"/>
    </xf>
    <xf borderId="0" fillId="9" fontId="4" numFmtId="0" xfId="0" applyAlignment="1" applyFont="1">
      <alignment horizontal="center" vertical="center"/>
    </xf>
    <xf borderId="1" fillId="3" fontId="17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vertical="center"/>
    </xf>
    <xf borderId="1" fillId="3" fontId="12" numFmtId="0" xfId="0" applyAlignment="1" applyBorder="1" applyFont="1">
      <alignment horizontal="center" readingOrder="0" shrinkToFit="0" vertical="center" wrapText="1"/>
    </xf>
    <xf borderId="0" fillId="9" fontId="4" numFmtId="0" xfId="0" applyAlignment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0" fillId="11" fontId="4" numFmtId="0" xfId="0" applyAlignment="1" applyFill="1" applyFont="1">
      <alignment vertical="center"/>
    </xf>
    <xf borderId="1" fillId="3" fontId="4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left"/>
    </xf>
    <xf borderId="0" fillId="2" fontId="22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2" fontId="23" numFmtId="0" xfId="0" applyFont="1"/>
    <xf borderId="1" fillId="4" fontId="4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4" numFmtId="3" xfId="0" applyAlignment="1" applyFont="1" applyNumberFormat="1">
      <alignment horizontal="center" readingOrder="0" shrinkToFit="0" vertical="center" wrapText="1"/>
    </xf>
    <xf borderId="0" fillId="4" fontId="25" numFmtId="0" xfId="0" applyAlignment="1" applyFont="1">
      <alignment horizontal="center" readingOrder="0" shrinkToFit="0" vertical="center" wrapText="1"/>
    </xf>
    <xf borderId="0" fillId="3" fontId="26" numFmtId="0" xfId="0" applyAlignment="1" applyFont="1">
      <alignment horizontal="center" readingOrder="0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8" fontId="27" numFmtId="0" xfId="0" applyAlignment="1" applyFont="1">
      <alignment vertical="center"/>
    </xf>
    <xf borderId="0" fillId="0" fontId="28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29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2" fontId="28" numFmtId="0" xfId="0" applyFont="1"/>
    <xf borderId="0" fillId="2" fontId="28" numFmtId="0" xfId="0" applyAlignment="1" applyFont="1">
      <alignment horizontal="center"/>
    </xf>
    <xf borderId="0" fillId="2" fontId="4" numFmtId="3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2" fontId="30" numFmtId="0" xfId="0" applyFont="1"/>
    <xf borderId="0" fillId="2" fontId="23" numFmtId="0" xfId="0" applyFont="1"/>
    <xf borderId="0" fillId="2" fontId="28" numFmtId="0" xfId="0" applyFont="1"/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2" fontId="31" numFmtId="0" xfId="0" applyFont="1"/>
    <xf borderId="0" fillId="0" fontId="4" numFmtId="0" xfId="0" applyAlignment="1" applyFont="1">
      <alignment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2" fontId="32" numFmtId="0" xfId="0" applyAlignment="1" applyFont="1">
      <alignment readingOrder="0"/>
    </xf>
    <xf borderId="0" fillId="0" fontId="4" numFmtId="0" xfId="0" applyAlignment="1" applyFont="1">
      <alignment horizontal="center" vertical="center"/>
    </xf>
    <xf borderId="0" fillId="2" fontId="23" numFmtId="0" xfId="0" applyFont="1"/>
    <xf borderId="0" fillId="2" fontId="33" numFmtId="0" xfId="0" applyAlignment="1" applyFont="1">
      <alignment horizontal="left" readingOrder="0" shrinkToFit="0" vertical="center" wrapText="1"/>
    </xf>
    <xf borderId="0" fillId="2" fontId="33" numFmtId="3" xfId="0" applyAlignment="1" applyFont="1" applyNumberFormat="1">
      <alignment horizontal="center" readingOrder="0" shrinkToFit="0" vertical="center" wrapText="1"/>
    </xf>
    <xf borderId="0" fillId="2" fontId="33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33" numFmtId="0" xfId="0" applyAlignment="1" applyFont="1">
      <alignment horizontal="center" readingOrder="0" shrinkToFit="0" vertical="center" wrapText="1"/>
    </xf>
    <xf borderId="0" fillId="2" fontId="4" numFmtId="3" xfId="0" applyAlignment="1" applyFont="1" applyNumberFormat="1">
      <alignment horizontal="center" readingOrder="0"/>
    </xf>
    <xf borderId="0" fillId="4" fontId="7" numFmtId="0" xfId="0" applyAlignment="1" applyFont="1">
      <alignment horizontal="left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34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8" fontId="22" numFmtId="0" xfId="0" applyAlignment="1" applyFont="1">
      <alignment vertical="center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2" fontId="28" numFmtId="3" xfId="0" applyAlignment="1" applyFont="1" applyNumberFormat="1">
      <alignment horizontal="center"/>
    </xf>
    <xf borderId="0" fillId="2" fontId="28" numFmtId="0" xfId="0" applyAlignment="1" applyFont="1">
      <alignment horizontal="center"/>
    </xf>
    <xf borderId="0" fillId="0" fontId="23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3" numFmtId="0" xfId="0" applyAlignment="1" applyFont="1">
      <alignment horizontal="center" readingOrder="0"/>
    </xf>
    <xf borderId="0" fillId="0" fontId="4" numFmtId="0" xfId="0" applyAlignment="1" applyFont="1">
      <alignment horizontal="center" shrinkToFit="0" vertical="center" wrapText="1"/>
    </xf>
    <xf borderId="0" fillId="2" fontId="27" numFmtId="0" xfId="0" applyAlignment="1" applyFont="1">
      <alignment vertical="center"/>
    </xf>
    <xf borderId="0" fillId="2" fontId="36" numFmtId="0" xfId="0" applyAlignment="1" applyFont="1">
      <alignment horizontal="center" readingOrder="0"/>
    </xf>
    <xf borderId="0" fillId="8" fontId="4" numFmtId="0" xfId="0" applyAlignment="1" applyFont="1">
      <alignment vertical="center"/>
    </xf>
    <xf borderId="2" fillId="0" fontId="12" numFmtId="0" xfId="0" applyAlignment="1" applyBorder="1" applyFont="1">
      <alignment horizontal="center" readingOrder="0" vertical="center"/>
    </xf>
    <xf borderId="3" fillId="7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6" fontId="4" numFmtId="3" xfId="0" applyAlignment="1" applyBorder="1" applyFont="1" applyNumberFormat="1">
      <alignment horizontal="center" readingOrder="0" vertical="center"/>
    </xf>
    <xf borderId="1" fillId="4" fontId="12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center" readingOrder="0" vertical="center"/>
    </xf>
    <xf borderId="1" fillId="4" fontId="27" numFmtId="10" xfId="0" applyAlignment="1" applyBorder="1" applyFont="1" applyNumberFormat="1">
      <alignment horizontal="center" readingOrder="0" vertical="center"/>
    </xf>
    <xf borderId="1" fillId="4" fontId="27" numFmtId="0" xfId="0" applyAlignment="1" applyBorder="1" applyFont="1">
      <alignment horizontal="center" readingOrder="0" vertical="center"/>
    </xf>
    <xf borderId="1" fillId="4" fontId="37" numFmtId="0" xfId="0" applyAlignment="1" applyBorder="1" applyFont="1">
      <alignment horizontal="center" readingOrder="0" vertical="center"/>
    </xf>
    <xf borderId="0" fillId="2" fontId="27" numFmtId="0" xfId="0" applyAlignment="1" applyFont="1">
      <alignment horizontal="center" vertical="center"/>
    </xf>
    <xf borderId="0" fillId="2" fontId="33" numFmtId="0" xfId="0" applyAlignment="1" applyFont="1">
      <alignment horizontal="left" readingOrder="0" vertical="center"/>
    </xf>
    <xf borderId="0" fillId="2" fontId="33" numFmtId="0" xfId="0" applyAlignment="1" applyFont="1">
      <alignment horizontal="center" readingOrder="0" vertical="center"/>
    </xf>
    <xf borderId="0" fillId="2" fontId="33" numFmtId="3" xfId="0" applyAlignment="1" applyFont="1" applyNumberFormat="1">
      <alignment horizontal="center" readingOrder="0" vertical="center"/>
    </xf>
    <xf borderId="0" fillId="2" fontId="15" numFmtId="3" xfId="0" applyAlignment="1" applyFont="1" applyNumberForma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0" fillId="2" fontId="33" numFmtId="0" xfId="0" applyAlignment="1" applyFont="1">
      <alignment horizontal="center" readingOrder="0" vertical="center"/>
    </xf>
    <xf borderId="0" fillId="2" fontId="15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34" numFmtId="3" xfId="0" applyAlignment="1" applyFont="1" applyNumberFormat="1">
      <alignment horizontal="center" readingOrder="0" vertical="center"/>
    </xf>
    <xf borderId="0" fillId="4" fontId="4" numFmtId="0" xfId="0" applyAlignment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2" fontId="23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2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3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Notes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12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World!$A$7:$A$208</c:f>
            </c:strRef>
          </c:cat>
          <c:val>
            <c:numRef>
              <c:f>World!$B$7:$B$208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World!$A$7:$A$208</c:f>
            </c:strRef>
          </c:cat>
          <c:val>
            <c:numRef>
              <c:f>World!$D$7:$D$209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I211" displayName="Table_11" id="11">
  <tableColumns count="9">
    <tableColumn name="LOCATION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A5:I20" displayName="Table_4" id="4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6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F2:K3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ref="A5:E24" displayName="Table_10" id="10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M6:M211" displayName="Table_12" id="12">
  <tableColumns count="1">
    <tableColumn name="Deaths" id="1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L6:L211" displayName="Table_13" id="13">
  <tableColumns count="1">
    <tableColumn name="Case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I70" displayName="Table_6" id="6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M5:N6" displayName="Table_7" id="7">
  <tableColumns count="2">
    <tableColumn name="Column1" id="1"/>
    <tableColumn name="Column2" id="2"/>
  </tableColumns>
  <tableStyleInfo name="US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L5:L6" displayName="Table_8" id="8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L5:M20" displayName="Table_3" id="3">
  <tableColumns count="2">
    <tableColumn name="Cases" id="1"/>
    <tableColumn name="Deaths" id="2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1</v>
      </c>
      <c r="B1" s="3"/>
      <c r="C1" s="3"/>
      <c r="D1" s="3"/>
      <c r="E1" s="5"/>
      <c r="F1" s="5"/>
      <c r="G1" s="5"/>
      <c r="H1" s="8"/>
      <c r="I1" s="9"/>
      <c r="J1" s="6"/>
      <c r="K1" s="10"/>
      <c r="L1" s="3"/>
      <c r="M1" s="3"/>
      <c r="N1" s="4"/>
      <c r="O1" s="4"/>
      <c r="P1" s="4"/>
    </row>
    <row r="2">
      <c r="A2" s="3"/>
      <c r="B2" s="3"/>
      <c r="C2" s="3"/>
      <c r="D2" s="3"/>
      <c r="E2" s="5"/>
      <c r="F2" s="5"/>
      <c r="G2" s="5"/>
      <c r="H2" s="8"/>
      <c r="I2" s="9"/>
      <c r="J2" s="6"/>
      <c r="K2" s="11"/>
      <c r="L2" s="3"/>
      <c r="M2" s="3"/>
      <c r="N2" s="4"/>
      <c r="O2" s="4"/>
      <c r="P2" s="4"/>
    </row>
    <row r="3">
      <c r="A3" s="3" t="s">
        <v>2</v>
      </c>
      <c r="B3" s="13" t="s">
        <v>3</v>
      </c>
      <c r="C3" s="5" t="s">
        <v>4</v>
      </c>
      <c r="E3" s="7" t="s">
        <v>5</v>
      </c>
      <c r="H3" s="8"/>
      <c r="I3" s="9"/>
      <c r="J3" s="6"/>
      <c r="K3" s="11"/>
      <c r="L3" s="13" t="s">
        <v>3</v>
      </c>
      <c r="N3" s="4"/>
      <c r="O3" s="4"/>
      <c r="P3" s="4"/>
    </row>
    <row r="4">
      <c r="A4" s="12">
        <f>SUM(B210, B211)</f>
        <v>1607567</v>
      </c>
      <c r="B4" s="16">
        <f>SUM(D210, D211)</f>
        <v>95790</v>
      </c>
      <c r="C4" s="14">
        <f>SUM(H210, H211)</f>
        <v>360159</v>
      </c>
      <c r="E4" s="18">
        <f>MINUS(A4,B4 + C4)</f>
        <v>1151618</v>
      </c>
      <c r="G4" s="5"/>
      <c r="H4" s="8"/>
      <c r="I4" s="9"/>
      <c r="J4" s="6"/>
      <c r="K4" s="11"/>
      <c r="L4" s="20">
        <f>SUM(N210, N211)</f>
        <v>0</v>
      </c>
      <c r="N4" s="22"/>
      <c r="O4" s="4"/>
      <c r="P4" s="4"/>
    </row>
    <row r="5">
      <c r="A5" s="17"/>
      <c r="B5" s="9"/>
      <c r="C5" s="9"/>
      <c r="D5" s="9"/>
      <c r="E5" s="8"/>
      <c r="F5" s="8"/>
      <c r="G5" s="8"/>
      <c r="H5" s="8"/>
      <c r="I5" s="9"/>
      <c r="J5" s="6"/>
      <c r="K5" s="11"/>
      <c r="L5" s="9"/>
      <c r="M5" s="9"/>
      <c r="N5" s="4"/>
      <c r="O5" s="4"/>
      <c r="P5" s="4"/>
    </row>
    <row r="6" ht="30.0" customHeight="1">
      <c r="A6" s="25" t="s">
        <v>12</v>
      </c>
      <c r="B6" s="27" t="s">
        <v>8</v>
      </c>
      <c r="C6" s="23" t="s">
        <v>9</v>
      </c>
      <c r="D6" s="27" t="s">
        <v>10</v>
      </c>
      <c r="E6" s="24" t="s">
        <v>11</v>
      </c>
      <c r="F6" s="24" t="s">
        <v>13</v>
      </c>
      <c r="G6" s="24" t="s">
        <v>14</v>
      </c>
      <c r="H6" s="29" t="s">
        <v>15</v>
      </c>
      <c r="I6" s="27" t="s">
        <v>16</v>
      </c>
      <c r="J6" s="28"/>
      <c r="K6" s="31"/>
      <c r="L6" s="27" t="s">
        <v>8</v>
      </c>
      <c r="M6" s="27" t="s">
        <v>10</v>
      </c>
      <c r="N6" s="33"/>
      <c r="O6" s="34"/>
      <c r="P6" s="33"/>
    </row>
    <row r="7" ht="30.0" customHeight="1">
      <c r="A7" s="37" t="s">
        <v>18</v>
      </c>
      <c r="B7" s="40">
        <f>USA!A3</f>
        <v>467846</v>
      </c>
      <c r="C7" s="43">
        <f t="shared" ref="C7:C195" si="1">MINUS(B7,L7)</f>
        <v>35119</v>
      </c>
      <c r="D7" s="40">
        <f>USA!B3</f>
        <v>16632</v>
      </c>
      <c r="E7" s="47">
        <f t="shared" ref="E7:E209" si="2">MINUS(D7, M7)</f>
        <v>1864</v>
      </c>
      <c r="F7" s="41">
        <f t="shared" ref="F7:F208" si="3">DIVIDE(D7, B7)</f>
        <v>0.03555015967</v>
      </c>
      <c r="G7" s="50">
        <f>USA!G68</f>
        <v>6743</v>
      </c>
      <c r="H7" s="50">
        <f>USA!C3</f>
        <v>27277</v>
      </c>
      <c r="I7" s="52" t="str">
        <f>HYPERLINK("https://bnonews.com/index.php/2019/12/tracking-coronavirus-u-s-data/","Source")</f>
        <v>Source</v>
      </c>
      <c r="J7" s="54"/>
      <c r="K7" s="56"/>
      <c r="L7" s="40">
        <v>432727.0</v>
      </c>
      <c r="M7" s="59">
        <v>14768.0</v>
      </c>
      <c r="N7" s="33"/>
      <c r="O7" s="33"/>
      <c r="P7" s="33"/>
    </row>
    <row r="8" ht="30.0" customHeight="1">
      <c r="A8" s="37" t="s">
        <v>23</v>
      </c>
      <c r="B8" s="40">
        <v>153222.0</v>
      </c>
      <c r="C8" s="43">
        <f t="shared" si="1"/>
        <v>5002</v>
      </c>
      <c r="D8" s="62">
        <v>15447.0</v>
      </c>
      <c r="E8" s="47">
        <f t="shared" si="2"/>
        <v>655</v>
      </c>
      <c r="F8" s="63">
        <f t="shared" si="3"/>
        <v>0.1008145044</v>
      </c>
      <c r="G8" s="50">
        <v>7371.0</v>
      </c>
      <c r="H8" s="50">
        <v>52165.0</v>
      </c>
      <c r="I8" s="52" t="str">
        <f>HYPERLINK("https://covid19.isciii.es/","Source")</f>
        <v>Source</v>
      </c>
      <c r="J8" s="67"/>
      <c r="K8" s="68"/>
      <c r="L8" s="40">
        <v>148220.0</v>
      </c>
      <c r="M8" s="62">
        <v>14792.0</v>
      </c>
      <c r="N8" s="33"/>
      <c r="O8" s="33"/>
      <c r="P8" s="33"/>
    </row>
    <row r="9" ht="30.0" customHeight="1">
      <c r="A9" s="37" t="s">
        <v>26</v>
      </c>
      <c r="B9" s="40">
        <v>143626.0</v>
      </c>
      <c r="C9" s="43">
        <f t="shared" si="1"/>
        <v>4204</v>
      </c>
      <c r="D9" s="40">
        <v>18279.0</v>
      </c>
      <c r="E9" s="47">
        <f t="shared" si="2"/>
        <v>610</v>
      </c>
      <c r="F9" s="63">
        <f t="shared" si="3"/>
        <v>0.1272680434</v>
      </c>
      <c r="G9" s="50">
        <v>3605.0</v>
      </c>
      <c r="H9" s="50">
        <v>28470.0</v>
      </c>
      <c r="I9" s="52" t="str">
        <f>HYPERLINK("http://www.salute.gov.it/imgs/C_17_notizie_4431_0_file.pdf","Source")</f>
        <v>Source</v>
      </c>
      <c r="J9" s="51"/>
      <c r="K9" s="68"/>
      <c r="L9" s="40">
        <v>139422.0</v>
      </c>
      <c r="M9" s="40">
        <v>17669.0</v>
      </c>
      <c r="N9" s="33"/>
      <c r="O9" s="33"/>
      <c r="P9" s="33"/>
    </row>
    <row r="10" ht="30.0" customHeight="1">
      <c r="A10" s="37" t="s">
        <v>30</v>
      </c>
      <c r="B10" s="62">
        <v>118806.0</v>
      </c>
      <c r="C10" s="43">
        <f t="shared" si="1"/>
        <v>5466</v>
      </c>
      <c r="D10" s="40">
        <v>2678.0</v>
      </c>
      <c r="E10" s="47">
        <f t="shared" si="2"/>
        <v>435</v>
      </c>
      <c r="F10" s="41">
        <f t="shared" si="3"/>
        <v>0.02254094911</v>
      </c>
      <c r="G10" s="50">
        <v>2678.0</v>
      </c>
      <c r="H10" s="50">
        <v>58182.0</v>
      </c>
      <c r="I10" s="52" t="str">
        <f>HYPERLINK("https://dts-nachrichtenagentur.de/corona-fallzahlen","Source")</f>
        <v>Source</v>
      </c>
      <c r="J10" s="67"/>
      <c r="K10" s="68"/>
      <c r="L10" s="62">
        <v>113340.0</v>
      </c>
      <c r="M10" s="40">
        <v>2243.0</v>
      </c>
      <c r="N10" s="33"/>
      <c r="O10" s="33"/>
      <c r="P10" s="33"/>
    </row>
    <row r="11" ht="30.0" customHeight="1">
      <c r="A11" s="37" t="s">
        <v>32</v>
      </c>
      <c r="B11" s="40">
        <v>117749.0</v>
      </c>
      <c r="C11" s="43">
        <f t="shared" si="1"/>
        <v>4799</v>
      </c>
      <c r="D11" s="40">
        <v>12210.0</v>
      </c>
      <c r="E11" s="47">
        <f t="shared" si="2"/>
        <v>1341</v>
      </c>
      <c r="F11" s="63">
        <f t="shared" si="3"/>
        <v>0.1036951482</v>
      </c>
      <c r="G11" s="50">
        <v>7148.0</v>
      </c>
      <c r="H11" s="50">
        <v>21254.0</v>
      </c>
      <c r="I11" s="52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1" s="28"/>
      <c r="K11" s="72" t="s">
        <v>27</v>
      </c>
      <c r="L11" s="40">
        <v>112950.0</v>
      </c>
      <c r="M11" s="40">
        <v>10869.0</v>
      </c>
      <c r="N11" s="33"/>
      <c r="O11" s="33"/>
      <c r="P11" s="33"/>
    </row>
    <row r="12" ht="30.0" customHeight="1">
      <c r="A12" s="37" t="s">
        <v>37</v>
      </c>
      <c r="B12" s="40">
        <f>China!A3</f>
        <v>83887</v>
      </c>
      <c r="C12" s="43">
        <f t="shared" si="1"/>
        <v>104</v>
      </c>
      <c r="D12" s="40">
        <f>China!B3</f>
        <v>3335</v>
      </c>
      <c r="E12" s="47">
        <f t="shared" si="2"/>
        <v>2</v>
      </c>
      <c r="F12" s="41">
        <f t="shared" si="3"/>
        <v>0.03975586205</v>
      </c>
      <c r="G12" s="50">
        <f>China!D15</f>
        <v>176</v>
      </c>
      <c r="H12" s="50">
        <f>China!D3</f>
        <v>77780</v>
      </c>
      <c r="I12" s="52" t="str">
        <f>HYPERLINK("https://bnonews.com/index.php/2020/03/tracking-coronavirus-china-data/","Source")</f>
        <v>Source</v>
      </c>
      <c r="J12" s="51"/>
      <c r="K12" s="72" t="s">
        <v>27</v>
      </c>
      <c r="L12" s="40">
        <v>83783.0</v>
      </c>
      <c r="M12" s="40">
        <v>3333.0</v>
      </c>
      <c r="N12" s="33"/>
      <c r="O12" s="33"/>
      <c r="P12" s="33"/>
    </row>
    <row r="13" ht="30.0" customHeight="1">
      <c r="A13" s="37" t="s">
        <v>41</v>
      </c>
      <c r="B13" s="40">
        <v>66220.0</v>
      </c>
      <c r="C13" s="43">
        <f t="shared" si="1"/>
        <v>1634</v>
      </c>
      <c r="D13" s="40">
        <v>4110.0</v>
      </c>
      <c r="E13" s="47">
        <f t="shared" si="2"/>
        <v>117</v>
      </c>
      <c r="F13" s="41">
        <f t="shared" si="3"/>
        <v>0.06206584114</v>
      </c>
      <c r="G13" s="50">
        <v>3918.0</v>
      </c>
      <c r="H13" s="50">
        <v>32309.0</v>
      </c>
      <c r="I13" s="52" t="str">
        <f>HYPERLINK("https://twitter.com/AbasAslani/status/1248184152656052225","Source")</f>
        <v>Source</v>
      </c>
      <c r="J13" s="51"/>
      <c r="K13" s="72" t="s">
        <v>27</v>
      </c>
      <c r="L13" s="40">
        <v>64586.0</v>
      </c>
      <c r="M13" s="40">
        <v>3993.0</v>
      </c>
      <c r="N13" s="33"/>
      <c r="O13" s="33"/>
      <c r="P13" s="33"/>
    </row>
    <row r="14" ht="30.0" customHeight="1">
      <c r="A14" s="37" t="s">
        <v>44</v>
      </c>
      <c r="B14" s="40">
        <v>65077.0</v>
      </c>
      <c r="C14" s="43">
        <f t="shared" si="1"/>
        <v>4344</v>
      </c>
      <c r="D14" s="40">
        <v>7978.0</v>
      </c>
      <c r="E14" s="47">
        <f t="shared" si="2"/>
        <v>881</v>
      </c>
      <c r="F14" s="63">
        <f t="shared" si="3"/>
        <v>0.1225932357</v>
      </c>
      <c r="G14" s="74" t="s">
        <v>24</v>
      </c>
      <c r="H14" s="50">
        <v>1918.0</v>
      </c>
      <c r="I14" s="52" t="str">
        <f>HYPERLINK("https://www.england.nhs.uk/statistics/wp-content/uploads/sites/2/2020/04/COVID-19-daily-announced-deaths-9-April-2020.xlsx","Source")</f>
        <v>Source</v>
      </c>
      <c r="J14" s="76"/>
      <c r="K14" s="68"/>
      <c r="L14" s="40">
        <v>60733.0</v>
      </c>
      <c r="M14" s="40">
        <v>7097.0</v>
      </c>
      <c r="N14" s="33"/>
      <c r="O14" s="33"/>
      <c r="P14" s="33"/>
    </row>
    <row r="15" ht="27.75" customHeight="1">
      <c r="A15" s="37" t="s">
        <v>48</v>
      </c>
      <c r="B15" s="40">
        <v>42282.0</v>
      </c>
      <c r="C15" s="43">
        <f t="shared" si="1"/>
        <v>4056</v>
      </c>
      <c r="D15" s="59">
        <v>908.0</v>
      </c>
      <c r="E15" s="47">
        <f t="shared" si="2"/>
        <v>96</v>
      </c>
      <c r="F15" s="63">
        <f t="shared" si="3"/>
        <v>0.02147485928</v>
      </c>
      <c r="G15" s="50">
        <v>1552.0</v>
      </c>
      <c r="H15" s="50">
        <v>2142.0</v>
      </c>
      <c r="I15" s="52" t="str">
        <f>HYPERLINK("https://covid19.saglik.gov.tr/","Source")</f>
        <v>Source</v>
      </c>
      <c r="J15" s="51"/>
      <c r="K15" s="72" t="s">
        <v>27</v>
      </c>
      <c r="L15" s="40">
        <v>38226.0</v>
      </c>
      <c r="M15" s="59">
        <v>812.0</v>
      </c>
      <c r="N15" s="33"/>
      <c r="O15" s="33"/>
      <c r="P15" s="33"/>
    </row>
    <row r="16" ht="30.0" customHeight="1">
      <c r="A16" s="37" t="s">
        <v>50</v>
      </c>
      <c r="B16" s="40">
        <v>24983.0</v>
      </c>
      <c r="C16" s="43">
        <f t="shared" si="1"/>
        <v>1580</v>
      </c>
      <c r="D16" s="40">
        <v>2523.0</v>
      </c>
      <c r="E16" s="47">
        <f t="shared" si="2"/>
        <v>283</v>
      </c>
      <c r="F16" s="41">
        <f t="shared" si="3"/>
        <v>0.1009886723</v>
      </c>
      <c r="G16" s="50">
        <v>1285.0</v>
      </c>
      <c r="H16" s="50">
        <v>4758.0</v>
      </c>
      <c r="I16" s="52" t="str">
        <f>HYPERLINK("https://www.youtube.com/watch?v=3OIp2mUotAY&amp;feature=youtu.be","Source")</f>
        <v>Source</v>
      </c>
      <c r="J16" s="51"/>
      <c r="K16" s="72" t="s">
        <v>27</v>
      </c>
      <c r="L16" s="40">
        <v>23403.0</v>
      </c>
      <c r="M16" s="40">
        <v>2240.0</v>
      </c>
      <c r="N16" s="33"/>
      <c r="O16" s="33"/>
      <c r="P16" s="33"/>
    </row>
    <row r="17" ht="30.0" customHeight="1">
      <c r="A17" s="37" t="s">
        <v>53</v>
      </c>
      <c r="B17" s="40">
        <v>24051.0</v>
      </c>
      <c r="C17" s="43">
        <f t="shared" si="1"/>
        <v>1631</v>
      </c>
      <c r="D17" s="59">
        <v>949.0</v>
      </c>
      <c r="E17" s="47">
        <f t="shared" si="2"/>
        <v>107</v>
      </c>
      <c r="F17" s="41">
        <f t="shared" si="3"/>
        <v>0.0394578188</v>
      </c>
      <c r="G17" s="74" t="s">
        <v>24</v>
      </c>
      <c r="H17" s="50">
        <v>10600.0</v>
      </c>
      <c r="I17" s="52" t="str">
        <f>HYPERLINK("https://rsalzer.github.io/COVID_19_CH/","Source")</f>
        <v>Source</v>
      </c>
      <c r="J17" s="67"/>
      <c r="K17" s="68"/>
      <c r="L17" s="40">
        <v>22420.0</v>
      </c>
      <c r="M17" s="59">
        <v>842.0</v>
      </c>
      <c r="N17" s="33"/>
      <c r="O17" s="33"/>
      <c r="P17" s="33"/>
    </row>
    <row r="18" ht="30.0" customHeight="1">
      <c r="A18" s="37" t="s">
        <v>56</v>
      </c>
      <c r="B18" s="40">
        <v>21762.0</v>
      </c>
      <c r="C18" s="43">
        <f t="shared" si="1"/>
        <v>1213</v>
      </c>
      <c r="D18" s="62">
        <v>2396.0</v>
      </c>
      <c r="E18" s="47">
        <f t="shared" si="2"/>
        <v>148</v>
      </c>
      <c r="F18" s="41">
        <f t="shared" si="3"/>
        <v>0.1101001746</v>
      </c>
      <c r="G18" s="50">
        <v>1175.0</v>
      </c>
      <c r="H18" s="50">
        <v>3459.0</v>
      </c>
      <c r="I18" s="52" t="str">
        <f>HYPERLINK("https://www.rivm.nl/nieuws/actuele-informatie-over-coronavirus","Source")</f>
        <v>Source</v>
      </c>
      <c r="J18" s="51"/>
      <c r="K18" s="72" t="s">
        <v>27</v>
      </c>
      <c r="L18" s="40">
        <v>20549.0</v>
      </c>
      <c r="M18" s="62">
        <v>2248.0</v>
      </c>
      <c r="N18" s="33"/>
      <c r="O18" s="33"/>
      <c r="P18" s="33"/>
    </row>
    <row r="19" ht="30.0" customHeight="1">
      <c r="A19" s="37" t="s">
        <v>58</v>
      </c>
      <c r="B19" s="40">
        <f>Canada!A3</f>
        <v>20765</v>
      </c>
      <c r="C19" s="43">
        <f t="shared" si="1"/>
        <v>1595</v>
      </c>
      <c r="D19" s="40">
        <f>Canada!B3</f>
        <v>509</v>
      </c>
      <c r="E19" s="47">
        <f t="shared" si="2"/>
        <v>82</v>
      </c>
      <c r="F19" s="41">
        <f t="shared" si="3"/>
        <v>0.02451240067</v>
      </c>
      <c r="G19" s="50">
        <f>Canada!G20</f>
        <v>333</v>
      </c>
      <c r="H19" s="50">
        <f>Canada!C3</f>
        <v>5311</v>
      </c>
      <c r="I19" s="52" t="str">
        <f>HYPERLINK("https://bnonews.com/index.php/2019/12/tracking-coronavirus-canada-data/","Source")</f>
        <v>Source</v>
      </c>
      <c r="J19" s="28"/>
      <c r="K19" s="68"/>
      <c r="L19" s="59">
        <v>19170.0</v>
      </c>
      <c r="M19" s="59">
        <v>427.0</v>
      </c>
      <c r="N19" s="33"/>
      <c r="O19" s="33"/>
      <c r="P19" s="33"/>
    </row>
    <row r="20" ht="30.0" customHeight="1">
      <c r="A20" s="37" t="s">
        <v>60</v>
      </c>
      <c r="B20" s="40">
        <v>18176.0</v>
      </c>
      <c r="C20" s="43">
        <f t="shared" si="1"/>
        <v>2006</v>
      </c>
      <c r="D20" s="59">
        <v>957.0</v>
      </c>
      <c r="E20" s="47">
        <f t="shared" si="2"/>
        <v>138</v>
      </c>
      <c r="F20" s="41">
        <f t="shared" si="3"/>
        <v>0.05265184859</v>
      </c>
      <c r="G20" s="74" t="s">
        <v>24</v>
      </c>
      <c r="H20" s="74" t="s">
        <v>24</v>
      </c>
      <c r="I20" s="52" t="str">
        <f>HYPERLINK("https://g1.globo.com/bemestar/coronavirus/noticia/2020/04/09/casos-de-coronavirus-no-brasil-em-9-de-abril.ghtml","Source")</f>
        <v>Source</v>
      </c>
      <c r="J20" s="67"/>
      <c r="K20" s="68"/>
      <c r="L20" s="40">
        <v>16170.0</v>
      </c>
      <c r="M20" s="59">
        <v>819.0</v>
      </c>
      <c r="N20" s="33"/>
      <c r="O20" s="33"/>
      <c r="P20" s="33"/>
    </row>
    <row r="21" ht="30.0" customHeight="1">
      <c r="A21" s="37" t="s">
        <v>62</v>
      </c>
      <c r="B21" s="40">
        <v>13956.0</v>
      </c>
      <c r="C21" s="43">
        <f t="shared" si="1"/>
        <v>815</v>
      </c>
      <c r="D21" s="59">
        <v>409.0</v>
      </c>
      <c r="E21" s="47">
        <f t="shared" si="2"/>
        <v>29</v>
      </c>
      <c r="F21" s="63">
        <f t="shared" si="3"/>
        <v>0.02930639152</v>
      </c>
      <c r="G21" s="74">
        <v>241.0</v>
      </c>
      <c r="H21" s="74">
        <v>205.0</v>
      </c>
      <c r="I21" s="52" t="str">
        <f>HYPERLINK("https://covid19.min-saude.pt/ponto-de-situacao-atual-em-portugal/","Source")</f>
        <v>Source</v>
      </c>
      <c r="J21" s="51"/>
      <c r="K21" s="72" t="s">
        <v>27</v>
      </c>
      <c r="L21" s="40">
        <v>13141.0</v>
      </c>
      <c r="M21" s="59">
        <v>380.0</v>
      </c>
      <c r="N21" s="33"/>
      <c r="O21" s="33"/>
      <c r="P21" s="33"/>
    </row>
    <row r="22" ht="30.0" customHeight="1">
      <c r="A22" s="37" t="s">
        <v>64</v>
      </c>
      <c r="B22" s="40">
        <v>13248.0</v>
      </c>
      <c r="C22" s="43">
        <f t="shared" si="1"/>
        <v>527</v>
      </c>
      <c r="D22" s="59">
        <v>295.0</v>
      </c>
      <c r="E22" s="47">
        <f t="shared" si="2"/>
        <v>22</v>
      </c>
      <c r="F22" s="63">
        <f t="shared" si="3"/>
        <v>0.02226751208</v>
      </c>
      <c r="G22" s="74">
        <v>266.0</v>
      </c>
      <c r="H22" s="50">
        <v>5240.0</v>
      </c>
      <c r="I22" s="52" t="str">
        <f>HYPERLINK("https://info.gesundheitsministerium.at/","Source")</f>
        <v>Source</v>
      </c>
      <c r="J22" s="67"/>
      <c r="K22" s="72" t="s">
        <v>66</v>
      </c>
      <c r="L22" s="40">
        <v>12721.0</v>
      </c>
      <c r="M22" s="59">
        <v>273.0</v>
      </c>
      <c r="N22" s="33"/>
      <c r="O22" s="33"/>
      <c r="P22" s="33"/>
    </row>
    <row r="23" ht="30.0" customHeight="1">
      <c r="A23" s="37" t="s">
        <v>67</v>
      </c>
      <c r="B23" s="40">
        <v>10423.0</v>
      </c>
      <c r="C23" s="43">
        <f t="shared" si="1"/>
        <v>39</v>
      </c>
      <c r="D23" s="59">
        <v>204.0</v>
      </c>
      <c r="E23" s="47">
        <f t="shared" si="2"/>
        <v>4</v>
      </c>
      <c r="F23" s="63">
        <f t="shared" si="3"/>
        <v>0.01957210016</v>
      </c>
      <c r="G23" s="74" t="s">
        <v>24</v>
      </c>
      <c r="H23" s="50">
        <v>6973.0</v>
      </c>
      <c r="I23" s="52" t="str">
        <f>HYPERLINK("http://ncov.mohw.go.kr/tcmBoardView.do?brdId=&amp;brdGubun=&amp;dataGubun=&amp;ncvContSeq=353992&amp;contSeq=353992&amp;board_id=&amp;gubun=ALL","Source")</f>
        <v>Source</v>
      </c>
      <c r="J23" s="51"/>
      <c r="K23" s="72" t="s">
        <v>27</v>
      </c>
      <c r="L23" s="40">
        <v>10384.0</v>
      </c>
      <c r="M23" s="59">
        <v>200.0</v>
      </c>
      <c r="N23" s="33"/>
      <c r="O23" s="33"/>
      <c r="P23" s="33"/>
    </row>
    <row r="24" ht="30.0" customHeight="1">
      <c r="A24" s="37" t="s">
        <v>69</v>
      </c>
      <c r="B24" s="40">
        <v>10131.0</v>
      </c>
      <c r="C24" s="43">
        <f t="shared" si="1"/>
        <v>1459</v>
      </c>
      <c r="D24" s="59">
        <v>76.0</v>
      </c>
      <c r="E24" s="47">
        <f t="shared" si="2"/>
        <v>13</v>
      </c>
      <c r="F24" s="41">
        <f t="shared" si="3"/>
        <v>0.007501727371</v>
      </c>
      <c r="G24" s="74" t="s">
        <v>24</v>
      </c>
      <c r="H24" s="74">
        <v>698.0</v>
      </c>
      <c r="I24" s="52" t="str">
        <f>HYPERLINK("https://xn--80aesfpebagmfblc0a.xn--p1ai/#operational-data","Source")</f>
        <v>Source</v>
      </c>
      <c r="J24" s="28"/>
      <c r="K24" s="70" t="s">
        <v>27</v>
      </c>
      <c r="L24" s="40">
        <v>8672.0</v>
      </c>
      <c r="M24" s="59">
        <v>63.0</v>
      </c>
      <c r="N24" s="33"/>
      <c r="O24" s="33"/>
      <c r="P24" s="33"/>
    </row>
    <row r="25" ht="30.0" customHeight="1">
      <c r="A25" s="37" t="s">
        <v>71</v>
      </c>
      <c r="B25" s="40">
        <v>9968.0</v>
      </c>
      <c r="C25" s="43">
        <f t="shared" si="1"/>
        <v>564</v>
      </c>
      <c r="D25" s="59">
        <v>86.0</v>
      </c>
      <c r="E25" s="47">
        <f t="shared" si="2"/>
        <v>13</v>
      </c>
      <c r="F25" s="41">
        <f t="shared" si="3"/>
        <v>0.008627608347</v>
      </c>
      <c r="G25" s="74">
        <v>165.0</v>
      </c>
      <c r="H25" s="74">
        <v>864.0</v>
      </c>
      <c r="I25" s="52" t="str">
        <f>HYPERLINK("https://www.ynetnews.com/article/697CIAUPP","Source")</f>
        <v>Source</v>
      </c>
      <c r="J25" s="67"/>
      <c r="K25" s="72" t="s">
        <v>72</v>
      </c>
      <c r="L25" s="40">
        <v>9404.0</v>
      </c>
      <c r="M25" s="59">
        <v>73.0</v>
      </c>
      <c r="N25" s="33"/>
      <c r="O25" s="33"/>
      <c r="P25" s="33"/>
    </row>
    <row r="26" ht="30.0" customHeight="1">
      <c r="A26" s="37" t="s">
        <v>73</v>
      </c>
      <c r="B26" s="40">
        <v>9141.0</v>
      </c>
      <c r="C26" s="43">
        <f t="shared" si="1"/>
        <v>722</v>
      </c>
      <c r="D26" s="59">
        <v>793.0</v>
      </c>
      <c r="E26" s="47">
        <f t="shared" si="2"/>
        <v>106</v>
      </c>
      <c r="F26" s="63">
        <f t="shared" si="3"/>
        <v>0.0867519965</v>
      </c>
      <c r="G26" s="74">
        <v>678.0</v>
      </c>
      <c r="H26" s="74" t="s">
        <v>24</v>
      </c>
      <c r="I26" s="52" t="str">
        <f>HYPERLINK("https://experience.arcgis.com/experience/09f821667ce64bf7be6f9f87457ed9aa","Source")</f>
        <v>Source</v>
      </c>
      <c r="J26" s="51"/>
      <c r="K26" s="72" t="s">
        <v>27</v>
      </c>
      <c r="L26" s="40">
        <v>8419.0</v>
      </c>
      <c r="M26" s="59">
        <v>687.0</v>
      </c>
      <c r="N26" s="33"/>
      <c r="O26" s="33"/>
      <c r="P26" s="33"/>
    </row>
    <row r="27" ht="30.0" customHeight="1">
      <c r="A27" s="37" t="s">
        <v>75</v>
      </c>
      <c r="B27" s="40">
        <v>6725.0</v>
      </c>
      <c r="C27" s="43">
        <f t="shared" si="1"/>
        <v>923</v>
      </c>
      <c r="D27" s="59">
        <v>227.0</v>
      </c>
      <c r="E27" s="47">
        <f t="shared" si="2"/>
        <v>49</v>
      </c>
      <c r="F27" s="63">
        <f t="shared" si="3"/>
        <v>0.03375464684</v>
      </c>
      <c r="G27" s="74" t="s">
        <v>24</v>
      </c>
      <c r="H27" s="74">
        <v>569.0</v>
      </c>
      <c r="I27" s="52" t="str">
        <f>HYPERLINK("https://www.covid19india.org/","Source")</f>
        <v>Source</v>
      </c>
      <c r="J27" s="67"/>
      <c r="K27" s="31"/>
      <c r="L27" s="40">
        <v>5802.0</v>
      </c>
      <c r="M27" s="59">
        <v>178.0</v>
      </c>
      <c r="N27" s="33"/>
      <c r="O27" s="33"/>
      <c r="P27" s="33"/>
    </row>
    <row r="28" ht="30.0" customHeight="1">
      <c r="A28" s="37" t="s">
        <v>77</v>
      </c>
      <c r="B28" s="40">
        <f>Australia!A3</f>
        <v>6108</v>
      </c>
      <c r="C28" s="43">
        <f t="shared" si="1"/>
        <v>98</v>
      </c>
      <c r="D28" s="40">
        <f>Australia!B3</f>
        <v>51</v>
      </c>
      <c r="E28" s="47">
        <f t="shared" si="2"/>
        <v>1</v>
      </c>
      <c r="F28" s="63">
        <f t="shared" si="3"/>
        <v>0.008349705305</v>
      </c>
      <c r="G28" s="50">
        <f>Australia!G17</f>
        <v>79</v>
      </c>
      <c r="H28" s="50">
        <f>Australia!C3</f>
        <v>1472</v>
      </c>
      <c r="I28" s="52" t="str">
        <f>HYPERLINK("https://bnonews.com/index.php/2019/12/tracking-coronavirus-australia-data/","Source")</f>
        <v>Source</v>
      </c>
      <c r="J28" s="28"/>
      <c r="K28" s="68"/>
      <c r="L28" s="40">
        <v>6010.0</v>
      </c>
      <c r="M28" s="59">
        <v>50.0</v>
      </c>
      <c r="N28" s="33"/>
      <c r="O28" s="33"/>
      <c r="P28" s="33"/>
    </row>
    <row r="29" ht="30.0" customHeight="1">
      <c r="A29" s="37" t="s">
        <v>80</v>
      </c>
      <c r="B29" s="40">
        <v>6218.0</v>
      </c>
      <c r="C29" s="43">
        <f t="shared" si="1"/>
        <v>134</v>
      </c>
      <c r="D29" s="59">
        <v>108.0</v>
      </c>
      <c r="E29" s="47">
        <f t="shared" si="2"/>
        <v>7</v>
      </c>
      <c r="F29" s="41">
        <f t="shared" si="3"/>
        <v>0.01736892892</v>
      </c>
      <c r="G29" s="74">
        <v>70.0</v>
      </c>
      <c r="H29" s="74" t="s">
        <v>24</v>
      </c>
      <c r="I29" s="52" t="str">
        <f>HYPERLINK("https://www.vg.no/spesial/2020/corona/","Source")</f>
        <v>Source</v>
      </c>
      <c r="J29" s="67"/>
      <c r="K29" s="31"/>
      <c r="L29" s="40">
        <v>6084.0</v>
      </c>
      <c r="M29" s="59">
        <v>101.0</v>
      </c>
      <c r="N29" s="33"/>
      <c r="O29" s="33"/>
      <c r="P29" s="33"/>
    </row>
    <row r="30" ht="30.0" customHeight="1">
      <c r="A30" s="37" t="s">
        <v>83</v>
      </c>
      <c r="B30" s="40">
        <v>6574.0</v>
      </c>
      <c r="C30" s="43">
        <f t="shared" si="1"/>
        <v>500</v>
      </c>
      <c r="D30" s="59">
        <v>263.0</v>
      </c>
      <c r="E30" s="47">
        <f t="shared" si="2"/>
        <v>28</v>
      </c>
      <c r="F30" s="41">
        <f t="shared" si="3"/>
        <v>0.04000608458</v>
      </c>
      <c r="G30" s="74">
        <v>25.0</v>
      </c>
      <c r="H30" s="74" t="s">
        <v>24</v>
      </c>
      <c r="I30" s="52" t="str">
        <f>HYPERLINK("https://www.gov.ie/en/press-release/0f1615-statement-from-the-national-public-health-emergency-team-wednesday-8/","Source")</f>
        <v>Source</v>
      </c>
      <c r="J30" s="94"/>
      <c r="K30" s="70" t="s">
        <v>27</v>
      </c>
      <c r="L30" s="40">
        <v>6074.0</v>
      </c>
      <c r="M30" s="59">
        <v>235.0</v>
      </c>
      <c r="N30" s="33"/>
      <c r="O30" s="33"/>
      <c r="P30" s="33"/>
    </row>
    <row r="31" ht="30.0" customHeight="1">
      <c r="A31" s="37" t="s">
        <v>86</v>
      </c>
      <c r="B31" s="40">
        <v>5972.0</v>
      </c>
      <c r="C31" s="43">
        <f t="shared" si="1"/>
        <v>426</v>
      </c>
      <c r="D31" s="59">
        <v>57.0</v>
      </c>
      <c r="E31" s="47">
        <f t="shared" si="2"/>
        <v>9</v>
      </c>
      <c r="F31" s="63">
        <f t="shared" si="3"/>
        <v>0.009544541192</v>
      </c>
      <c r="G31" s="74">
        <v>360.0</v>
      </c>
      <c r="H31" s="50">
        <v>1274.0</v>
      </c>
      <c r="I31" s="52" t="str">
        <f>HYPERLINK("https://twitter.com/ministeriosalud/status/1248245868236435457","Source")</f>
        <v>Source</v>
      </c>
      <c r="J31" s="51"/>
      <c r="K31" s="70" t="s">
        <v>27</v>
      </c>
      <c r="L31" s="40">
        <v>5546.0</v>
      </c>
      <c r="M31" s="59">
        <v>48.0</v>
      </c>
      <c r="N31" s="33"/>
      <c r="O31" s="33"/>
      <c r="P31" s="33"/>
    </row>
    <row r="32" ht="30.0" customHeight="1">
      <c r="A32" s="37" t="s">
        <v>88</v>
      </c>
      <c r="B32" s="40">
        <v>5819.0</v>
      </c>
      <c r="C32" s="43">
        <f t="shared" si="1"/>
        <v>233</v>
      </c>
      <c r="D32" s="59">
        <v>237.0</v>
      </c>
      <c r="E32" s="47">
        <f t="shared" si="2"/>
        <v>34</v>
      </c>
      <c r="F32" s="41">
        <f t="shared" si="3"/>
        <v>0.04072864753</v>
      </c>
      <c r="G32" s="74">
        <v>153.0</v>
      </c>
      <c r="H32" s="74">
        <v>3.0</v>
      </c>
      <c r="I32" s="52" t="str">
        <f>HYPERLINK("https://www.sst.dk/da/corona/tal-og-overvaagning","Source")</f>
        <v>Source</v>
      </c>
      <c r="J32" s="51"/>
      <c r="K32" s="70" t="s">
        <v>27</v>
      </c>
      <c r="L32" s="40">
        <v>5586.0</v>
      </c>
      <c r="M32" s="59">
        <v>203.0</v>
      </c>
      <c r="N32" s="33"/>
      <c r="O32" s="33"/>
      <c r="P32" s="33"/>
    </row>
    <row r="33" ht="27.75" customHeight="1">
      <c r="A33" s="37" t="s">
        <v>91</v>
      </c>
      <c r="B33" s="40">
        <v>5575.0</v>
      </c>
      <c r="C33" s="43">
        <f t="shared" si="1"/>
        <v>370</v>
      </c>
      <c r="D33" s="59">
        <v>174.0</v>
      </c>
      <c r="E33" s="47">
        <f t="shared" si="2"/>
        <v>15</v>
      </c>
      <c r="F33" s="63">
        <f t="shared" si="3"/>
        <v>0.03121076233</v>
      </c>
      <c r="G33" s="74" t="s">
        <v>24</v>
      </c>
      <c r="H33" s="74">
        <v>284.0</v>
      </c>
      <c r="I33" s="52" t="str">
        <f>HYPERLINK("https://twitter.com/MZ_GOV_PL/status/1248161754233831425","Source")</f>
        <v>Source</v>
      </c>
      <c r="J33" s="67"/>
      <c r="K33" s="70" t="s">
        <v>54</v>
      </c>
      <c r="L33" s="40">
        <v>5205.0</v>
      </c>
      <c r="M33" s="59">
        <v>159.0</v>
      </c>
      <c r="N33" s="33"/>
      <c r="O33" s="33"/>
      <c r="P33" s="33"/>
    </row>
    <row r="34" ht="30.0" customHeight="1">
      <c r="A34" s="37" t="s">
        <v>94</v>
      </c>
      <c r="B34" s="40">
        <v>5569.0</v>
      </c>
      <c r="C34" s="43">
        <f t="shared" si="1"/>
        <v>257</v>
      </c>
      <c r="D34" s="59">
        <v>112.0</v>
      </c>
      <c r="E34" s="47">
        <f t="shared" si="2"/>
        <v>13</v>
      </c>
      <c r="F34" s="63">
        <f t="shared" si="3"/>
        <v>0.02011133058</v>
      </c>
      <c r="G34" s="74">
        <v>103.0</v>
      </c>
      <c r="H34" s="74">
        <v>243.0</v>
      </c>
      <c r="I34" s="52" t="str">
        <f>HYPERLINK("https://onemocneni-aktualne.mzcr.cz/covid-19","Source")</f>
        <v>Source</v>
      </c>
      <c r="J34" s="67"/>
      <c r="K34" s="70" t="s">
        <v>97</v>
      </c>
      <c r="L34" s="40">
        <v>5312.0</v>
      </c>
      <c r="M34" s="59">
        <v>99.0</v>
      </c>
      <c r="N34" s="33"/>
      <c r="O34" s="33"/>
      <c r="P34" s="33"/>
    </row>
    <row r="35" ht="30.0" customHeight="1">
      <c r="A35" s="37" t="s">
        <v>98</v>
      </c>
      <c r="B35" s="40">
        <v>5256.0</v>
      </c>
      <c r="C35" s="43">
        <f t="shared" si="1"/>
        <v>914</v>
      </c>
      <c r="D35" s="59">
        <v>138.0</v>
      </c>
      <c r="E35" s="47">
        <f t="shared" si="2"/>
        <v>17</v>
      </c>
      <c r="F35" s="63">
        <f t="shared" si="3"/>
        <v>0.02625570776</v>
      </c>
      <c r="G35" s="74">
        <v>113.0</v>
      </c>
      <c r="H35" s="74">
        <v>989.0</v>
      </c>
      <c r="I35" s="95" t="str">
        <f>HYPERLINK("https://www.gob.pe/institucion/minsa/noticias/112104-minsa-lamenta-sensible-fallecimiento-de-medico-por-covid-19-comunicado-n-59","Source")</f>
        <v>Source</v>
      </c>
      <c r="J35" s="28"/>
      <c r="K35" s="31"/>
      <c r="L35" s="40">
        <v>4342.0</v>
      </c>
      <c r="M35" s="59">
        <v>121.0</v>
      </c>
      <c r="N35" s="33"/>
      <c r="O35" s="33"/>
      <c r="P35" s="33"/>
    </row>
    <row r="36" ht="30.0" customHeight="1">
      <c r="A36" s="37" t="s">
        <v>101</v>
      </c>
      <c r="B36" s="40">
        <v>5202.0</v>
      </c>
      <c r="C36" s="43">
        <f t="shared" si="1"/>
        <v>441</v>
      </c>
      <c r="D36" s="59">
        <v>248.0</v>
      </c>
      <c r="E36" s="47">
        <f t="shared" si="2"/>
        <v>28</v>
      </c>
      <c r="F36" s="41">
        <f t="shared" si="3"/>
        <v>0.04767397155</v>
      </c>
      <c r="G36" s="74">
        <v>119.0</v>
      </c>
      <c r="H36" s="74">
        <v>647.0</v>
      </c>
      <c r="I36" s="52" t="str">
        <f>HYPERLINK("https://www.facebook.com/departamenturgente/photos/a.435236816637995/1510538342441165/?type=3&amp;__xts__%5B0%5D=68.ARAgdmIeqk6Q63WGfjpA6pbExqpFa_Ls7s-xKPd9jkvURP2qJ4j6TSEdXYXKA06z5GAlcGVSls0WP8qAjjFt4TFoLLSKz9C2ZWLkGdlH0_N9wJV2xvoOglagPml3uAu-f3_8fmpTicBKXQ9"&amp;"OHgpqP8LagvMWa1ZggoO03N0seCY9Qj3cJtA5IzxMSHUB-6y30QsydDXSf_l-msqjFHJ7i-_jwqTpliOekGaam3r9a72AFiDQBYipBVEyWB86DXHC56wTDENTvxgyBeQGQ43N3AAdDrB9zhmd4HyTY1x-a2GOQVz-4Vsy4gBVRNeQAZDFE8i4Ypx-c5geqjJJABpBmEHlEQ&amp;__tn__=-R","Source")</f>
        <v>Source</v>
      </c>
      <c r="J36" s="67"/>
      <c r="K36" s="70" t="s">
        <v>104</v>
      </c>
      <c r="L36" s="40">
        <v>4761.0</v>
      </c>
      <c r="M36" s="59">
        <v>220.0</v>
      </c>
      <c r="N36" s="33"/>
      <c r="O36" s="33"/>
      <c r="P36" s="33"/>
    </row>
    <row r="37" ht="30.0" customHeight="1">
      <c r="A37" s="37" t="s">
        <v>106</v>
      </c>
      <c r="B37" s="40">
        <v>5182.0</v>
      </c>
      <c r="C37" s="43">
        <f t="shared" si="1"/>
        <v>221</v>
      </c>
      <c r="D37" s="59">
        <v>105.0</v>
      </c>
      <c r="E37" s="47">
        <f t="shared" si="2"/>
        <v>0</v>
      </c>
      <c r="F37" s="63">
        <f t="shared" si="3"/>
        <v>0.02026244693</v>
      </c>
      <c r="G37" s="74">
        <v>99.0</v>
      </c>
      <c r="H37" s="74">
        <v>632.0</v>
      </c>
      <c r="I37" s="52" t="str">
        <f>HYPERLINK("https://www3.nhk.or.jp/news/html/20200409/k10012377701000.html?utm_int=all_contents_just-in_001","Source")</f>
        <v>Source</v>
      </c>
      <c r="J37" s="94"/>
      <c r="K37" s="31"/>
      <c r="L37" s="40">
        <v>4961.0</v>
      </c>
      <c r="M37" s="59">
        <v>105.0</v>
      </c>
      <c r="N37" s="33"/>
      <c r="O37" s="33"/>
      <c r="P37" s="33"/>
    </row>
    <row r="38" ht="30.0" customHeight="1">
      <c r="A38" s="37" t="s">
        <v>109</v>
      </c>
      <c r="B38" s="40">
        <v>4965.0</v>
      </c>
      <c r="C38" s="43">
        <f t="shared" si="1"/>
        <v>515</v>
      </c>
      <c r="D38" s="59">
        <v>272.0</v>
      </c>
      <c r="E38" s="47">
        <f t="shared" si="2"/>
        <v>30</v>
      </c>
      <c r="F38" s="41">
        <f t="shared" si="3"/>
        <v>0.05478348439</v>
      </c>
      <c r="G38" s="74" t="s">
        <v>24</v>
      </c>
      <c r="H38" s="74">
        <v>140.0</v>
      </c>
      <c r="I38" s="52" t="str">
        <f>HYPERLINK("https://twitter.com/Salud_Ec/status/1247920904895676416","Source")</f>
        <v>Source</v>
      </c>
      <c r="J38" s="67"/>
      <c r="K38" s="70" t="s">
        <v>111</v>
      </c>
      <c r="L38" s="40">
        <v>4450.0</v>
      </c>
      <c r="M38" s="59">
        <v>242.0</v>
      </c>
      <c r="N38" s="33"/>
      <c r="O38" s="33"/>
      <c r="P38" s="33"/>
    </row>
    <row r="39" ht="30.0" customHeight="1">
      <c r="A39" s="37" t="s">
        <v>112</v>
      </c>
      <c r="B39" s="40">
        <v>4489.0</v>
      </c>
      <c r="C39" s="43">
        <f t="shared" si="1"/>
        <v>377</v>
      </c>
      <c r="D39" s="59">
        <v>65.0</v>
      </c>
      <c r="E39" s="47">
        <f t="shared" si="2"/>
        <v>5</v>
      </c>
      <c r="F39" s="41">
        <f t="shared" si="3"/>
        <v>0.01447983961</v>
      </c>
      <c r="G39" s="74">
        <v>31.0</v>
      </c>
      <c r="H39" s="74">
        <v>572.0</v>
      </c>
      <c r="I39" s="52" t="str">
        <f>HYPERLINK("http://covid.gov.pk/","Source")</f>
        <v>Source</v>
      </c>
      <c r="J39" s="67"/>
      <c r="K39" s="70" t="s">
        <v>115</v>
      </c>
      <c r="L39" s="40">
        <v>4112.0</v>
      </c>
      <c r="M39" s="59">
        <v>60.0</v>
      </c>
      <c r="N39" s="33"/>
      <c r="O39" s="33"/>
      <c r="P39" s="33"/>
    </row>
    <row r="40" ht="30.0" customHeight="1">
      <c r="A40" s="37" t="s">
        <v>116</v>
      </c>
      <c r="B40" s="40">
        <v>4228.0</v>
      </c>
      <c r="C40" s="43">
        <f t="shared" si="1"/>
        <v>109</v>
      </c>
      <c r="D40" s="59">
        <v>67.0</v>
      </c>
      <c r="E40" s="47">
        <f t="shared" si="2"/>
        <v>2</v>
      </c>
      <c r="F40" s="63">
        <f t="shared" si="3"/>
        <v>0.01584673605</v>
      </c>
      <c r="G40" s="74">
        <v>72.0</v>
      </c>
      <c r="H40" s="50">
        <v>1608.0</v>
      </c>
      <c r="I40" s="52" t="str">
        <f>HYPERLINK("https://twitter.com/KKMPutrajaya/status/1248173903203033089","Source")</f>
        <v>Source</v>
      </c>
      <c r="J40" s="51"/>
      <c r="K40" s="70" t="s">
        <v>27</v>
      </c>
      <c r="L40" s="40">
        <v>4119.0</v>
      </c>
      <c r="M40" s="59">
        <v>65.0</v>
      </c>
      <c r="N40" s="33"/>
      <c r="O40" s="33"/>
      <c r="P40" s="33"/>
    </row>
    <row r="41" ht="30.0" customHeight="1">
      <c r="A41" s="37" t="s">
        <v>119</v>
      </c>
      <c r="B41" s="40">
        <v>4076.0</v>
      </c>
      <c r="C41" s="43">
        <f t="shared" si="1"/>
        <v>206</v>
      </c>
      <c r="D41" s="59">
        <v>203.0</v>
      </c>
      <c r="E41" s="47">
        <f t="shared" si="2"/>
        <v>21</v>
      </c>
      <c r="F41" s="41">
        <f t="shared" si="3"/>
        <v>0.04980372915</v>
      </c>
      <c r="G41" s="74" t="s">
        <v>24</v>
      </c>
      <c r="H41" s="74">
        <v>124.0</v>
      </c>
      <c r="I41" s="95" t="str">
        <f>HYPERLINK("https://twitter.com/cnnphilippines/status/1248164364818898944","Source")</f>
        <v>Source</v>
      </c>
      <c r="J41" s="51"/>
      <c r="K41" s="70" t="s">
        <v>27</v>
      </c>
      <c r="L41" s="40">
        <v>3870.0</v>
      </c>
      <c r="M41" s="59">
        <v>182.0</v>
      </c>
      <c r="N41" s="33"/>
      <c r="O41" s="33"/>
      <c r="P41" s="33"/>
    </row>
    <row r="42" ht="30.0" customHeight="1">
      <c r="A42" s="37" t="s">
        <v>121</v>
      </c>
      <c r="B42" s="40">
        <v>3293.0</v>
      </c>
      <c r="C42" s="43">
        <f t="shared" si="1"/>
        <v>337</v>
      </c>
      <c r="D42" s="59">
        <v>280.0</v>
      </c>
      <c r="E42" s="47">
        <f t="shared" si="2"/>
        <v>40</v>
      </c>
      <c r="F42" s="63">
        <f t="shared" si="3"/>
        <v>0.08502884907</v>
      </c>
      <c r="G42" s="74" t="s">
        <v>24</v>
      </c>
      <c r="H42" s="74">
        <v>252.0</v>
      </c>
      <c r="I42" s="52" t="str">
        <f>HYPERLINK("https://ternate.tribunnews.com/2020/04/09/breaking-news-tambah-337-jumlah-kasus-virus-corona-di-indonesia-jadi-3293-per-9-april-2020","Source")</f>
        <v>Source</v>
      </c>
      <c r="J42" s="51"/>
      <c r="K42" s="70" t="s">
        <v>27</v>
      </c>
      <c r="L42" s="40">
        <v>2956.0</v>
      </c>
      <c r="M42" s="59">
        <v>240.0</v>
      </c>
      <c r="N42" s="33"/>
      <c r="O42" s="33"/>
      <c r="P42" s="33"/>
    </row>
    <row r="43" ht="30.0" customHeight="1">
      <c r="A43" s="37" t="s">
        <v>124</v>
      </c>
      <c r="B43" s="40">
        <v>3287.0</v>
      </c>
      <c r="C43" s="43">
        <f t="shared" si="1"/>
        <v>355</v>
      </c>
      <c r="D43" s="59">
        <v>44.0</v>
      </c>
      <c r="E43" s="47">
        <f t="shared" si="2"/>
        <v>3</v>
      </c>
      <c r="F43" s="41">
        <f t="shared" si="3"/>
        <v>0.01338606632</v>
      </c>
      <c r="G43" s="74" t="s">
        <v>24</v>
      </c>
      <c r="H43" s="74">
        <v>666.0</v>
      </c>
      <c r="I43" s="52" t="str">
        <f>HYPERLINK("https://twitter.com/SaudiMOH/status/1248229829322956800","Source")</f>
        <v>Source</v>
      </c>
      <c r="J43" s="51"/>
      <c r="K43" s="70" t="s">
        <v>27</v>
      </c>
      <c r="L43" s="40">
        <v>2932.0</v>
      </c>
      <c r="M43" s="59">
        <v>41.0</v>
      </c>
      <c r="N43" s="33"/>
      <c r="O43" s="33"/>
      <c r="P43" s="33"/>
    </row>
    <row r="44" ht="30.0" customHeight="1">
      <c r="A44" s="37" t="s">
        <v>127</v>
      </c>
      <c r="B44" s="40">
        <v>3441.0</v>
      </c>
      <c r="C44" s="43">
        <f t="shared" si="1"/>
        <v>260</v>
      </c>
      <c r="D44" s="59">
        <v>194.0</v>
      </c>
      <c r="E44" s="47">
        <f t="shared" si="2"/>
        <v>20</v>
      </c>
      <c r="F44" s="41">
        <f t="shared" si="3"/>
        <v>0.0563789596</v>
      </c>
      <c r="G44" s="74" t="s">
        <v>24</v>
      </c>
      <c r="H44" s="50">
        <v>1141.0</v>
      </c>
      <c r="I44" s="95" t="str">
        <f>HYPERLINK("https://twitter.com/HLGatell/status/1248042975004971009","Source")</f>
        <v>Source</v>
      </c>
      <c r="J44" s="28"/>
      <c r="K44" s="70" t="s">
        <v>27</v>
      </c>
      <c r="L44" s="40">
        <v>3181.0</v>
      </c>
      <c r="M44" s="59">
        <v>174.0</v>
      </c>
      <c r="N44" s="33"/>
      <c r="O44" s="33"/>
      <c r="P44" s="33"/>
    </row>
    <row r="45" ht="30.0" customHeight="1">
      <c r="A45" s="37" t="s">
        <v>130</v>
      </c>
      <c r="B45" s="40">
        <v>3115.0</v>
      </c>
      <c r="C45" s="43">
        <f t="shared" si="1"/>
        <v>81</v>
      </c>
      <c r="D45" s="59">
        <v>52.0</v>
      </c>
      <c r="E45" s="47">
        <f t="shared" si="2"/>
        <v>6</v>
      </c>
      <c r="F45" s="41">
        <f t="shared" si="3"/>
        <v>0.01669341894</v>
      </c>
      <c r="G45" s="74">
        <v>34.0</v>
      </c>
      <c r="H45" s="74">
        <v>354.0</v>
      </c>
      <c r="I45" s="95" t="str">
        <f>HYPERLINK("https://gouvernement.lu/fr/dossiers.gouv_msan+fr+dossiers+2020+corona-virus.html","Source")</f>
        <v>Source</v>
      </c>
      <c r="J45" s="28"/>
      <c r="K45" s="70" t="s">
        <v>27</v>
      </c>
      <c r="L45" s="40">
        <v>3034.0</v>
      </c>
      <c r="M45" s="59">
        <v>46.0</v>
      </c>
      <c r="N45" s="33"/>
      <c r="O45" s="33"/>
      <c r="P45" s="33"/>
    </row>
    <row r="46" ht="30.0" customHeight="1">
      <c r="A46" s="37" t="s">
        <v>133</v>
      </c>
      <c r="B46" s="40">
        <v>2990.0</v>
      </c>
      <c r="C46" s="43">
        <f t="shared" si="1"/>
        <v>331</v>
      </c>
      <c r="D46" s="59">
        <v>14.0</v>
      </c>
      <c r="E46" s="47">
        <f t="shared" si="2"/>
        <v>2</v>
      </c>
      <c r="F46" s="63">
        <f t="shared" si="3"/>
        <v>0.004682274247</v>
      </c>
      <c r="G46" s="74" t="s">
        <v>24</v>
      </c>
      <c r="H46" s="74">
        <v>268.0</v>
      </c>
      <c r="I46" s="52" t="str">
        <f>HYPERLINK("https://twitter.com/DHA_Dubai/status/1247880315030212608","Source")</f>
        <v>Source</v>
      </c>
      <c r="J46" s="28"/>
      <c r="K46" s="70" t="s">
        <v>27</v>
      </c>
      <c r="L46" s="40">
        <v>2659.0</v>
      </c>
      <c r="M46" s="59">
        <v>12.0</v>
      </c>
      <c r="N46" s="33"/>
      <c r="O46" s="33"/>
      <c r="P46" s="33"/>
    </row>
    <row r="47" ht="27.75" customHeight="1">
      <c r="A47" s="37" t="s">
        <v>135</v>
      </c>
      <c r="B47" s="40">
        <v>2867.0</v>
      </c>
      <c r="C47" s="43">
        <f t="shared" si="1"/>
        <v>201</v>
      </c>
      <c r="D47" s="59">
        <v>66.0</v>
      </c>
      <c r="E47" s="47">
        <f t="shared" si="2"/>
        <v>1</v>
      </c>
      <c r="F47" s="41">
        <f t="shared" si="3"/>
        <v>0.023020579</v>
      </c>
      <c r="G47" s="74">
        <v>127.0</v>
      </c>
      <c r="H47" s="74" t="s">
        <v>24</v>
      </c>
      <c r="I47" s="52" t="str">
        <f>HYPERLINK("http://www.politika.rs/scc/clanak/451903/Registrovan-jos-201-slucaj-zaraze-koronavirusom-jedna-osoba-preminula","Source")</f>
        <v>Source</v>
      </c>
      <c r="J47" s="51"/>
      <c r="K47" s="70" t="s">
        <v>27</v>
      </c>
      <c r="L47" s="40">
        <v>2666.0</v>
      </c>
      <c r="M47" s="59">
        <v>65.0</v>
      </c>
      <c r="N47" s="33"/>
      <c r="O47" s="33"/>
      <c r="P47" s="33"/>
    </row>
    <row r="48" ht="27.75" customHeight="1">
      <c r="A48" s="37" t="s">
        <v>137</v>
      </c>
      <c r="B48" s="40">
        <v>2752.0</v>
      </c>
      <c r="C48" s="43">
        <f t="shared" si="1"/>
        <v>224</v>
      </c>
      <c r="D48" s="59">
        <v>66.0</v>
      </c>
      <c r="E48" s="47">
        <f t="shared" si="2"/>
        <v>3</v>
      </c>
      <c r="F48" s="63">
        <f t="shared" si="3"/>
        <v>0.02398255814</v>
      </c>
      <c r="G48" s="74">
        <v>101.0</v>
      </c>
      <c r="H48" s="74">
        <v>16.0</v>
      </c>
      <c r="I48" s="95" t="str">
        <f>HYPERLINK("https://twitter.com/MINSAPma/status/1248043085734518789","Source")</f>
        <v>Source</v>
      </c>
      <c r="J48" s="28"/>
      <c r="K48" s="70" t="s">
        <v>27</v>
      </c>
      <c r="L48" s="40">
        <v>2528.0</v>
      </c>
      <c r="M48" s="59">
        <v>63.0</v>
      </c>
      <c r="N48" s="33"/>
      <c r="O48" s="33"/>
      <c r="P48" s="33"/>
    </row>
    <row r="49" ht="30.0" customHeight="1">
      <c r="A49" s="37" t="s">
        <v>139</v>
      </c>
      <c r="B49" s="40">
        <v>2605.0</v>
      </c>
      <c r="C49" s="43">
        <f t="shared" si="1"/>
        <v>118</v>
      </c>
      <c r="D49" s="59">
        <v>42.0</v>
      </c>
      <c r="E49" s="47">
        <f t="shared" si="2"/>
        <v>2</v>
      </c>
      <c r="F49" s="41">
        <f t="shared" si="3"/>
        <v>0.01612284069</v>
      </c>
      <c r="G49" s="74">
        <v>82.0</v>
      </c>
      <c r="H49" s="74">
        <v>10.0</v>
      </c>
      <c r="I49" s="52" t="str">
        <f>HYPERLINK("https://thl.fi/fi/web/infektiotaudit-ja-rokotukset/ajankohtaista/ajankohtaista-koronaviruksesta-covid-19/tilannekatsaus-koronaviruksesta","Source")</f>
        <v>Source</v>
      </c>
      <c r="J49" s="51"/>
      <c r="K49" s="70" t="s">
        <v>27</v>
      </c>
      <c r="L49" s="40">
        <v>2487.0</v>
      </c>
      <c r="M49" s="59">
        <v>40.0</v>
      </c>
      <c r="N49" s="33"/>
      <c r="O49" s="33"/>
      <c r="P49" s="33"/>
    </row>
    <row r="50" ht="30.0" customHeight="1">
      <c r="A50" s="37" t="s">
        <v>141</v>
      </c>
      <c r="B50" s="40">
        <v>2423.0</v>
      </c>
      <c r="C50" s="43">
        <f t="shared" si="1"/>
        <v>54</v>
      </c>
      <c r="D50" s="59">
        <v>32.0</v>
      </c>
      <c r="E50" s="47">
        <f t="shared" si="2"/>
        <v>2</v>
      </c>
      <c r="F50" s="63">
        <f t="shared" si="3"/>
        <v>0.01320676847</v>
      </c>
      <c r="G50" s="74" t="s">
        <v>24</v>
      </c>
      <c r="H50" s="74">
        <v>940.0</v>
      </c>
      <c r="I50" s="52" t="str">
        <f>HYPERLINK("https://www.thaienquirer.com/10764/thailand-confirms-38-more-coronavirus-infections-total-number-of-infected-at-2258/","Source")</f>
        <v>Source</v>
      </c>
      <c r="J50" s="51"/>
      <c r="K50" s="70" t="s">
        <v>27</v>
      </c>
      <c r="L50" s="40">
        <v>2369.0</v>
      </c>
      <c r="M50" s="59">
        <v>30.0</v>
      </c>
      <c r="N50" s="33"/>
      <c r="O50" s="33"/>
      <c r="P50" s="33"/>
    </row>
    <row r="51" ht="30.0" customHeight="1">
      <c r="A51" s="37" t="s">
        <v>143</v>
      </c>
      <c r="B51" s="40">
        <v>2376.0</v>
      </c>
      <c r="C51" s="43">
        <f t="shared" si="1"/>
        <v>166</v>
      </c>
      <c r="D51" s="59">
        <v>6.0</v>
      </c>
      <c r="E51" s="47">
        <f t="shared" si="2"/>
        <v>0</v>
      </c>
      <c r="F51" s="41">
        <f t="shared" si="3"/>
        <v>0.002525252525</v>
      </c>
      <c r="G51" s="74" t="s">
        <v>24</v>
      </c>
      <c r="H51" s="74">
        <v>206.0</v>
      </c>
      <c r="I51" s="52" t="str">
        <f>HYPERLINK("https://twitter.com/MOPHQatar/status/1248193069234733062","Source")</f>
        <v>Source</v>
      </c>
      <c r="J51" s="51"/>
      <c r="K51" s="31"/>
      <c r="L51" s="40">
        <v>2210.0</v>
      </c>
      <c r="M51" s="59">
        <v>6.0</v>
      </c>
      <c r="N51" s="33"/>
      <c r="O51" s="33"/>
      <c r="P51" s="33"/>
    </row>
    <row r="52" ht="30.0" customHeight="1">
      <c r="A52" s="37" t="s">
        <v>145</v>
      </c>
      <c r="B52" s="40">
        <v>2349.0</v>
      </c>
      <c r="C52" s="43">
        <f t="shared" si="1"/>
        <v>238</v>
      </c>
      <c r="D52" s="59">
        <v>118.0</v>
      </c>
      <c r="E52" s="47">
        <f t="shared" si="2"/>
        <v>10</v>
      </c>
      <c r="F52" s="63">
        <f t="shared" si="3"/>
        <v>0.05023414219</v>
      </c>
      <c r="G52" s="74" t="s">
        <v>24</v>
      </c>
      <c r="H52" s="74">
        <v>50.0</v>
      </c>
      <c r="I52" s="52" t="str">
        <f>HYPERLINK("https://listindiario.com/","Source")</f>
        <v>Source</v>
      </c>
      <c r="J52" s="54"/>
      <c r="K52" s="70" t="s">
        <v>27</v>
      </c>
      <c r="L52" s="40">
        <v>2111.0</v>
      </c>
      <c r="M52" s="59">
        <v>108.0</v>
      </c>
      <c r="N52" s="33"/>
      <c r="O52" s="33"/>
      <c r="P52" s="33"/>
    </row>
    <row r="53" ht="27.75" customHeight="1">
      <c r="A53" s="37" t="s">
        <v>148</v>
      </c>
      <c r="B53" s="40">
        <v>2223.0</v>
      </c>
      <c r="C53" s="43">
        <f t="shared" si="1"/>
        <v>169</v>
      </c>
      <c r="D53" s="59">
        <v>69.0</v>
      </c>
      <c r="E53" s="47">
        <f t="shared" si="2"/>
        <v>14</v>
      </c>
      <c r="F53" s="41">
        <f t="shared" si="3"/>
        <v>0.0310391363</v>
      </c>
      <c r="G53" s="74" t="s">
        <v>24</v>
      </c>
      <c r="H53" s="74">
        <v>123.0</v>
      </c>
      <c r="I53" s="95" t="str">
        <f>HYPERLINK("https://twitter.com/MinSaludCol/status/1247625528372330497","Source")</f>
        <v>Source</v>
      </c>
      <c r="J53" s="28"/>
      <c r="K53" s="31"/>
      <c r="L53" s="40">
        <v>2054.0</v>
      </c>
      <c r="M53" s="59">
        <v>55.0</v>
      </c>
      <c r="N53" s="33"/>
      <c r="O53" s="33"/>
      <c r="P53" s="33"/>
    </row>
    <row r="54" ht="30.0" customHeight="1">
      <c r="A54" s="37" t="s">
        <v>151</v>
      </c>
      <c r="B54" s="40">
        <v>1955.0</v>
      </c>
      <c r="C54" s="43">
        <f t="shared" si="1"/>
        <v>71</v>
      </c>
      <c r="D54" s="59">
        <v>86.0</v>
      </c>
      <c r="E54" s="47">
        <f t="shared" si="2"/>
        <v>3</v>
      </c>
      <c r="F54" s="63">
        <f t="shared" si="3"/>
        <v>0.04398976982</v>
      </c>
      <c r="G54" s="74">
        <v>84.0</v>
      </c>
      <c r="H54" s="74">
        <v>52.0</v>
      </c>
      <c r="I54" s="52" t="str">
        <f>HYPERLINK("https://www.moh.gov.gr/articles/ministry/grafeio-typoy/press-releases/7060-enhmerwsh-diapisteymenwn-syntaktwn-ygeias-apo-ton-yfypoyrgo-politikhs-prostasias-kai-diaxeirishs-krisewn-niko-xardalia-kai-ton-ekproswpo-toy-ypoyrgeioy-ygeias-gia-to-neo-koronoio-k"&amp;"athhghth-swthrh-tsiodra-8-4-2020","Source")</f>
        <v>Source</v>
      </c>
      <c r="J54" s="28"/>
      <c r="K54" s="70" t="s">
        <v>27</v>
      </c>
      <c r="L54" s="40">
        <v>1884.0</v>
      </c>
      <c r="M54" s="59">
        <v>83.0</v>
      </c>
      <c r="N54" s="33"/>
      <c r="O54" s="33"/>
      <c r="P54" s="33"/>
    </row>
    <row r="55" ht="27.75" customHeight="1">
      <c r="A55" s="37" t="s">
        <v>156</v>
      </c>
      <c r="B55" s="40">
        <v>1934.0</v>
      </c>
      <c r="C55" s="43">
        <f t="shared" si="1"/>
        <v>89</v>
      </c>
      <c r="D55" s="59">
        <v>18.0</v>
      </c>
      <c r="E55" s="47">
        <f t="shared" si="2"/>
        <v>0</v>
      </c>
      <c r="F55" s="63">
        <f t="shared" si="3"/>
        <v>0.009307135471</v>
      </c>
      <c r="G55" s="74">
        <v>4.0</v>
      </c>
      <c r="H55" s="74">
        <v>45.0</v>
      </c>
      <c r="I55" s="52" t="str">
        <f>HYPERLINK("https://www.health24.com/Medical/Infectious-diseases/Coronavirus/coronavirus-in-sa-all-the-confirmed-cases-20200312","Source")</f>
        <v>Source</v>
      </c>
      <c r="J55" s="28"/>
      <c r="K55" s="70" t="s">
        <v>27</v>
      </c>
      <c r="L55" s="40">
        <v>1845.0</v>
      </c>
      <c r="M55" s="59">
        <v>18.0</v>
      </c>
      <c r="N55" s="33"/>
      <c r="O55" s="33"/>
      <c r="P55" s="33"/>
    </row>
    <row r="56" ht="30.0" customHeight="1">
      <c r="A56" s="37" t="s">
        <v>159</v>
      </c>
      <c r="B56" s="40">
        <v>1910.0</v>
      </c>
      <c r="C56" s="43">
        <f t="shared" si="1"/>
        <v>287</v>
      </c>
      <c r="D56" s="59">
        <v>6.0</v>
      </c>
      <c r="E56" s="47">
        <f t="shared" si="2"/>
        <v>0</v>
      </c>
      <c r="F56" s="41">
        <f t="shared" si="3"/>
        <v>0.003141361257</v>
      </c>
      <c r="G56" s="74">
        <v>29.0</v>
      </c>
      <c r="H56" s="74">
        <v>460.0</v>
      </c>
      <c r="I56" s="52" t="str">
        <f>HYPERLINK("https://news.trust.org/item/20200409114121-6tjeh","Source")</f>
        <v>Source</v>
      </c>
      <c r="J56" s="51"/>
      <c r="K56" s="31"/>
      <c r="L56" s="40">
        <v>1623.0</v>
      </c>
      <c r="M56" s="59">
        <v>6.0</v>
      </c>
      <c r="N56" s="33"/>
      <c r="O56" s="33"/>
      <c r="P56" s="33"/>
    </row>
    <row r="57" ht="30.0" customHeight="1">
      <c r="A57" s="37" t="s">
        <v>163</v>
      </c>
      <c r="B57" s="40">
        <v>1892.0</v>
      </c>
      <c r="C57" s="43">
        <f t="shared" si="1"/>
        <v>224</v>
      </c>
      <c r="D57" s="59">
        <v>57.0</v>
      </c>
      <c r="E57" s="47">
        <f t="shared" si="2"/>
        <v>5</v>
      </c>
      <c r="F57" s="63">
        <f t="shared" si="3"/>
        <v>0.03012684989</v>
      </c>
      <c r="G57" s="74" t="s">
        <v>24</v>
      </c>
      <c r="H57" s="74">
        <v>45.0</v>
      </c>
      <c r="I57" s="52" t="str">
        <f>HYPERLINK("https://t.me/s/COVID19_Ukraine","Source")</f>
        <v>Source</v>
      </c>
      <c r="J57" s="67"/>
      <c r="K57" s="70" t="s">
        <v>166</v>
      </c>
      <c r="L57" s="40">
        <v>1668.0</v>
      </c>
      <c r="M57" s="59">
        <v>52.0</v>
      </c>
      <c r="N57" s="33"/>
      <c r="O57" s="33"/>
      <c r="P57" s="33"/>
    </row>
    <row r="58" ht="27.75" customHeight="1">
      <c r="A58" s="37" t="s">
        <v>168</v>
      </c>
      <c r="B58" s="40">
        <v>1795.0</v>
      </c>
      <c r="C58" s="43">
        <f t="shared" si="1"/>
        <v>80</v>
      </c>
      <c r="D58" s="59">
        <v>70.0</v>
      </c>
      <c r="E58" s="47">
        <f t="shared" si="2"/>
        <v>7</v>
      </c>
      <c r="F58" s="41">
        <f t="shared" si="3"/>
        <v>0.03899721448</v>
      </c>
      <c r="G58" s="74" t="s">
        <v>24</v>
      </c>
      <c r="H58" s="74">
        <v>266.0</v>
      </c>
      <c r="I58" s="95" t="str">
        <f>HYPERLINK("https://www.clarin.com/sociedad/coronavirus-argentina-gobierno-confirmo-nuevas-muertes-67-fallecidos-pais_0_nwolwyuJY.html","Source")</f>
        <v>Source</v>
      </c>
      <c r="J58" s="51"/>
      <c r="K58" s="31"/>
      <c r="L58" s="40">
        <v>1715.0</v>
      </c>
      <c r="M58" s="59">
        <v>63.0</v>
      </c>
      <c r="N58" s="33"/>
      <c r="O58" s="33"/>
      <c r="P58" s="33"/>
    </row>
    <row r="59" ht="30.0" customHeight="1">
      <c r="A59" s="37" t="s">
        <v>175</v>
      </c>
      <c r="B59" s="40">
        <v>1699.0</v>
      </c>
      <c r="C59" s="43">
        <f t="shared" si="1"/>
        <v>139</v>
      </c>
      <c r="D59" s="59">
        <v>118.0</v>
      </c>
      <c r="E59" s="47">
        <f t="shared" si="2"/>
        <v>15</v>
      </c>
      <c r="F59" s="63">
        <f t="shared" si="3"/>
        <v>0.06945261919</v>
      </c>
      <c r="G59" s="74" t="s">
        <v>24</v>
      </c>
      <c r="H59" s="74">
        <v>305.0</v>
      </c>
      <c r="I59" s="95" t="str">
        <f>HYPERLINK("https://www.facebook.com/EgyMohpSpokes/posts/1143343389336162","Source")</f>
        <v>Source</v>
      </c>
      <c r="J59" s="28"/>
      <c r="K59" s="70" t="s">
        <v>27</v>
      </c>
      <c r="L59" s="40">
        <v>1560.0</v>
      </c>
      <c r="M59" s="59">
        <v>103.0</v>
      </c>
      <c r="N59" s="33"/>
      <c r="O59" s="33"/>
      <c r="P59" s="33"/>
    </row>
    <row r="60" ht="30.0" customHeight="1">
      <c r="A60" s="37" t="s">
        <v>177</v>
      </c>
      <c r="B60" s="40">
        <v>1666.0</v>
      </c>
      <c r="C60" s="43">
        <f t="shared" si="1"/>
        <v>94</v>
      </c>
      <c r="D60" s="59">
        <v>235.0</v>
      </c>
      <c r="E60" s="47">
        <f t="shared" si="2"/>
        <v>30</v>
      </c>
      <c r="F60" s="41">
        <f t="shared" si="3"/>
        <v>0.1410564226</v>
      </c>
      <c r="G60" s="74" t="s">
        <v>24</v>
      </c>
      <c r="H60" s="74">
        <v>113.0</v>
      </c>
      <c r="I60" s="52" t="str">
        <f>HYPERLINK("http://www.aps.dz/algerie/103829-coronavirus-45-nouveaux-cas-confirmes-et-20-nouveaux-deces-en-algerie","Source")</f>
        <v>Source</v>
      </c>
      <c r="J60" s="28"/>
      <c r="K60" s="70" t="s">
        <v>27</v>
      </c>
      <c r="L60" s="40">
        <v>1572.0</v>
      </c>
      <c r="M60" s="59">
        <v>205.0</v>
      </c>
      <c r="N60" s="33"/>
      <c r="O60" s="33"/>
      <c r="P60" s="33"/>
    </row>
    <row r="61" ht="30.0" customHeight="1">
      <c r="A61" s="37" t="s">
        <v>178</v>
      </c>
      <c r="B61" s="40">
        <v>1648.0</v>
      </c>
      <c r="C61" s="43">
        <f t="shared" si="1"/>
        <v>32</v>
      </c>
      <c r="D61" s="59">
        <v>4.0</v>
      </c>
      <c r="E61" s="47">
        <f t="shared" si="2"/>
        <v>0</v>
      </c>
      <c r="F61" s="41">
        <f t="shared" si="3"/>
        <v>0.002427184466</v>
      </c>
      <c r="G61" s="74">
        <v>11.0</v>
      </c>
      <c r="H61" s="74">
        <v>688.0</v>
      </c>
      <c r="I61" s="52" t="str">
        <f>HYPERLINK("https://www.covid.is/tolulegar-upplysingar","Source")</f>
        <v>Source</v>
      </c>
      <c r="J61" s="112"/>
      <c r="K61" s="70" t="s">
        <v>27</v>
      </c>
      <c r="L61" s="40">
        <v>1616.0</v>
      </c>
      <c r="M61" s="59">
        <v>4.0</v>
      </c>
      <c r="N61" s="33"/>
      <c r="O61" s="33"/>
      <c r="P61" s="33"/>
    </row>
    <row r="62" ht="30.0" customHeight="1">
      <c r="A62" s="37" t="s">
        <v>181</v>
      </c>
      <c r="B62" s="40">
        <v>1486.0</v>
      </c>
      <c r="C62" s="43">
        <f t="shared" si="1"/>
        <v>420</v>
      </c>
      <c r="D62" s="59">
        <v>16.0</v>
      </c>
      <c r="E62" s="47">
        <f t="shared" si="2"/>
        <v>3</v>
      </c>
      <c r="F62" s="41">
        <f t="shared" si="3"/>
        <v>0.01076716016</v>
      </c>
      <c r="G62" s="74">
        <v>55.0</v>
      </c>
      <c r="H62" s="74">
        <v>139.0</v>
      </c>
      <c r="I62" s="52" t="str">
        <f>HYPERLINK("https://people.onliner.by/2020/04/09/stat-10","Source")</f>
        <v>Source</v>
      </c>
      <c r="J62" s="51"/>
      <c r="K62" s="70" t="s">
        <v>27</v>
      </c>
      <c r="L62" s="40">
        <v>1066.0</v>
      </c>
      <c r="M62" s="59">
        <v>13.0</v>
      </c>
      <c r="N62" s="33"/>
      <c r="O62" s="33"/>
      <c r="P62" s="33"/>
    </row>
    <row r="63" ht="30.0" customHeight="1">
      <c r="A63" s="37" t="s">
        <v>183</v>
      </c>
      <c r="B63" s="40">
        <v>1407.0</v>
      </c>
      <c r="C63" s="43">
        <f t="shared" si="1"/>
        <v>64</v>
      </c>
      <c r="D63" s="59">
        <v>20.0</v>
      </c>
      <c r="E63" s="47">
        <f t="shared" si="2"/>
        <v>1</v>
      </c>
      <c r="F63" s="41">
        <f t="shared" si="3"/>
        <v>0.01421464108</v>
      </c>
      <c r="G63" s="74">
        <v>36.0</v>
      </c>
      <c r="H63" s="74">
        <v>219.0</v>
      </c>
      <c r="I63" s="52" t="str">
        <f>HYPERLINK("https://www.koronavirus.hr/najnovije/ukupno-dosad-1343-osobe-zarazene-koronavirusom/35","Source")</f>
        <v>Source</v>
      </c>
      <c r="J63" s="94"/>
      <c r="K63" s="70" t="s">
        <v>27</v>
      </c>
      <c r="L63" s="40">
        <v>1343.0</v>
      </c>
      <c r="M63" s="59">
        <v>19.0</v>
      </c>
      <c r="N63" s="33"/>
      <c r="O63" s="33"/>
      <c r="P63" s="33"/>
    </row>
    <row r="64" ht="30.0" customHeight="1">
      <c r="A64" s="37" t="s">
        <v>187</v>
      </c>
      <c r="B64" s="40">
        <v>1374.0</v>
      </c>
      <c r="C64" s="43">
        <f t="shared" si="1"/>
        <v>99</v>
      </c>
      <c r="D64" s="59">
        <v>97.0</v>
      </c>
      <c r="E64" s="47">
        <f t="shared" si="2"/>
        <v>4</v>
      </c>
      <c r="F64" s="63">
        <f t="shared" si="3"/>
        <v>0.07059679767</v>
      </c>
      <c r="G64" s="74" t="s">
        <v>24</v>
      </c>
      <c r="H64" s="74">
        <v>109.0</v>
      </c>
      <c r="I64" s="52" t="str">
        <f>HYPERLINK("http://www.covidmaroc.ma/Pages/AccueilAR.aspx","Source")</f>
        <v>Source</v>
      </c>
      <c r="J64" s="67"/>
      <c r="K64" s="70" t="s">
        <v>190</v>
      </c>
      <c r="L64" s="40">
        <v>1275.0</v>
      </c>
      <c r="M64" s="59">
        <v>93.0</v>
      </c>
      <c r="N64" s="33"/>
      <c r="O64" s="33"/>
      <c r="P64" s="33"/>
    </row>
    <row r="65" ht="30.0" customHeight="1">
      <c r="A65" s="37" t="s">
        <v>192</v>
      </c>
      <c r="B65" s="40">
        <v>1239.0</v>
      </c>
      <c r="C65" s="43">
        <f t="shared" si="1"/>
        <v>29</v>
      </c>
      <c r="D65" s="59">
        <v>1.0</v>
      </c>
      <c r="E65" s="47">
        <f t="shared" si="2"/>
        <v>0</v>
      </c>
      <c r="F65" s="41">
        <f t="shared" si="3"/>
        <v>0.000807102502</v>
      </c>
      <c r="G65" s="74">
        <v>4.0</v>
      </c>
      <c r="H65" s="74">
        <v>317.0</v>
      </c>
      <c r="I65" s="52" t="str">
        <f>HYPERLINK("https://www.health.govt.nz/news-media/media-releases/29-new-cases-covid-19","Source")</f>
        <v>Source</v>
      </c>
      <c r="J65" s="51"/>
      <c r="K65" s="31"/>
      <c r="L65" s="40">
        <v>1210.0</v>
      </c>
      <c r="M65" s="59">
        <v>1.0</v>
      </c>
      <c r="N65" s="33"/>
      <c r="O65" s="33"/>
      <c r="P65" s="33"/>
    </row>
    <row r="66" ht="30.0" customHeight="1">
      <c r="A66" s="37" t="s">
        <v>195</v>
      </c>
      <c r="B66" s="40">
        <v>1207.0</v>
      </c>
      <c r="C66" s="43">
        <f t="shared" si="1"/>
        <v>22</v>
      </c>
      <c r="D66" s="59">
        <v>24.0</v>
      </c>
      <c r="E66" s="47">
        <f t="shared" si="2"/>
        <v>0</v>
      </c>
      <c r="F66" s="41">
        <f t="shared" si="3"/>
        <v>0.01988400994</v>
      </c>
      <c r="G66" s="74">
        <v>12.0</v>
      </c>
      <c r="H66" s="74">
        <v>69.0</v>
      </c>
      <c r="I66" s="95" t="str">
        <f>HYPERLINK("https://www.terviseamet.ee/et/uudised/oopaevaga-lisandus-42-positiivset-testi","Source")</f>
        <v>Source</v>
      </c>
      <c r="J66" s="51"/>
      <c r="K66" s="70" t="s">
        <v>27</v>
      </c>
      <c r="L66" s="40">
        <v>1185.0</v>
      </c>
      <c r="M66" s="59">
        <v>24.0</v>
      </c>
      <c r="N66" s="33"/>
      <c r="O66" s="33"/>
      <c r="P66" s="33"/>
    </row>
    <row r="67" ht="30.0" customHeight="1">
      <c r="A67" s="37" t="s">
        <v>197</v>
      </c>
      <c r="B67" s="40">
        <v>1202.0</v>
      </c>
      <c r="C67" s="43">
        <f t="shared" si="1"/>
        <v>0</v>
      </c>
      <c r="D67" s="59">
        <v>69.0</v>
      </c>
      <c r="E67" s="47">
        <f t="shared" si="2"/>
        <v>0</v>
      </c>
      <c r="F67" s="63">
        <f t="shared" si="3"/>
        <v>0.05740432612</v>
      </c>
      <c r="G67" s="74" t="s">
        <v>24</v>
      </c>
      <c r="H67" s="74">
        <v>452.0</v>
      </c>
      <c r="I67" s="52" t="str">
        <f>HYPERLINK("https://www.facebook.com/MOH.GOV.IQ/videos/844330322717369/?__xts__%5B0%5D=68.ARDdg6VvdFwLhBBPj0AltNn8qbpw2nsUMBO3i74qCwPKmQKjiPCAbw0A4iDW_-rhRwTI58mxX2vtzG1dTOUJZfw0dKXiU9irCHwMw9Hnksgtxs9kJg9LadKIy9jKbWeYqwu6MXFfWZtwGfDBwyO1RqH4o1z1n7T9DLAinRnOMXQf3mjEb"&amp;"5bO30tBTK-avjcjj-_1WbTV0qidhHNWtpUoWURBmqlyU5ZAdp0yFvjIyumovfWl1FliHoSPtv820dE3Vcc3fcbbBMryugubtb--b6XeS2lX5zo2UF9tZa5EfFoXJXHe8OMg1lzmcvSWClwQQhrHpwoau6hdu4xA3XWHTZOU4AuFZF5nPBPMSQ&amp;__tn__=-R","Source")</f>
        <v>Source</v>
      </c>
      <c r="J67" s="28"/>
      <c r="K67" s="70" t="s">
        <v>27</v>
      </c>
      <c r="L67" s="40">
        <v>1202.0</v>
      </c>
      <c r="M67" s="59">
        <v>69.0</v>
      </c>
      <c r="N67" s="33"/>
      <c r="O67" s="33"/>
      <c r="P67" s="33"/>
    </row>
    <row r="68" ht="27.75" customHeight="1">
      <c r="A68" s="37" t="s">
        <v>201</v>
      </c>
      <c r="B68" s="40">
        <v>1174.0</v>
      </c>
      <c r="C68" s="43">
        <f t="shared" si="1"/>
        <v>0</v>
      </c>
      <c r="D68" s="59">
        <v>27.0</v>
      </c>
      <c r="E68" s="47">
        <f t="shared" si="2"/>
        <v>0</v>
      </c>
      <c r="F68" s="63">
        <f t="shared" si="3"/>
        <v>0.02299829642</v>
      </c>
      <c r="G68" s="74" t="s">
        <v>24</v>
      </c>
      <c r="H68" s="74">
        <v>43.0</v>
      </c>
      <c r="I68" s="52" t="str">
        <f>HYPERLINK("https://gismoldova.maps.arcgis.com/apps/opsdashboard/index.html#/d274da857ed345efa66e1fbc959b021b","Source")</f>
        <v>Source</v>
      </c>
      <c r="J68" s="28"/>
      <c r="K68" s="70" t="s">
        <v>27</v>
      </c>
      <c r="L68" s="40">
        <v>1174.0</v>
      </c>
      <c r="M68" s="59">
        <v>27.0</v>
      </c>
      <c r="N68" s="33"/>
      <c r="O68" s="33"/>
      <c r="P68" s="33"/>
    </row>
    <row r="69" ht="27.75" customHeight="1">
      <c r="A69" s="37" t="s">
        <v>206</v>
      </c>
      <c r="B69" s="40">
        <v>1124.0</v>
      </c>
      <c r="C69" s="43">
        <f t="shared" si="1"/>
        <v>33</v>
      </c>
      <c r="D69" s="59">
        <v>43.0</v>
      </c>
      <c r="E69" s="47">
        <f t="shared" si="2"/>
        <v>3</v>
      </c>
      <c r="F69" s="63">
        <f t="shared" si="3"/>
        <v>0.03825622776</v>
      </c>
      <c r="G69" s="74">
        <v>34.0</v>
      </c>
      <c r="H69" s="74">
        <v>92.0</v>
      </c>
      <c r="I69" s="52" t="str">
        <f>HYPERLINK("https://www.gov.si/en/topics/coronavirus-disease-covid-19/","Source")</f>
        <v>Source</v>
      </c>
      <c r="J69" s="51"/>
      <c r="K69" s="70" t="s">
        <v>27</v>
      </c>
      <c r="L69" s="40">
        <v>1091.0</v>
      </c>
      <c r="M69" s="59">
        <v>40.0</v>
      </c>
      <c r="N69" s="33"/>
      <c r="O69" s="33"/>
      <c r="P69" s="33"/>
    </row>
    <row r="70" ht="30.0" customHeight="1">
      <c r="A70" s="37" t="s">
        <v>210</v>
      </c>
      <c r="B70" s="59">
        <v>980.0</v>
      </c>
      <c r="C70" s="43">
        <f t="shared" si="1"/>
        <v>85</v>
      </c>
      <c r="D70" s="59">
        <v>66.0</v>
      </c>
      <c r="E70" s="47">
        <f t="shared" si="2"/>
        <v>8</v>
      </c>
      <c r="F70" s="41">
        <f t="shared" si="3"/>
        <v>0.06734693878</v>
      </c>
      <c r="G70" s="74">
        <v>23.0</v>
      </c>
      <c r="H70" s="74">
        <v>96.0</v>
      </c>
      <c r="I70" s="52" t="str">
        <f>HYPERLINK("https://koronavirus.gov.hu/elhunytak","Source")</f>
        <v>Source</v>
      </c>
      <c r="J70" s="51"/>
      <c r="K70" s="70" t="s">
        <v>27</v>
      </c>
      <c r="L70" s="59">
        <v>895.0</v>
      </c>
      <c r="M70" s="59">
        <v>58.0</v>
      </c>
      <c r="N70" s="33"/>
      <c r="O70" s="33"/>
      <c r="P70" s="33"/>
    </row>
    <row r="71" ht="30.0" customHeight="1">
      <c r="A71" s="37" t="s">
        <v>215</v>
      </c>
      <c r="B71" s="59">
        <v>974.0</v>
      </c>
      <c r="C71" s="43">
        <f t="shared" si="1"/>
        <v>13</v>
      </c>
      <c r="D71" s="59">
        <v>4.0</v>
      </c>
      <c r="E71" s="47">
        <f t="shared" si="2"/>
        <v>0</v>
      </c>
      <c r="F71" s="63">
        <f t="shared" si="3"/>
        <v>0.004106776181</v>
      </c>
      <c r="G71" s="74">
        <v>14.0</v>
      </c>
      <c r="H71" s="74">
        <v>293.0</v>
      </c>
      <c r="I71" s="95" t="str">
        <f>HYPERLINK("https://chp-dashboard.geodata.gov.hk/covid-19/en.html","Source")</f>
        <v>Source</v>
      </c>
      <c r="J71" s="51"/>
      <c r="K71" s="70" t="s">
        <v>27</v>
      </c>
      <c r="L71" s="59">
        <v>961.0</v>
      </c>
      <c r="M71" s="59">
        <v>4.0</v>
      </c>
      <c r="N71" s="33"/>
      <c r="O71" s="33"/>
      <c r="P71" s="33"/>
    </row>
    <row r="72" ht="30.0" customHeight="1">
      <c r="A72" s="37" t="s">
        <v>219</v>
      </c>
      <c r="B72" s="59">
        <v>955.0</v>
      </c>
      <c r="C72" s="43">
        <f t="shared" si="1"/>
        <v>43</v>
      </c>
      <c r="D72" s="59">
        <v>15.0</v>
      </c>
      <c r="E72" s="47">
        <f t="shared" si="2"/>
        <v>0</v>
      </c>
      <c r="F72" s="41">
        <f t="shared" si="3"/>
        <v>0.01570680628</v>
      </c>
      <c r="G72" s="74" t="s">
        <v>24</v>
      </c>
      <c r="H72" s="74">
        <v>8.0</v>
      </c>
      <c r="I72" s="52" t="str">
        <f>HYPERLINK("http://sam.lrv.lt/koronavirusas","Source")</f>
        <v>Source</v>
      </c>
      <c r="J72" s="147"/>
      <c r="K72" s="70" t="s">
        <v>27</v>
      </c>
      <c r="L72" s="59">
        <v>912.0</v>
      </c>
      <c r="M72" s="59">
        <v>15.0</v>
      </c>
      <c r="N72" s="33"/>
      <c r="O72" s="33"/>
      <c r="P72" s="33"/>
    </row>
    <row r="73" ht="30.0" customHeight="1">
      <c r="A73" s="37" t="s">
        <v>226</v>
      </c>
      <c r="B73" s="59">
        <v>921.0</v>
      </c>
      <c r="C73" s="43">
        <f t="shared" si="1"/>
        <v>40</v>
      </c>
      <c r="D73" s="59">
        <v>10.0</v>
      </c>
      <c r="E73" s="47">
        <f t="shared" si="2"/>
        <v>1</v>
      </c>
      <c r="F73" s="63">
        <f t="shared" si="3"/>
        <v>0.0108577633</v>
      </c>
      <c r="G73" s="74" t="s">
        <v>24</v>
      </c>
      <c r="H73" s="74">
        <v>138.0</v>
      </c>
      <c r="I73" s="52" t="str">
        <f>HYPERLINK("https://news.am/eng/news/571424.html","Source")</f>
        <v>Source</v>
      </c>
      <c r="J73" s="51"/>
      <c r="K73" s="31"/>
      <c r="L73" s="59">
        <v>881.0</v>
      </c>
      <c r="M73" s="59">
        <v>9.0</v>
      </c>
      <c r="N73" s="33"/>
      <c r="O73" s="33"/>
      <c r="P73" s="33"/>
    </row>
    <row r="74" ht="30.0" customHeight="1">
      <c r="A74" s="37" t="s">
        <v>229</v>
      </c>
      <c r="B74" s="59">
        <v>910.0</v>
      </c>
      <c r="C74" s="43">
        <f t="shared" si="1"/>
        <v>55</v>
      </c>
      <c r="D74" s="59">
        <v>1.0</v>
      </c>
      <c r="E74" s="47">
        <f t="shared" si="2"/>
        <v>0</v>
      </c>
      <c r="F74" s="41">
        <f t="shared" si="3"/>
        <v>0.001098901099</v>
      </c>
      <c r="G74" s="74">
        <v>22.0</v>
      </c>
      <c r="H74" s="74">
        <v>111.0</v>
      </c>
      <c r="I74" s="52" t="str">
        <f>HYPERLINK("https://twitter.com/KUWAIT_MOH/status/1248181692868767744","Source")</f>
        <v>Source</v>
      </c>
      <c r="J74" s="51"/>
      <c r="K74" s="70" t="s">
        <v>27</v>
      </c>
      <c r="L74" s="59">
        <v>855.0</v>
      </c>
      <c r="M74" s="59">
        <v>1.0</v>
      </c>
      <c r="N74" s="33"/>
      <c r="O74" s="33"/>
      <c r="P74" s="33"/>
    </row>
    <row r="75" ht="27.75" customHeight="1">
      <c r="A75" s="37" t="s">
        <v>233</v>
      </c>
      <c r="B75" s="59">
        <v>841.0</v>
      </c>
      <c r="C75" s="43">
        <f t="shared" si="1"/>
        <v>36</v>
      </c>
      <c r="D75" s="59">
        <v>35.0</v>
      </c>
      <c r="E75" s="47">
        <f t="shared" si="2"/>
        <v>1</v>
      </c>
      <c r="F75" s="41">
        <f t="shared" si="3"/>
        <v>0.04161712247</v>
      </c>
      <c r="G75" s="74" t="s">
        <v>24</v>
      </c>
      <c r="H75" s="74">
        <v>97.0</v>
      </c>
      <c r="I75" s="52" t="str">
        <f>HYPERLINK("https://www.klix.ba/vijesti/bih/prvi-slucaj-koronavirusa-u-livnu-zarazen-pripadnik-oruzanih-snaga-bih/200404074","Source")</f>
        <v>Source</v>
      </c>
      <c r="J75" s="28"/>
      <c r="K75" s="70" t="s">
        <v>27</v>
      </c>
      <c r="L75" s="59">
        <v>805.0</v>
      </c>
      <c r="M75" s="59">
        <v>34.0</v>
      </c>
      <c r="N75" s="33"/>
      <c r="O75" s="33"/>
      <c r="P75" s="33"/>
    </row>
    <row r="76" ht="30.0" customHeight="1">
      <c r="A76" s="37" t="s">
        <v>236</v>
      </c>
      <c r="B76" s="59">
        <v>823.0</v>
      </c>
      <c r="C76" s="43">
        <f t="shared" si="1"/>
        <v>0</v>
      </c>
      <c r="D76" s="59">
        <v>5.0</v>
      </c>
      <c r="E76" s="47">
        <f t="shared" si="2"/>
        <v>0</v>
      </c>
      <c r="F76" s="41">
        <f t="shared" si="3"/>
        <v>0.006075334143</v>
      </c>
      <c r="G76" s="74">
        <v>3.0</v>
      </c>
      <c r="H76" s="74">
        <v>477.0</v>
      </c>
      <c r="I76" s="52" t="str">
        <f>HYPERLINK("https://www.moh.gov.bh/COVID19","Source")</f>
        <v>Source</v>
      </c>
      <c r="J76" s="94"/>
      <c r="K76" s="70" t="s">
        <v>27</v>
      </c>
      <c r="L76" s="59">
        <v>823.0</v>
      </c>
      <c r="M76" s="59">
        <v>5.0</v>
      </c>
      <c r="N76" s="33"/>
      <c r="O76" s="33"/>
      <c r="P76" s="33"/>
    </row>
    <row r="77" ht="30.0" customHeight="1">
      <c r="A77" s="37" t="s">
        <v>240</v>
      </c>
      <c r="B77" s="59">
        <v>764.0</v>
      </c>
      <c r="C77" s="43">
        <f t="shared" si="1"/>
        <v>37</v>
      </c>
      <c r="D77" s="59">
        <v>6.0</v>
      </c>
      <c r="E77" s="47">
        <f t="shared" si="2"/>
        <v>0</v>
      </c>
      <c r="F77" s="63">
        <f t="shared" si="3"/>
        <v>0.007853403141</v>
      </c>
      <c r="G77" s="74" t="s">
        <v>24</v>
      </c>
      <c r="H77" s="74">
        <v>58.0</v>
      </c>
      <c r="I77" s="52" t="str">
        <f>HYPERLINK("https://www.facebook.com/MinzdravRK/posts/1453057844872073?__xts__%5B0%5D=68.ARAPbJU4-_DqjGDkcv1oQKQssFCC1TxSI6ctdy4oj0SH-r19IiSfZI7uzoFIo8OQ_S0T7wTMBg4nRq0C5eEdCgl1LWzLJC_nj6xwbmbUWxkwp5FlUJsGWkZPzDv0OPB_vRfqGfbOjgYNzu9Dika0ooizenSmx-9CvSwD4VBG-rNi5fJAe0"&amp;"qDCtYOkOwAnNJMATCUt-KrrxHb0BuMqRv6RrrUj5iYSYhdp2vFj_3c4GUcJ1vtgqez3Solk6Vt2yoLxcLT-SL4vIb-Cg3Y8y9F6na92nxmPHhi7mh2ADphPt5j7wMekqTNRTeizM_oL0PLGjNgVQt7RqqleItmg-WIbcgROQ&amp;__tn__=-R","Source")</f>
        <v>Source</v>
      </c>
      <c r="J77" s="67"/>
      <c r="K77" s="70" t="s">
        <v>54</v>
      </c>
      <c r="L77" s="59">
        <v>727.0</v>
      </c>
      <c r="M77" s="59">
        <v>6.0</v>
      </c>
      <c r="N77" s="33"/>
      <c r="O77" s="33"/>
      <c r="P77" s="33"/>
    </row>
    <row r="78" ht="30.0" customHeight="1">
      <c r="A78" s="37" t="s">
        <v>243</v>
      </c>
      <c r="B78" s="59">
        <v>717.0</v>
      </c>
      <c r="C78" s="43">
        <f t="shared" si="1"/>
        <v>0</v>
      </c>
      <c r="D78" s="59">
        <v>8.0</v>
      </c>
      <c r="E78" s="47">
        <f t="shared" si="2"/>
        <v>0</v>
      </c>
      <c r="F78" s="41">
        <f t="shared" si="3"/>
        <v>0.01115760112</v>
      </c>
      <c r="G78" s="74">
        <v>40.0</v>
      </c>
      <c r="H78" s="74">
        <v>44.0</v>
      </c>
      <c r="I78" s="52" t="str">
        <f>HYPERLINK("https://koronavirusinfo.az/az","Source")</f>
        <v>Source</v>
      </c>
      <c r="J78" s="94"/>
      <c r="K78" s="31"/>
      <c r="L78" s="59">
        <v>717.0</v>
      </c>
      <c r="M78" s="59">
        <v>8.0</v>
      </c>
      <c r="N78" s="33"/>
      <c r="O78" s="33"/>
      <c r="P78" s="33"/>
    </row>
    <row r="79" ht="30.0" customHeight="1">
      <c r="A79" s="37" t="s">
        <v>244</v>
      </c>
      <c r="B79" s="59">
        <v>712.0</v>
      </c>
      <c r="C79" s="43">
        <f t="shared" si="1"/>
        <v>0</v>
      </c>
      <c r="D79" s="59">
        <v>11.0</v>
      </c>
      <c r="E79" s="47">
        <f t="shared" si="2"/>
        <v>0</v>
      </c>
      <c r="F79" s="63">
        <f t="shared" si="3"/>
        <v>0.0154494382</v>
      </c>
      <c r="G79" s="74">
        <v>8.0</v>
      </c>
      <c r="H79" s="74">
        <v>638.0</v>
      </c>
      <c r="I79" s="52" t="str">
        <f>HYPERLINK("https://www3.nhk.or.jp/nhkworld/en/news/20200409_28/","Source")</f>
        <v>Source</v>
      </c>
      <c r="J79" s="28"/>
      <c r="K79" s="31"/>
      <c r="L79" s="59">
        <v>712.0</v>
      </c>
      <c r="M79" s="59">
        <v>11.0</v>
      </c>
      <c r="N79" s="33"/>
      <c r="O79" s="33"/>
      <c r="P79" s="33"/>
    </row>
    <row r="80" ht="27.75" customHeight="1">
      <c r="A80" s="37" t="s">
        <v>245</v>
      </c>
      <c r="B80" s="59">
        <v>685.0</v>
      </c>
      <c r="C80" s="43">
        <f t="shared" si="1"/>
        <v>0</v>
      </c>
      <c r="D80" s="59">
        <v>8.0</v>
      </c>
      <c r="E80" s="47">
        <f t="shared" si="2"/>
        <v>0</v>
      </c>
      <c r="F80" s="41">
        <f t="shared" si="3"/>
        <v>0.01167883212</v>
      </c>
      <c r="G80" s="74" t="s">
        <v>24</v>
      </c>
      <c r="H80" s="74">
        <v>43.0</v>
      </c>
      <c r="I80" s="52" t="str">
        <f>HYPERLINK("https://twitter.com/DrManaouda/status/1247523132853727234","Source")</f>
        <v>Source</v>
      </c>
      <c r="J80" s="28"/>
      <c r="K80" s="70" t="s">
        <v>27</v>
      </c>
      <c r="L80" s="59">
        <v>685.0</v>
      </c>
      <c r="M80" s="59">
        <v>8.0</v>
      </c>
      <c r="N80" s="33"/>
      <c r="O80" s="33"/>
      <c r="P80" s="33"/>
    </row>
    <row r="81" ht="30.0" customHeight="1">
      <c r="A81" s="37" t="s">
        <v>246</v>
      </c>
      <c r="B81" s="59">
        <v>682.0</v>
      </c>
      <c r="C81" s="43">
        <f t="shared" si="1"/>
        <v>101</v>
      </c>
      <c r="D81" s="59">
        <v>2.0</v>
      </c>
      <c r="E81" s="47">
        <f t="shared" si="2"/>
        <v>0</v>
      </c>
      <c r="F81" s="41">
        <f t="shared" si="3"/>
        <v>0.00293255132</v>
      </c>
      <c r="G81" s="74" t="s">
        <v>24</v>
      </c>
      <c r="H81" s="74">
        <v>16.0</v>
      </c>
      <c r="I81" s="52" t="str">
        <f>HYPERLINK("https://ezdravie.nczisk.sk/sk?category=COVID","Source")</f>
        <v>Source</v>
      </c>
      <c r="J81" s="51"/>
      <c r="K81" s="70" t="s">
        <v>27</v>
      </c>
      <c r="L81" s="59">
        <v>581.0</v>
      </c>
      <c r="M81" s="59">
        <v>2.0</v>
      </c>
      <c r="N81" s="33"/>
      <c r="O81" s="33"/>
      <c r="P81" s="33"/>
    </row>
    <row r="82" ht="30.0" customHeight="1">
      <c r="A82" s="37" t="s">
        <v>247</v>
      </c>
      <c r="B82" s="59">
        <v>623.0</v>
      </c>
      <c r="C82" s="43">
        <f t="shared" si="1"/>
        <v>0</v>
      </c>
      <c r="D82" s="59">
        <v>23.0</v>
      </c>
      <c r="E82" s="47">
        <f t="shared" si="2"/>
        <v>0</v>
      </c>
      <c r="F82" s="41">
        <f t="shared" si="3"/>
        <v>0.03691813804</v>
      </c>
      <c r="G82" s="74" t="s">
        <v>24</v>
      </c>
      <c r="H82" s="74">
        <v>5.0</v>
      </c>
      <c r="I82" s="52" t="str">
        <f>HYPERLINK("https://www.facebook.com/santetunisie.rns.tn/","Source")</f>
        <v>Source</v>
      </c>
      <c r="J82" s="28"/>
      <c r="K82" s="31"/>
      <c r="L82" s="59">
        <v>623.0</v>
      </c>
      <c r="M82" s="59">
        <v>23.0</v>
      </c>
      <c r="N82" s="33"/>
      <c r="O82" s="33"/>
      <c r="P82" s="33"/>
    </row>
    <row r="83" ht="30.0" customHeight="1">
      <c r="A83" s="37" t="s">
        <v>248</v>
      </c>
      <c r="B83" s="59">
        <v>611.0</v>
      </c>
      <c r="C83" s="43">
        <f t="shared" si="1"/>
        <v>18</v>
      </c>
      <c r="D83" s="59">
        <v>24.0</v>
      </c>
      <c r="E83" s="47">
        <f t="shared" si="2"/>
        <v>1</v>
      </c>
      <c r="F83" s="41">
        <f t="shared" si="3"/>
        <v>0.03927986907</v>
      </c>
      <c r="G83" s="74">
        <v>27.0</v>
      </c>
      <c r="H83" s="74">
        <v>48.0</v>
      </c>
      <c r="I83" s="52" t="str">
        <f>HYPERLINK("http://www.mh.government.bg/bg/novini/aktualno/48-sa-veche-izlekuvanite-pacienti-ot-covid-19-u-na/","Source")</f>
        <v>Source</v>
      </c>
      <c r="J83" s="67"/>
      <c r="K83" s="70" t="s">
        <v>72</v>
      </c>
      <c r="L83" s="59">
        <v>593.0</v>
      </c>
      <c r="M83" s="59">
        <v>23.0</v>
      </c>
      <c r="N83" s="33"/>
      <c r="O83" s="33"/>
      <c r="P83" s="33"/>
    </row>
    <row r="84" ht="30.0" customHeight="1">
      <c r="A84" s="37" t="s">
        <v>249</v>
      </c>
      <c r="B84" s="59">
        <v>599.0</v>
      </c>
      <c r="C84" s="43">
        <f t="shared" si="1"/>
        <v>0</v>
      </c>
      <c r="D84" s="59">
        <v>23.0</v>
      </c>
      <c r="E84" s="47">
        <f t="shared" si="2"/>
        <v>0</v>
      </c>
      <c r="F84" s="63">
        <f t="shared" si="3"/>
        <v>0.03839732888</v>
      </c>
      <c r="G84" s="74" t="s">
        <v>24</v>
      </c>
      <c r="H84" s="74">
        <v>23.0</v>
      </c>
      <c r="I84" s="52" t="str">
        <f>HYPERLINK("http://zdravstvo.gov.mk/potvrdeni-29-novi-sluchai-na-kovid-19-vkupnata-brojka-vo-zemjata-e-599-dijagnosticirani-pacienti/","Source")</f>
        <v>Source</v>
      </c>
      <c r="J84" s="28"/>
      <c r="K84" s="70" t="s">
        <v>27</v>
      </c>
      <c r="L84" s="59">
        <v>599.0</v>
      </c>
      <c r="M84" s="59">
        <v>23.0</v>
      </c>
      <c r="N84" s="33"/>
      <c r="O84" s="33"/>
      <c r="P84" s="33"/>
    </row>
    <row r="85" ht="30.0" customHeight="1">
      <c r="A85" s="37" t="s">
        <v>250</v>
      </c>
      <c r="B85" s="59">
        <v>582.0</v>
      </c>
      <c r="C85" s="43">
        <f t="shared" si="1"/>
        <v>7</v>
      </c>
      <c r="D85" s="59">
        <v>19.0</v>
      </c>
      <c r="E85" s="47">
        <f t="shared" si="2"/>
        <v>0</v>
      </c>
      <c r="F85" s="63">
        <f t="shared" si="3"/>
        <v>0.03264604811</v>
      </c>
      <c r="G85" s="74" t="s">
        <v>24</v>
      </c>
      <c r="H85" s="74">
        <v>35.0</v>
      </c>
      <c r="I85" s="52" t="str">
        <f>HYPERLINK("https://twitter.com/mophleb/status/1248194130347470851","Source")</f>
        <v>Source</v>
      </c>
      <c r="J85" s="51"/>
      <c r="K85" s="31"/>
      <c r="L85" s="59">
        <v>575.0</v>
      </c>
      <c r="M85" s="59">
        <v>19.0</v>
      </c>
      <c r="N85" s="33"/>
      <c r="O85" s="33"/>
      <c r="P85" s="33"/>
    </row>
    <row r="86" ht="30.0" customHeight="1">
      <c r="A86" s="37" t="s">
        <v>251</v>
      </c>
      <c r="B86" s="59">
        <v>555.0</v>
      </c>
      <c r="C86" s="43">
        <f t="shared" si="1"/>
        <v>21</v>
      </c>
      <c r="D86" s="59">
        <v>2.0</v>
      </c>
      <c r="E86" s="47">
        <f t="shared" si="2"/>
        <v>0</v>
      </c>
      <c r="F86" s="41">
        <f t="shared" si="3"/>
        <v>0.003603603604</v>
      </c>
      <c r="G86" s="74">
        <v>9.0</v>
      </c>
      <c r="H86" s="74">
        <v>30.0</v>
      </c>
      <c r="I86" s="52" t="str">
        <f>HYPERLINK("https://t.me/s/ssvuz","Source")</f>
        <v>Source</v>
      </c>
      <c r="J86" s="28"/>
      <c r="K86" s="70" t="s">
        <v>54</v>
      </c>
      <c r="L86" s="59">
        <v>534.0</v>
      </c>
      <c r="M86" s="59">
        <v>2.0</v>
      </c>
      <c r="N86" s="33"/>
      <c r="O86" s="33"/>
      <c r="P86" s="33"/>
    </row>
    <row r="87" ht="30.0" customHeight="1">
      <c r="A87" s="37" t="s">
        <v>252</v>
      </c>
      <c r="B87" s="59">
        <v>548.0</v>
      </c>
      <c r="C87" s="43">
        <f t="shared" si="1"/>
        <v>0</v>
      </c>
      <c r="D87" s="59">
        <v>2.0</v>
      </c>
      <c r="E87" s="47">
        <f t="shared" si="2"/>
        <v>0</v>
      </c>
      <c r="F87" s="41">
        <f t="shared" si="3"/>
        <v>0.003649635036</v>
      </c>
      <c r="G87" s="74">
        <v>5.0</v>
      </c>
      <c r="H87" s="74" t="s">
        <v>24</v>
      </c>
      <c r="I87" s="52" t="str">
        <f>HYPERLINK("https://twitter.com/SPKCentrs/status/1247518068802084870","Source")</f>
        <v>Source</v>
      </c>
      <c r="J87" s="28"/>
      <c r="K87" s="31"/>
      <c r="L87" s="59">
        <v>548.0</v>
      </c>
      <c r="M87" s="59">
        <v>2.0</v>
      </c>
      <c r="N87" s="33"/>
      <c r="O87" s="33"/>
      <c r="P87" s="33"/>
    </row>
    <row r="88" ht="30.0" customHeight="1">
      <c r="A88" s="37" t="s">
        <v>253</v>
      </c>
      <c r="B88" s="59">
        <v>583.0</v>
      </c>
      <c r="C88" s="43">
        <f t="shared" si="1"/>
        <v>19</v>
      </c>
      <c r="D88" s="59">
        <v>25.0</v>
      </c>
      <c r="E88" s="47">
        <f t="shared" si="2"/>
        <v>2</v>
      </c>
      <c r="F88" s="41">
        <f t="shared" si="3"/>
        <v>0.04288164666</v>
      </c>
      <c r="G88" s="74" t="s">
        <v>24</v>
      </c>
      <c r="H88" s="74">
        <v>58.0</v>
      </c>
      <c r="I88" s="52" t="str">
        <f>HYPERLINK("https://www.govern.ad/coronavirus","Source")</f>
        <v>Source</v>
      </c>
      <c r="J88" s="51"/>
      <c r="K88" s="70" t="s">
        <v>27</v>
      </c>
      <c r="L88" s="59">
        <v>564.0</v>
      </c>
      <c r="M88" s="59">
        <v>23.0</v>
      </c>
      <c r="N88" s="33"/>
      <c r="O88" s="33"/>
      <c r="P88" s="33"/>
    </row>
    <row r="89" ht="30.0" customHeight="1">
      <c r="A89" s="37" t="s">
        <v>254</v>
      </c>
      <c r="B89" s="59">
        <v>502.0</v>
      </c>
      <c r="C89" s="43">
        <f t="shared" si="1"/>
        <v>19</v>
      </c>
      <c r="D89" s="59">
        <v>2.0</v>
      </c>
      <c r="E89" s="47">
        <f t="shared" si="2"/>
        <v>0</v>
      </c>
      <c r="F89" s="41">
        <f t="shared" si="3"/>
        <v>0.003984063745</v>
      </c>
      <c r="G89" s="74" t="s">
        <v>24</v>
      </c>
      <c r="H89" s="74">
        <v>24.0</v>
      </c>
      <c r="I89" s="52" t="str">
        <f>HYPERLINK("https://www.crhoy.com/nacionales/se-rompe-tendencia-a-la-baja-16-nuevos-nuevos-confirmados-lista-crece-a-483-pacientes/","Source")</f>
        <v>Source</v>
      </c>
      <c r="J89" s="28"/>
      <c r="K89" s="70" t="s">
        <v>27</v>
      </c>
      <c r="L89" s="59">
        <v>483.0</v>
      </c>
      <c r="M89" s="59">
        <v>2.0</v>
      </c>
      <c r="N89" s="33"/>
      <c r="O89" s="33"/>
      <c r="P89" s="33"/>
    </row>
    <row r="90" ht="30.0" customHeight="1">
      <c r="A90" s="37" t="s">
        <v>255</v>
      </c>
      <c r="B90" s="59">
        <v>494.0</v>
      </c>
      <c r="C90" s="43">
        <f t="shared" si="1"/>
        <v>0</v>
      </c>
      <c r="D90" s="59">
        <v>13.0</v>
      </c>
      <c r="E90" s="47">
        <f t="shared" si="2"/>
        <v>0</v>
      </c>
      <c r="F90" s="63">
        <f t="shared" si="3"/>
        <v>0.02631578947</v>
      </c>
      <c r="G90" s="74">
        <v>6.0</v>
      </c>
      <c r="H90" s="74">
        <v>33.0</v>
      </c>
      <c r="I90" s="52" t="str">
        <f>HYPERLINK("http://www.cna.org.cy/WebNews.aspx?a=e9d660de1de448038b0eabd2b11269a1","Source")</f>
        <v>Source</v>
      </c>
      <c r="J90" s="28"/>
      <c r="K90" s="31"/>
      <c r="L90" s="59">
        <v>494.0</v>
      </c>
      <c r="M90" s="59">
        <v>13.0</v>
      </c>
      <c r="N90" s="33"/>
      <c r="O90" s="33"/>
      <c r="P90" s="33"/>
    </row>
    <row r="91" ht="30.0" customHeight="1">
      <c r="A91" s="37" t="s">
        <v>256</v>
      </c>
      <c r="B91" s="59">
        <v>484.0</v>
      </c>
      <c r="C91" s="43">
        <f t="shared" si="1"/>
        <v>40</v>
      </c>
      <c r="D91" s="59">
        <v>15.0</v>
      </c>
      <c r="E91" s="47">
        <f t="shared" si="2"/>
        <v>1</v>
      </c>
      <c r="F91" s="63">
        <f t="shared" si="3"/>
        <v>0.03099173554</v>
      </c>
      <c r="G91" s="74" t="s">
        <v>24</v>
      </c>
      <c r="H91" s="74">
        <v>32.0</v>
      </c>
      <c r="I91" s="52" t="str">
        <f>HYPERLINK("https://uneplive.maps.arcgis.com/apps/opsdashboard/index.html#/4c8ca6b1d9bc44d6bde5e2fd54afc180","Source")</f>
        <v>Source</v>
      </c>
      <c r="J91" s="28"/>
      <c r="K91" s="31"/>
      <c r="L91" s="59">
        <v>444.0</v>
      </c>
      <c r="M91" s="59">
        <v>14.0</v>
      </c>
      <c r="N91" s="33"/>
      <c r="O91" s="33"/>
      <c r="P91" s="33"/>
    </row>
    <row r="92" ht="27.75" customHeight="1">
      <c r="A92" s="37" t="s">
        <v>257</v>
      </c>
      <c r="B92" s="59">
        <v>457.0</v>
      </c>
      <c r="C92" s="43">
        <f t="shared" si="1"/>
        <v>0</v>
      </c>
      <c r="D92" s="59">
        <v>12.0</v>
      </c>
      <c r="E92" s="47">
        <f t="shared" si="2"/>
        <v>0</v>
      </c>
      <c r="F92" s="41">
        <f t="shared" si="3"/>
        <v>0.02625820569</v>
      </c>
      <c r="G92" s="74">
        <v>16.0</v>
      </c>
      <c r="H92" s="74">
        <v>27.0</v>
      </c>
      <c r="I92" s="52" t="str">
        <f>HYPERLINK("https://twitter.com/MINSAPCuba/status/1247918597558734848","Source")</f>
        <v>Source</v>
      </c>
      <c r="J92" s="28"/>
      <c r="K92" s="70" t="s">
        <v>27</v>
      </c>
      <c r="L92" s="59">
        <v>457.0</v>
      </c>
      <c r="M92" s="59">
        <v>12.0</v>
      </c>
      <c r="N92" s="33"/>
      <c r="O92" s="33"/>
      <c r="P92" s="33"/>
    </row>
    <row r="93" ht="30.0" customHeight="1">
      <c r="A93" s="37" t="s">
        <v>258</v>
      </c>
      <c r="B93" s="59">
        <v>457.0</v>
      </c>
      <c r="C93" s="43">
        <f t="shared" si="1"/>
        <v>38</v>
      </c>
      <c r="D93" s="59">
        <v>2.0</v>
      </c>
      <c r="E93" s="47">
        <f t="shared" si="2"/>
        <v>0</v>
      </c>
      <c r="F93" s="41">
        <f t="shared" si="3"/>
        <v>0.004376367615</v>
      </c>
      <c r="G93" s="74">
        <v>0.0</v>
      </c>
      <c r="H93" s="74">
        <v>109.0</v>
      </c>
      <c r="I93" s="52" t="str">
        <f>HYPERLINK("https://covid19.moh.gov.om/#/home","Source")</f>
        <v>Source</v>
      </c>
      <c r="J93" s="147"/>
      <c r="K93" s="70" t="s">
        <v>27</v>
      </c>
      <c r="L93" s="59">
        <v>419.0</v>
      </c>
      <c r="M93" s="59">
        <v>2.0</v>
      </c>
      <c r="N93" s="33"/>
      <c r="O93" s="33"/>
      <c r="P93" s="33"/>
    </row>
    <row r="94" ht="30.0" customHeight="1">
      <c r="A94" s="37" t="s">
        <v>259</v>
      </c>
      <c r="B94" s="59">
        <v>448.0</v>
      </c>
      <c r="C94" s="43">
        <f t="shared" si="1"/>
        <v>24</v>
      </c>
      <c r="D94" s="59">
        <v>7.0</v>
      </c>
      <c r="E94" s="47">
        <f t="shared" si="2"/>
        <v>0</v>
      </c>
      <c r="F94" s="63">
        <f t="shared" si="3"/>
        <v>0.015625</v>
      </c>
      <c r="G94" s="74">
        <v>14.0</v>
      </c>
      <c r="H94" s="74">
        <v>192.0</v>
      </c>
      <c r="I94" s="52" t="str">
        <f>HYPERLINK("https://www.gub.uy/sistema-nacional-emergencias/comunicacion/comunicados/informe-situacion-relacion-coronavirus-covid-19-uruguay-del-8420","Source")</f>
        <v>Source</v>
      </c>
      <c r="J94" s="28"/>
      <c r="K94" s="70" t="s">
        <v>27</v>
      </c>
      <c r="L94" s="59">
        <v>424.0</v>
      </c>
      <c r="M94" s="59">
        <v>7.0</v>
      </c>
      <c r="N94" s="33"/>
      <c r="O94" s="33"/>
      <c r="P94" s="33"/>
    </row>
    <row r="95" ht="30.0" customHeight="1">
      <c r="A95" s="37" t="s">
        <v>260</v>
      </c>
      <c r="B95" s="59">
        <v>409.0</v>
      </c>
      <c r="C95" s="43">
        <f t="shared" si="1"/>
        <v>9</v>
      </c>
      <c r="D95" s="59">
        <v>22.0</v>
      </c>
      <c r="E95" s="47">
        <f t="shared" si="2"/>
        <v>0</v>
      </c>
      <c r="F95" s="41">
        <f t="shared" si="3"/>
        <v>0.05378973105</v>
      </c>
      <c r="G95" s="74">
        <v>5.0</v>
      </c>
      <c r="H95" s="74">
        <v>165.0</v>
      </c>
      <c r="I95" s="52" t="str">
        <f>HYPERLINK("https://shendetesia.gov.al/covid-19-ministria-e-shendetesise-9-raste-te-reja-shkon-ne-409-numri-i-te-prekurve/","Source")</f>
        <v>Source</v>
      </c>
      <c r="J95" s="28"/>
      <c r="K95" s="70"/>
      <c r="L95" s="59">
        <v>400.0</v>
      </c>
      <c r="M95" s="59">
        <v>22.0</v>
      </c>
      <c r="N95" s="33"/>
      <c r="O95" s="33"/>
      <c r="P95" s="33"/>
    </row>
    <row r="96" ht="27.75" customHeight="1">
      <c r="A96" s="37" t="s">
        <v>261</v>
      </c>
      <c r="B96" s="59">
        <v>384.0</v>
      </c>
      <c r="C96" s="43">
        <f t="shared" si="1"/>
        <v>0</v>
      </c>
      <c r="D96" s="59">
        <v>19.0</v>
      </c>
      <c r="E96" s="47">
        <f t="shared" si="2"/>
        <v>0</v>
      </c>
      <c r="F96" s="41">
        <f t="shared" si="3"/>
        <v>0.04947916667</v>
      </c>
      <c r="G96" s="74" t="s">
        <v>24</v>
      </c>
      <c r="H96" s="74">
        <v>127.0</v>
      </c>
      <c r="I96" s="52" t="str">
        <f>HYPERLINK("https://lefaso.net/spip.php?article96042","Source")</f>
        <v>Source</v>
      </c>
      <c r="J96" s="28"/>
      <c r="K96" s="31"/>
      <c r="L96" s="59">
        <v>384.0</v>
      </c>
      <c r="M96" s="59">
        <v>19.0</v>
      </c>
      <c r="N96" s="33"/>
      <c r="O96" s="33"/>
      <c r="P96" s="33"/>
    </row>
    <row r="97" ht="30.0" customHeight="1">
      <c r="A97" s="37" t="s">
        <v>262</v>
      </c>
      <c r="B97" s="59">
        <v>380.0</v>
      </c>
      <c r="C97" s="43">
        <f t="shared" si="1"/>
        <v>1</v>
      </c>
      <c r="D97" s="59">
        <v>5.0</v>
      </c>
      <c r="E97" s="47">
        <f t="shared" si="2"/>
        <v>0</v>
      </c>
      <c r="F97" s="63">
        <f t="shared" si="3"/>
        <v>0.01315789474</v>
      </c>
      <c r="G97" s="74">
        <v>0.0</v>
      </c>
      <c r="H97" s="74">
        <v>80.0</v>
      </c>
      <c r="I97" s="52" t="str">
        <f>HYPERLINK("https://www.cdc.gov.tw/Bulletin/Detail/PNo4ICeV9wrdFyyQFO-w7w?typeid=9","Source")</f>
        <v>Source</v>
      </c>
      <c r="J97" s="51"/>
      <c r="K97" s="70" t="s">
        <v>27</v>
      </c>
      <c r="L97" s="59">
        <v>379.0</v>
      </c>
      <c r="M97" s="59">
        <v>5.0</v>
      </c>
      <c r="N97" s="33"/>
      <c r="O97" s="33"/>
      <c r="P97" s="33"/>
    </row>
    <row r="98" ht="30.0" customHeight="1">
      <c r="A98" s="37" t="s">
        <v>263</v>
      </c>
      <c r="B98" s="59">
        <v>358.0</v>
      </c>
      <c r="C98" s="43">
        <f t="shared" si="1"/>
        <v>5</v>
      </c>
      <c r="D98" s="59">
        <v>6.0</v>
      </c>
      <c r="E98" s="47">
        <f t="shared" si="2"/>
        <v>0</v>
      </c>
      <c r="F98" s="63">
        <f t="shared" si="3"/>
        <v>0.01675977654</v>
      </c>
      <c r="G98" s="74" t="s">
        <v>24</v>
      </c>
      <c r="H98" s="74">
        <v>150.0</v>
      </c>
      <c r="I98" s="52" t="str">
        <f>HYPERLINK("https://corona.moh.gov.jo/ar","Source")</f>
        <v>Source</v>
      </c>
      <c r="J98" s="28"/>
      <c r="K98" s="70" t="s">
        <v>27</v>
      </c>
      <c r="L98" s="59">
        <v>353.0</v>
      </c>
      <c r="M98" s="59">
        <v>6.0</v>
      </c>
      <c r="N98" s="33"/>
      <c r="O98" s="33"/>
      <c r="P98" s="33"/>
    </row>
    <row r="99" ht="27.75" customHeight="1">
      <c r="A99" s="37" t="s">
        <v>265</v>
      </c>
      <c r="B99" s="59">
        <v>343.0</v>
      </c>
      <c r="C99" s="43">
        <f t="shared" si="1"/>
        <v>31</v>
      </c>
      <c r="D99" s="59">
        <v>23.0</v>
      </c>
      <c r="E99" s="47">
        <f t="shared" si="2"/>
        <v>1</v>
      </c>
      <c r="F99" s="63">
        <f t="shared" si="3"/>
        <v>0.06705539359</v>
      </c>
      <c r="G99" s="74" t="s">
        <v>24</v>
      </c>
      <c r="H99" s="74">
        <v>6.0</v>
      </c>
      <c r="I99" s="52" t="str">
        <f>HYPERLINK("https://covid19honduras.org/","Source")</f>
        <v>Source</v>
      </c>
      <c r="J99" s="28"/>
      <c r="K99" s="70" t="s">
        <v>27</v>
      </c>
      <c r="L99" s="59">
        <v>312.0</v>
      </c>
      <c r="M99" s="59">
        <v>22.0</v>
      </c>
      <c r="N99" s="33"/>
      <c r="O99" s="33"/>
      <c r="P99" s="33"/>
    </row>
    <row r="100" ht="27.75" customHeight="1">
      <c r="A100" s="37" t="s">
        <v>269</v>
      </c>
      <c r="B100" s="59">
        <v>337.0</v>
      </c>
      <c r="C100" s="43">
        <f t="shared" si="1"/>
        <v>38</v>
      </c>
      <c r="D100" s="59">
        <v>2.0</v>
      </c>
      <c r="E100" s="47">
        <f t="shared" si="2"/>
        <v>1</v>
      </c>
      <c r="F100" s="41">
        <f t="shared" si="3"/>
        <v>0.005934718101</v>
      </c>
      <c r="G100" s="74" t="s">
        <v>24</v>
      </c>
      <c r="H100" s="74">
        <v>5.0</v>
      </c>
      <c r="I100" s="52" t="str">
        <f>HYPERLINK("https://timesofmalta.com/articles/view/watch-live-daily-update-on-coronavirus-cases-in-malta.783737","Source")</f>
        <v>Source</v>
      </c>
      <c r="J100" s="28"/>
      <c r="K100" s="70" t="s">
        <v>27</v>
      </c>
      <c r="L100" s="59">
        <v>299.0</v>
      </c>
      <c r="M100" s="59">
        <v>1.0</v>
      </c>
      <c r="N100" s="33"/>
      <c r="O100" s="33"/>
      <c r="P100" s="33"/>
    </row>
    <row r="101" ht="27.75" customHeight="1">
      <c r="A101" s="37" t="s">
        <v>276</v>
      </c>
      <c r="B101" s="59">
        <v>330.0</v>
      </c>
      <c r="C101" s="43">
        <f t="shared" si="1"/>
        <v>112</v>
      </c>
      <c r="D101" s="59">
        <v>21.0</v>
      </c>
      <c r="E101" s="47">
        <f t="shared" si="2"/>
        <v>1</v>
      </c>
      <c r="F101" s="63">
        <f t="shared" si="3"/>
        <v>0.06363636364</v>
      </c>
      <c r="G101" s="74" t="s">
        <v>24</v>
      </c>
      <c r="H101" s="74">
        <v>33.0</v>
      </c>
      <c r="I101" s="52" t="str">
        <f>HYPERLINK("https://www.thedailystar.net/coronavirus-deadly-new-threat/news/bangladesh-reports-one-more-coronavirus-death-112-test-positive-24hrs-health-minister-1891318","Source")</f>
        <v>Source</v>
      </c>
      <c r="J101" s="51"/>
      <c r="K101" s="31"/>
      <c r="L101" s="59">
        <v>218.0</v>
      </c>
      <c r="M101" s="59">
        <v>20.0</v>
      </c>
      <c r="N101" s="33"/>
      <c r="O101" s="33"/>
      <c r="P101" s="33"/>
    </row>
    <row r="102" ht="27.75" customHeight="1">
      <c r="A102" s="37" t="s">
        <v>277</v>
      </c>
      <c r="B102" s="59">
        <v>323.0</v>
      </c>
      <c r="C102" s="43">
        <f t="shared" si="1"/>
        <v>0</v>
      </c>
      <c r="D102" s="59">
        <v>3.0</v>
      </c>
      <c r="E102" s="47">
        <f t="shared" si="2"/>
        <v>0</v>
      </c>
      <c r="F102" s="41">
        <f t="shared" si="3"/>
        <v>0.009287925697</v>
      </c>
      <c r="G102" s="74" t="s">
        <v>24</v>
      </c>
      <c r="H102" s="74">
        <v>41.0</v>
      </c>
      <c r="I102" s="52" t="str">
        <f>HYPERLINK("https://twitter.com/OmsCotedivoire/status/1247481735245332482","Source")</f>
        <v>Source</v>
      </c>
      <c r="J102" s="28"/>
      <c r="K102" s="31"/>
      <c r="L102" s="59">
        <v>323.0</v>
      </c>
      <c r="M102" s="59">
        <v>3.0</v>
      </c>
      <c r="N102" s="33"/>
      <c r="O102" s="33"/>
      <c r="P102" s="33"/>
    </row>
    <row r="103" ht="30.0" customHeight="1">
      <c r="A103" s="37" t="s">
        <v>280</v>
      </c>
      <c r="B103" s="59">
        <v>308.0</v>
      </c>
      <c r="C103" s="43">
        <f t="shared" si="1"/>
        <v>0</v>
      </c>
      <c r="D103" s="59">
        <v>34.0</v>
      </c>
      <c r="E103" s="47">
        <f t="shared" si="2"/>
        <v>0</v>
      </c>
      <c r="F103" s="63">
        <f t="shared" si="3"/>
        <v>0.1103896104</v>
      </c>
      <c r="G103" s="74">
        <v>14.0</v>
      </c>
      <c r="H103" s="74">
        <v>45.0</v>
      </c>
      <c r="I103" s="52" t="str">
        <f>HYPERLINK("http://www.iss.sm/on-line/home/articolo49014233.html","Source")</f>
        <v>Source</v>
      </c>
      <c r="J103" s="158"/>
      <c r="K103" s="70" t="s">
        <v>27</v>
      </c>
      <c r="L103" s="59">
        <v>308.0</v>
      </c>
      <c r="M103" s="59">
        <v>34.0</v>
      </c>
      <c r="N103" s="33"/>
      <c r="O103" s="33"/>
      <c r="P103" s="33"/>
    </row>
    <row r="104" ht="30.0" customHeight="1">
      <c r="A104" s="37" t="s">
        <v>286</v>
      </c>
      <c r="B104" s="59">
        <v>287.0</v>
      </c>
      <c r="C104" s="43">
        <f t="shared" si="1"/>
        <v>0</v>
      </c>
      <c r="D104" s="59">
        <v>5.0</v>
      </c>
      <c r="E104" s="47">
        <f t="shared" si="2"/>
        <v>0</v>
      </c>
      <c r="F104" s="63">
        <f t="shared" si="3"/>
        <v>0.01742160279</v>
      </c>
      <c r="G104" s="74">
        <v>0.0</v>
      </c>
      <c r="H104" s="74">
        <v>3.0</v>
      </c>
      <c r="I104" s="52" t="str">
        <f>HYPERLINK("https://www.ghanahealthservice.org/covid19/","Source")</f>
        <v>Source</v>
      </c>
      <c r="J104" s="28"/>
      <c r="K104" s="31"/>
      <c r="L104" s="59">
        <v>287.0</v>
      </c>
      <c r="M104" s="59">
        <v>5.0</v>
      </c>
      <c r="N104" s="33"/>
      <c r="O104" s="33"/>
      <c r="P104" s="33"/>
    </row>
    <row r="105" ht="30.0" customHeight="1">
      <c r="A105" s="37" t="s">
        <v>288</v>
      </c>
      <c r="B105" s="59">
        <v>280.0</v>
      </c>
      <c r="C105" s="43">
        <f t="shared" si="1"/>
        <v>10</v>
      </c>
      <c r="D105" s="59">
        <v>4.0</v>
      </c>
      <c r="E105" s="47">
        <f t="shared" si="2"/>
        <v>0</v>
      </c>
      <c r="F105" s="41">
        <f t="shared" si="3"/>
        <v>0.01428571429</v>
      </c>
      <c r="G105" s="74">
        <v>5.0</v>
      </c>
      <c r="H105" s="74">
        <v>30.0</v>
      </c>
      <c r="I105" s="52" t="str">
        <f>HYPERLINK("http://www.med.kg/ru/informatsii/883-epidsituatsiya-po-koronavirusu-v-kyrgyzstane-na-6-aprelya.html","Source")</f>
        <v>Source</v>
      </c>
      <c r="J105" s="28"/>
      <c r="K105" s="31"/>
      <c r="L105" s="59">
        <v>270.0</v>
      </c>
      <c r="M105" s="59">
        <v>4.0</v>
      </c>
      <c r="N105" s="33"/>
      <c r="O105" s="33"/>
      <c r="P105" s="33"/>
    </row>
    <row r="106" ht="30.0" customHeight="1">
      <c r="A106" s="37" t="s">
        <v>289</v>
      </c>
      <c r="B106" s="59">
        <v>276.0</v>
      </c>
      <c r="C106" s="43">
        <f t="shared" si="1"/>
        <v>0</v>
      </c>
      <c r="D106" s="59">
        <v>6.0</v>
      </c>
      <c r="E106" s="47">
        <f t="shared" si="2"/>
        <v>0</v>
      </c>
      <c r="F106" s="63">
        <f t="shared" si="3"/>
        <v>0.02173913043</v>
      </c>
      <c r="G106" s="74" t="s">
        <v>24</v>
      </c>
      <c r="H106" s="74">
        <v>44.0</v>
      </c>
      <c r="I106" s="52" t="str">
        <f>HYPERLINK("https://twitter.com/NCDCgov/status/1247977885228564482","Source")</f>
        <v>Source</v>
      </c>
      <c r="J106" s="28"/>
      <c r="K106" s="31"/>
      <c r="L106" s="59">
        <v>276.0</v>
      </c>
      <c r="M106" s="59">
        <v>6.0</v>
      </c>
      <c r="N106" s="33"/>
      <c r="O106" s="33"/>
      <c r="P106" s="33"/>
    </row>
    <row r="107" ht="30.0" customHeight="1">
      <c r="A107" s="37" t="s">
        <v>290</v>
      </c>
      <c r="B107" s="59">
        <v>268.0</v>
      </c>
      <c r="C107" s="43">
        <f t="shared" si="1"/>
        <v>0</v>
      </c>
      <c r="D107" s="59">
        <v>7.0</v>
      </c>
      <c r="E107" s="47">
        <f t="shared" si="2"/>
        <v>0</v>
      </c>
      <c r="F107" s="63">
        <f t="shared" si="3"/>
        <v>0.02611940299</v>
      </c>
      <c r="G107" s="74" t="s">
        <v>24</v>
      </c>
      <c r="H107" s="74">
        <v>8.0</v>
      </c>
      <c r="I107" s="52" t="str">
        <f>HYPERLINK("https://www.lemauricien.com/covid19/","Source")</f>
        <v>Source</v>
      </c>
      <c r="J107" s="28"/>
      <c r="K107" s="31"/>
      <c r="L107" s="59">
        <v>268.0</v>
      </c>
      <c r="M107" s="59">
        <v>7.0</v>
      </c>
      <c r="N107" s="33"/>
      <c r="O107" s="33"/>
      <c r="P107" s="33"/>
    </row>
    <row r="108" ht="30.0" customHeight="1">
      <c r="A108" s="37" t="s">
        <v>282</v>
      </c>
      <c r="B108" s="59">
        <v>264.0</v>
      </c>
      <c r="C108" s="43">
        <f t="shared" si="1"/>
        <v>54</v>
      </c>
      <c r="D108" s="59">
        <v>18.0</v>
      </c>
      <c r="E108" s="47">
        <f t="shared" si="2"/>
        <v>3</v>
      </c>
      <c r="F108" s="63">
        <f t="shared" si="3"/>
        <v>0.06818181818</v>
      </c>
      <c r="G108" s="74" t="s">
        <v>24</v>
      </c>
      <c r="H108" s="74">
        <v>2.0</v>
      </c>
      <c r="I108" s="52" t="str">
        <f>HYPERLINK("https://twitter.com/MinSaludBolivia/status/1247339575690833921","Source")</f>
        <v>Source</v>
      </c>
      <c r="J108" s="28"/>
      <c r="K108" s="70" t="s">
        <v>27</v>
      </c>
      <c r="L108" s="59">
        <v>210.0</v>
      </c>
      <c r="M108" s="59">
        <v>15.0</v>
      </c>
      <c r="N108" s="33"/>
      <c r="O108" s="33"/>
      <c r="P108" s="33"/>
    </row>
    <row r="109" ht="30.0" customHeight="1">
      <c r="A109" s="37" t="s">
        <v>291</v>
      </c>
      <c r="B109" s="59">
        <v>263.0</v>
      </c>
      <c r="C109" s="43">
        <f t="shared" si="1"/>
        <v>0</v>
      </c>
      <c r="D109" s="59">
        <v>1.0</v>
      </c>
      <c r="E109" s="47">
        <f t="shared" si="2"/>
        <v>0</v>
      </c>
      <c r="F109" s="63">
        <f t="shared" si="3"/>
        <v>0.003802281369</v>
      </c>
      <c r="G109" s="74">
        <v>0.0</v>
      </c>
      <c r="H109" s="74">
        <v>44.0</v>
      </c>
      <c r="I109" s="52" t="str">
        <f>HYPERLINK("https://corona.ps/","Source")</f>
        <v>Source</v>
      </c>
      <c r="J109" s="28"/>
      <c r="K109" s="70" t="s">
        <v>54</v>
      </c>
      <c r="L109" s="59">
        <v>263.0</v>
      </c>
      <c r="M109" s="59">
        <v>1.0</v>
      </c>
      <c r="N109" s="33"/>
      <c r="O109" s="33"/>
      <c r="P109" s="33"/>
    </row>
    <row r="110" ht="30.0" customHeight="1">
      <c r="A110" s="37" t="s">
        <v>292</v>
      </c>
      <c r="B110" s="59">
        <v>253.0</v>
      </c>
      <c r="C110" s="43">
        <f t="shared" si="1"/>
        <v>0</v>
      </c>
      <c r="D110" s="59">
        <v>10.0</v>
      </c>
      <c r="E110" s="47">
        <f t="shared" si="2"/>
        <v>0</v>
      </c>
      <c r="F110" s="63">
        <f t="shared" si="3"/>
        <v>0.0395256917</v>
      </c>
      <c r="G110" s="74" t="s">
        <v>24</v>
      </c>
      <c r="H110" s="74" t="s">
        <v>24</v>
      </c>
      <c r="I110" s="52" t="str">
        <f>HYPERLINK("http://french.china.org.cn/foreign/txt/2020-04/07/content_75901518.htm","Source")</f>
        <v>Source</v>
      </c>
      <c r="J110" s="28"/>
      <c r="K110" s="31"/>
      <c r="L110" s="59">
        <v>253.0</v>
      </c>
      <c r="M110" s="59">
        <v>10.0</v>
      </c>
      <c r="N110" s="33"/>
      <c r="O110" s="33"/>
      <c r="P110" s="159"/>
    </row>
    <row r="111" ht="30.0" customHeight="1">
      <c r="A111" s="37" t="s">
        <v>293</v>
      </c>
      <c r="B111" s="59">
        <v>252.0</v>
      </c>
      <c r="C111" s="43">
        <f t="shared" si="1"/>
        <v>4</v>
      </c>
      <c r="D111" s="59">
        <v>2.0</v>
      </c>
      <c r="E111" s="47">
        <f t="shared" si="2"/>
        <v>0</v>
      </c>
      <c r="F111" s="63">
        <f t="shared" si="3"/>
        <v>0.007936507937</v>
      </c>
      <c r="G111" s="74" t="s">
        <v>24</v>
      </c>
      <c r="H111" s="74" t="s">
        <v>24</v>
      </c>
      <c r="I111" s="52" t="str">
        <f>HYPERLINK("https://www.ijzcg.me/me/novosti/presjek-situacije-u-crnoj-gori-u-srijedu-0804-u-0830","Source")</f>
        <v>Source</v>
      </c>
      <c r="J111" s="28"/>
      <c r="K111" s="70" t="s">
        <v>294</v>
      </c>
      <c r="L111" s="59">
        <v>248.0</v>
      </c>
      <c r="M111" s="59">
        <v>2.0</v>
      </c>
      <c r="N111" s="33"/>
      <c r="O111" s="33"/>
      <c r="P111" s="33"/>
    </row>
    <row r="112" ht="30.0" customHeight="1">
      <c r="A112" s="37" t="s">
        <v>295</v>
      </c>
      <c r="B112" s="59">
        <v>251.0</v>
      </c>
      <c r="C112" s="43">
        <f t="shared" si="1"/>
        <v>0</v>
      </c>
      <c r="D112" s="59">
        <v>0.0</v>
      </c>
      <c r="E112" s="47">
        <f t="shared" si="2"/>
        <v>0</v>
      </c>
      <c r="F112" s="63">
        <f t="shared" si="3"/>
        <v>0</v>
      </c>
      <c r="G112" s="74" t="s">
        <v>24</v>
      </c>
      <c r="H112" s="74">
        <v>128.0</v>
      </c>
      <c r="I112" s="52" t="str">
        <f>HYPERLINK("https://twitter.com/VNGovtPortal/status/1247699058258407424","Source")</f>
        <v>Source</v>
      </c>
      <c r="J112" s="28"/>
      <c r="K112" s="31"/>
      <c r="L112" s="59">
        <v>251.0</v>
      </c>
      <c r="M112" s="59">
        <v>0.0</v>
      </c>
      <c r="N112" s="33"/>
      <c r="O112" s="33"/>
      <c r="P112" s="33"/>
    </row>
    <row r="113" ht="30.0" customHeight="1">
      <c r="A113" s="37" t="s">
        <v>296</v>
      </c>
      <c r="B113" s="59">
        <v>250.0</v>
      </c>
      <c r="C113" s="43">
        <f t="shared" si="1"/>
        <v>6</v>
      </c>
      <c r="D113" s="59">
        <v>2.0</v>
      </c>
      <c r="E113" s="47">
        <f t="shared" si="2"/>
        <v>0</v>
      </c>
      <c r="F113" s="41">
        <f t="shared" si="3"/>
        <v>0.008</v>
      </c>
      <c r="G113" s="74" t="s">
        <v>24</v>
      </c>
      <c r="H113" s="74">
        <v>124.0</v>
      </c>
      <c r="I113" s="52" t="str">
        <f>HYPERLINK("https://twitter.com/MinisteredelaS1/status/1248194150132056064","Source")</f>
        <v>Source</v>
      </c>
      <c r="J113" s="160"/>
      <c r="K113" s="70" t="s">
        <v>27</v>
      </c>
      <c r="L113" s="59">
        <v>244.0</v>
      </c>
      <c r="M113" s="59">
        <v>2.0</v>
      </c>
      <c r="N113" s="33"/>
      <c r="O113" s="33"/>
      <c r="P113" s="33"/>
    </row>
    <row r="114" ht="30.0" customHeight="1">
      <c r="A114" s="37" t="s">
        <v>51</v>
      </c>
      <c r="B114" s="59">
        <v>214.0</v>
      </c>
      <c r="C114" s="43">
        <f t="shared" si="1"/>
        <v>3</v>
      </c>
      <c r="D114" s="59">
        <v>3.0</v>
      </c>
      <c r="E114" s="47">
        <f t="shared" si="2"/>
        <v>0</v>
      </c>
      <c r="F114" s="41">
        <f t="shared" si="3"/>
        <v>0.01401869159</v>
      </c>
      <c r="G114" s="74">
        <v>1.0</v>
      </c>
      <c r="H114" s="74">
        <v>50.0</v>
      </c>
      <c r="I114" s="52" t="str">
        <f>HYPERLINK("https://stopcov.ge/en","Source")</f>
        <v>Source</v>
      </c>
      <c r="J114" s="51"/>
      <c r="K114" s="70" t="s">
        <v>27</v>
      </c>
      <c r="L114" s="59">
        <v>211.0</v>
      </c>
      <c r="M114" s="59">
        <v>3.0</v>
      </c>
      <c r="N114" s="33"/>
      <c r="O114" s="33"/>
      <c r="P114" s="33"/>
    </row>
    <row r="115" ht="30.0" customHeight="1">
      <c r="A115" s="37" t="s">
        <v>297</v>
      </c>
      <c r="B115" s="59">
        <v>188.0</v>
      </c>
      <c r="C115" s="43">
        <f t="shared" si="1"/>
        <v>3</v>
      </c>
      <c r="D115" s="59">
        <v>7.0</v>
      </c>
      <c r="E115" s="47">
        <f t="shared" si="2"/>
        <v>1</v>
      </c>
      <c r="F115" s="63">
        <f t="shared" si="3"/>
        <v>0.03723404255</v>
      </c>
      <c r="G115" s="74" t="s">
        <v>24</v>
      </c>
      <c r="H115" s="74">
        <v>44.0</v>
      </c>
      <c r="I115" s="52" t="str">
        <f>HYPERLINK("http://www.colombopage.com/archive_20A/Apr07_1586241406CH.php","Source")</f>
        <v>Source</v>
      </c>
      <c r="J115" s="28"/>
      <c r="K115" s="31"/>
      <c r="L115" s="59">
        <v>185.0</v>
      </c>
      <c r="M115" s="59">
        <v>6.0</v>
      </c>
      <c r="N115" s="33"/>
      <c r="O115" s="33"/>
      <c r="P115" s="33"/>
    </row>
    <row r="116" ht="30.0" customHeight="1">
      <c r="A116" s="37" t="s">
        <v>298</v>
      </c>
      <c r="B116" s="59">
        <v>184.0</v>
      </c>
      <c r="C116" s="43">
        <f t="shared" si="1"/>
        <v>0</v>
      </c>
      <c r="D116" s="59">
        <v>5.0</v>
      </c>
      <c r="E116" s="47">
        <f t="shared" si="2"/>
        <v>0</v>
      </c>
      <c r="F116" s="63">
        <f t="shared" si="3"/>
        <v>0.02717391304</v>
      </c>
      <c r="G116" s="74" t="s">
        <v>24</v>
      </c>
      <c r="H116" s="74">
        <v>30.0</v>
      </c>
      <c r="I116" s="52" t="str">
        <f>HYPERLINK("https://kosova.health/en/","Source")</f>
        <v>Source</v>
      </c>
      <c r="J116" s="28"/>
      <c r="K116" s="31"/>
      <c r="L116" s="59">
        <v>184.0</v>
      </c>
      <c r="M116" s="59">
        <v>5.0</v>
      </c>
      <c r="N116" s="33"/>
      <c r="O116" s="33"/>
      <c r="P116" s="33"/>
    </row>
    <row r="117" ht="30.0" customHeight="1">
      <c r="A117" s="37" t="s">
        <v>299</v>
      </c>
      <c r="B117" s="59">
        <v>184.0</v>
      </c>
      <c r="C117" s="43">
        <f t="shared" si="1"/>
        <v>5</v>
      </c>
      <c r="D117" s="59">
        <v>7.0</v>
      </c>
      <c r="E117" s="47">
        <f t="shared" si="2"/>
        <v>1</v>
      </c>
      <c r="F117" s="41">
        <f t="shared" si="3"/>
        <v>0.03804347826</v>
      </c>
      <c r="G117" s="74">
        <v>0.0</v>
      </c>
      <c r="H117" s="74">
        <v>12.0</v>
      </c>
      <c r="I117" s="52" t="str">
        <f>HYPERLINK("https://www.nation.co.ke/news/Kenya-coronavirus-cases-rise-to-154/1056-5519072-kyxm0i/index.html","Source")</f>
        <v>Source</v>
      </c>
      <c r="J117" s="147"/>
      <c r="K117" s="31"/>
      <c r="L117" s="59">
        <v>179.0</v>
      </c>
      <c r="M117" s="59">
        <v>6.0</v>
      </c>
      <c r="N117" s="33"/>
      <c r="O117" s="33"/>
      <c r="P117" s="33"/>
    </row>
    <row r="118" ht="30.0" customHeight="1">
      <c r="A118" s="37" t="s">
        <v>300</v>
      </c>
      <c r="B118" s="59">
        <v>171.0</v>
      </c>
      <c r="C118" s="43">
        <f t="shared" si="1"/>
        <v>13</v>
      </c>
      <c r="D118" s="59">
        <v>1.0</v>
      </c>
      <c r="E118" s="47">
        <f t="shared" si="2"/>
        <v>0</v>
      </c>
      <c r="F118" s="63">
        <f t="shared" si="3"/>
        <v>0.005847953216</v>
      </c>
      <c r="G118" s="74" t="s">
        <v>24</v>
      </c>
      <c r="H118" s="74">
        <v>88.0</v>
      </c>
      <c r="I118" s="52" t="str">
        <f>HYPERLINK("https://covid19.gov.im/general-information/latest-updates/","Source")</f>
        <v>Source</v>
      </c>
      <c r="J118" s="28"/>
      <c r="K118" s="70" t="s">
        <v>72</v>
      </c>
      <c r="L118" s="59">
        <v>158.0</v>
      </c>
      <c r="M118" s="59">
        <v>1.0</v>
      </c>
      <c r="N118" s="33"/>
      <c r="O118" s="33"/>
      <c r="P118" s="33"/>
    </row>
    <row r="119" ht="30.0" customHeight="1">
      <c r="A119" s="37" t="s">
        <v>301</v>
      </c>
      <c r="B119" s="59">
        <v>170.0</v>
      </c>
      <c r="C119" s="43">
        <f t="shared" si="1"/>
        <v>0</v>
      </c>
      <c r="D119" s="59">
        <v>3.0</v>
      </c>
      <c r="E119" s="47">
        <f t="shared" si="2"/>
        <v>0</v>
      </c>
      <c r="F119" s="63">
        <f t="shared" si="3"/>
        <v>0.01764705882</v>
      </c>
      <c r="G119" s="74" t="s">
        <v>24</v>
      </c>
      <c r="H119" s="74" t="s">
        <v>24</v>
      </c>
      <c r="I119" s="52" t="str">
        <f>HYPERLINK("https://www.gov.je/Health/Coronavirus/Pages/CoronavirusCases.aspx","Source")</f>
        <v>Source</v>
      </c>
      <c r="J119" s="28"/>
      <c r="K119" s="31"/>
      <c r="L119" s="59">
        <v>170.0</v>
      </c>
      <c r="M119" s="59">
        <v>3.0</v>
      </c>
      <c r="N119" s="33"/>
      <c r="O119" s="33"/>
      <c r="P119" s="33"/>
    </row>
    <row r="120" ht="30.0" customHeight="1">
      <c r="A120" s="37" t="s">
        <v>302</v>
      </c>
      <c r="B120" s="59">
        <v>167.0</v>
      </c>
      <c r="C120" s="43">
        <f t="shared" si="1"/>
        <v>0</v>
      </c>
      <c r="D120" s="59">
        <v>9.0</v>
      </c>
      <c r="E120" s="47">
        <f t="shared" si="2"/>
        <v>0</v>
      </c>
      <c r="F120" s="41">
        <f t="shared" si="3"/>
        <v>0.05389221557</v>
      </c>
      <c r="G120" s="74">
        <v>5.0</v>
      </c>
      <c r="H120" s="74">
        <v>65.0</v>
      </c>
      <c r="I120" s="52" t="str">
        <f>HYPERLINK("http://vicepresidencia.gob.ve/venezuela-registra-un-nuevo-caso-positivo-de-covid-19/","Source")</f>
        <v>Source</v>
      </c>
      <c r="J120" s="28"/>
      <c r="K120" s="70" t="s">
        <v>27</v>
      </c>
      <c r="L120" s="59">
        <v>167.0</v>
      </c>
      <c r="M120" s="59">
        <v>9.0</v>
      </c>
      <c r="N120" s="33"/>
      <c r="O120" s="33"/>
      <c r="P120" s="33"/>
    </row>
    <row r="121" ht="30.0" customHeight="1">
      <c r="A121" s="37" t="s">
        <v>303</v>
      </c>
      <c r="B121" s="59">
        <v>191.0</v>
      </c>
      <c r="C121" s="43">
        <f t="shared" si="1"/>
        <v>10</v>
      </c>
      <c r="D121" s="59">
        <v>5.0</v>
      </c>
      <c r="E121" s="47">
        <f t="shared" si="2"/>
        <v>0</v>
      </c>
      <c r="F121" s="63">
        <f t="shared" si="3"/>
        <v>0.02617801047</v>
      </c>
      <c r="G121" s="74">
        <v>0.0</v>
      </c>
      <c r="H121" s="74">
        <v>38.0</v>
      </c>
      <c r="I121" s="52" t="str">
        <f>HYPERLINK("https://www.itv.com/news/channel/2020-03-12/live-updates-number-of-coronavirus-cases-in-the-channel-islands/","Source")</f>
        <v>Source</v>
      </c>
      <c r="J121" s="51"/>
      <c r="K121" s="70" t="s">
        <v>27</v>
      </c>
      <c r="L121" s="59">
        <v>181.0</v>
      </c>
      <c r="M121" s="59">
        <v>5.0</v>
      </c>
      <c r="N121" s="33"/>
      <c r="O121" s="33"/>
      <c r="P121" s="33"/>
    </row>
    <row r="122" ht="30.0" customHeight="1">
      <c r="A122" s="37" t="s">
        <v>304</v>
      </c>
      <c r="B122" s="59">
        <v>161.0</v>
      </c>
      <c r="C122" s="43">
        <f t="shared" si="1"/>
        <v>0</v>
      </c>
      <c r="D122" s="59">
        <v>18.0</v>
      </c>
      <c r="E122" s="47">
        <f t="shared" si="2"/>
        <v>0</v>
      </c>
      <c r="F122" s="63">
        <f t="shared" si="3"/>
        <v>0.1118012422</v>
      </c>
      <c r="G122" s="74" t="s">
        <v>24</v>
      </c>
      <c r="H122" s="74">
        <v>3.0</v>
      </c>
      <c r="I122" s="52" t="str">
        <f>HYPERLINK("https://pbs.twimg.com/media/EU_bPchWAAAsSKc.jpg","Source")</f>
        <v>Source</v>
      </c>
      <c r="J122" s="28"/>
      <c r="K122" s="31"/>
      <c r="L122" s="59">
        <v>161.0</v>
      </c>
      <c r="M122" s="59">
        <v>18.0</v>
      </c>
      <c r="N122" s="33"/>
      <c r="O122" s="33"/>
      <c r="P122" s="33"/>
    </row>
    <row r="123" ht="30.0" customHeight="1">
      <c r="A123" s="37" t="s">
        <v>305</v>
      </c>
      <c r="B123" s="59">
        <v>144.0</v>
      </c>
      <c r="C123" s="43">
        <f t="shared" si="1"/>
        <v>0</v>
      </c>
      <c r="D123" s="59">
        <v>0.0</v>
      </c>
      <c r="E123" s="47">
        <f t="shared" si="2"/>
        <v>0</v>
      </c>
      <c r="F123" s="41">
        <f t="shared" si="3"/>
        <v>0</v>
      </c>
      <c r="G123" s="74" t="s">
        <v>24</v>
      </c>
      <c r="H123" s="74">
        <v>5.0</v>
      </c>
      <c r="I123" s="52" t="str">
        <f>HYPERLINK("https://www.facebook.com/Sanitaire.net/photos/a.209738779476555/888876454896114/?type=3&amp;theater","Source")</f>
        <v>Source</v>
      </c>
      <c r="J123" s="28"/>
      <c r="K123" s="31"/>
      <c r="L123" s="59">
        <v>144.0</v>
      </c>
      <c r="M123" s="59">
        <v>0.0</v>
      </c>
      <c r="N123" s="33"/>
      <c r="O123" s="33"/>
      <c r="P123" s="33"/>
    </row>
    <row r="124" ht="30.0" customHeight="1">
      <c r="A124" s="37" t="s">
        <v>306</v>
      </c>
      <c r="B124" s="59">
        <v>135.0</v>
      </c>
      <c r="C124" s="43">
        <f t="shared" si="1"/>
        <v>0</v>
      </c>
      <c r="D124" s="59">
        <v>1.0</v>
      </c>
      <c r="E124" s="47">
        <f t="shared" si="2"/>
        <v>0</v>
      </c>
      <c r="F124" s="63">
        <f t="shared" si="3"/>
        <v>0.007407407407</v>
      </c>
      <c r="G124" s="74" t="s">
        <v>24</v>
      </c>
      <c r="H124" s="74">
        <v>92.0</v>
      </c>
      <c r="I124" s="52" t="str">
        <f>HYPERLINK("https://twitter.com/borneo_bulletin/status/1248178142629392384","Source")</f>
        <v>Source</v>
      </c>
      <c r="J124" s="51"/>
      <c r="K124" s="70" t="s">
        <v>27</v>
      </c>
      <c r="L124" s="59">
        <v>135.0</v>
      </c>
      <c r="M124" s="59">
        <v>1.0</v>
      </c>
      <c r="N124" s="33"/>
      <c r="O124" s="33"/>
      <c r="P124" s="33"/>
    </row>
    <row r="125" ht="27.75" customHeight="1">
      <c r="A125" s="37" t="s">
        <v>283</v>
      </c>
      <c r="B125" s="59">
        <v>124.0</v>
      </c>
      <c r="C125" s="43">
        <f t="shared" si="1"/>
        <v>5</v>
      </c>
      <c r="D125" s="59">
        <v>5.0</v>
      </c>
      <c r="E125" s="47">
        <f t="shared" si="2"/>
        <v>0</v>
      </c>
      <c r="F125" s="41">
        <f t="shared" si="3"/>
        <v>0.04032258065</v>
      </c>
      <c r="G125" s="74">
        <v>2.0</v>
      </c>
      <c r="H125" s="74">
        <v>18.0</v>
      </c>
      <c r="I125" s="52" t="str">
        <f>HYPERLINK("https://twitter.com/msaludpy/status/1248049093160599558","Source")</f>
        <v>Source</v>
      </c>
      <c r="J125" s="28"/>
      <c r="K125" s="31"/>
      <c r="L125" s="59">
        <v>119.0</v>
      </c>
      <c r="M125" s="59">
        <v>5.0</v>
      </c>
      <c r="N125" s="33"/>
      <c r="O125" s="33"/>
      <c r="P125" s="33"/>
    </row>
    <row r="126" ht="30.0" customHeight="1">
      <c r="A126" s="37" t="s">
        <v>307</v>
      </c>
      <c r="B126" s="59">
        <v>121.0</v>
      </c>
      <c r="C126" s="43">
        <f t="shared" si="1"/>
        <v>0</v>
      </c>
      <c r="D126" s="59">
        <v>0.0</v>
      </c>
      <c r="E126" s="47">
        <f t="shared" si="2"/>
        <v>0</v>
      </c>
      <c r="F126" s="63">
        <f t="shared" si="3"/>
        <v>0</v>
      </c>
      <c r="G126" s="74">
        <v>0.0</v>
      </c>
      <c r="H126" s="74">
        <v>18.0</v>
      </c>
      <c r="I126" s="52" t="str">
        <f>HYPERLINK("https://www.facebook.com/minister.sante.dj/","Source")</f>
        <v>Source</v>
      </c>
      <c r="J126" s="28"/>
      <c r="K126" s="31"/>
      <c r="L126" s="59">
        <v>121.0</v>
      </c>
      <c r="M126" s="59">
        <v>0.0</v>
      </c>
      <c r="N126" s="33"/>
      <c r="O126" s="33"/>
      <c r="P126" s="33"/>
    </row>
    <row r="127" ht="30.0" customHeight="1">
      <c r="A127" s="37" t="s">
        <v>308</v>
      </c>
      <c r="B127" s="59">
        <v>117.0</v>
      </c>
      <c r="C127" s="43">
        <f t="shared" si="1"/>
        <v>0</v>
      </c>
      <c r="D127" s="59">
        <v>0.0</v>
      </c>
      <c r="E127" s="47">
        <f t="shared" si="2"/>
        <v>0</v>
      </c>
      <c r="F127" s="63">
        <f t="shared" si="3"/>
        <v>0</v>
      </c>
      <c r="G127" s="74" t="s">
        <v>24</v>
      </c>
      <c r="H127" s="74">
        <v>63.0</v>
      </c>
      <c r="I127" s="52" t="str">
        <f>HYPERLINK("http://en.freshnewsasia.com/index.php/en/localnews/17728-2020-04-08-01-57-53.html","Source")</f>
        <v>Source</v>
      </c>
      <c r="J127" s="28"/>
      <c r="K127" s="31"/>
      <c r="L127" s="59">
        <v>117.0</v>
      </c>
      <c r="M127" s="59">
        <v>0.0</v>
      </c>
      <c r="N127" s="33"/>
      <c r="O127" s="33"/>
      <c r="P127" s="33"/>
    </row>
    <row r="128" ht="27.75" customHeight="1">
      <c r="A128" s="37" t="s">
        <v>309</v>
      </c>
      <c r="B128" s="59">
        <v>113.0</v>
      </c>
      <c r="C128" s="43">
        <f t="shared" si="1"/>
        <v>0</v>
      </c>
      <c r="D128" s="59">
        <v>0.0</v>
      </c>
      <c r="E128" s="47">
        <f t="shared" si="2"/>
        <v>0</v>
      </c>
      <c r="F128" s="41">
        <f t="shared" si="3"/>
        <v>0</v>
      </c>
      <c r="G128" s="74">
        <v>1.0</v>
      </c>
      <c r="H128" s="74">
        <v>60.0</v>
      </c>
      <c r="I128" s="52" t="str">
        <f>HYPERLINK("https://www.gibraltar.gov.gi/covid19","Source")</f>
        <v>Source</v>
      </c>
      <c r="J128" s="28"/>
      <c r="K128" s="31"/>
      <c r="L128" s="59">
        <v>113.0</v>
      </c>
      <c r="M128" s="59">
        <v>0.0</v>
      </c>
      <c r="N128" s="33"/>
      <c r="O128" s="33"/>
      <c r="P128" s="33"/>
    </row>
    <row r="129" ht="30.0" customHeight="1">
      <c r="A129" s="37" t="s">
        <v>310</v>
      </c>
      <c r="B129" s="59">
        <v>107.0</v>
      </c>
      <c r="C129" s="43">
        <f t="shared" si="1"/>
        <v>0</v>
      </c>
      <c r="D129" s="59">
        <v>8.0</v>
      </c>
      <c r="E129" s="47">
        <f t="shared" si="2"/>
        <v>0</v>
      </c>
      <c r="F129" s="41">
        <f t="shared" si="3"/>
        <v>0.07476635514</v>
      </c>
      <c r="G129" s="74" t="s">
        <v>24</v>
      </c>
      <c r="H129" s="74">
        <v>1.0</v>
      </c>
      <c r="I129" s="52" t="str">
        <f>HYPERLINK("https://twitter.com/MOH_TT/status/1247615157628538885","Source")</f>
        <v>Source</v>
      </c>
      <c r="J129" s="28"/>
      <c r="K129" s="31"/>
      <c r="L129" s="59">
        <v>107.0</v>
      </c>
      <c r="M129" s="59">
        <v>8.0</v>
      </c>
      <c r="N129" s="33"/>
      <c r="O129" s="33"/>
      <c r="P129" s="33"/>
    </row>
    <row r="130" ht="30.0" customHeight="1">
      <c r="A130" s="37" t="s">
        <v>311</v>
      </c>
      <c r="B130" s="59">
        <v>105.0</v>
      </c>
      <c r="C130" s="43">
        <f t="shared" si="1"/>
        <v>0</v>
      </c>
      <c r="D130" s="59">
        <v>0.0</v>
      </c>
      <c r="E130" s="47">
        <f t="shared" si="2"/>
        <v>0</v>
      </c>
      <c r="F130" s="41">
        <f t="shared" si="3"/>
        <v>0</v>
      </c>
      <c r="G130" s="74">
        <v>0.0</v>
      </c>
      <c r="H130" s="74">
        <v>7.0</v>
      </c>
      <c r="I130" s="52" t="str">
        <f>HYPERLINK("https://twitter.com/RwandaHealth/status/1247588771748593664","Source")</f>
        <v>Source</v>
      </c>
      <c r="J130" s="28"/>
      <c r="K130" s="31"/>
      <c r="L130" s="59">
        <v>105.0</v>
      </c>
      <c r="M130" s="59">
        <v>0.0</v>
      </c>
      <c r="N130" s="33"/>
      <c r="O130" s="33"/>
    </row>
    <row r="131" ht="30.0" customHeight="1">
      <c r="A131" s="37" t="s">
        <v>285</v>
      </c>
      <c r="B131" s="59">
        <v>103.0</v>
      </c>
      <c r="C131" s="43">
        <f t="shared" si="1"/>
        <v>10</v>
      </c>
      <c r="D131" s="59">
        <v>5.0</v>
      </c>
      <c r="E131" s="47">
        <f t="shared" si="2"/>
        <v>0</v>
      </c>
      <c r="F131" s="41">
        <f t="shared" si="3"/>
        <v>0.04854368932</v>
      </c>
      <c r="G131" s="74">
        <v>3.0</v>
      </c>
      <c r="H131" s="74">
        <v>10.0</v>
      </c>
      <c r="I131" s="52" t="str">
        <f>HYPERLINK("https://covid19.gob.sv/","Source")</f>
        <v>Source</v>
      </c>
      <c r="J131" s="51"/>
      <c r="K131" s="70" t="s">
        <v>27</v>
      </c>
      <c r="L131" s="59">
        <v>93.0</v>
      </c>
      <c r="M131" s="59">
        <v>5.0</v>
      </c>
      <c r="N131" s="33"/>
      <c r="O131" s="33"/>
      <c r="P131" s="33"/>
    </row>
    <row r="132" ht="27.75" customHeight="1">
      <c r="A132" s="37" t="s">
        <v>312</v>
      </c>
      <c r="B132" s="59">
        <v>92.0</v>
      </c>
      <c r="C132" s="43">
        <f t="shared" si="1"/>
        <v>0</v>
      </c>
      <c r="D132" s="59">
        <v>3.0</v>
      </c>
      <c r="E132" s="47">
        <f t="shared" si="2"/>
        <v>0</v>
      </c>
      <c r="F132" s="63">
        <f t="shared" si="3"/>
        <v>0.03260869565</v>
      </c>
      <c r="G132" s="74" t="s">
        <v>24</v>
      </c>
      <c r="H132" s="74">
        <v>3.0</v>
      </c>
      <c r="I132" s="52" t="str">
        <f>HYPERLINK("https://in-cyprus.philenews.com/one-new-case-in-turkish-held-areas-total-now-at-92/","Source")</f>
        <v>Source</v>
      </c>
      <c r="J132" s="28"/>
      <c r="K132" s="31"/>
      <c r="L132" s="59">
        <v>92.0</v>
      </c>
      <c r="M132" s="59">
        <v>3.0</v>
      </c>
      <c r="N132" s="33"/>
      <c r="O132" s="33"/>
      <c r="P132" s="33"/>
    </row>
    <row r="133" ht="27.75" customHeight="1">
      <c r="A133" s="37" t="s">
        <v>284</v>
      </c>
      <c r="B133" s="59">
        <v>87.0</v>
      </c>
      <c r="C133" s="43">
        <f t="shared" si="1"/>
        <v>7</v>
      </c>
      <c r="D133" s="59">
        <v>3.0</v>
      </c>
      <c r="E133" s="47">
        <f t="shared" si="2"/>
        <v>0</v>
      </c>
      <c r="F133" s="41">
        <f t="shared" si="3"/>
        <v>0.03448275862</v>
      </c>
      <c r="G133" s="74" t="s">
        <v>24</v>
      </c>
      <c r="H133" s="74">
        <v>17.0</v>
      </c>
      <c r="I133" s="52" t="str">
        <f>HYPERLINK("https://www.mspas.gob.gt/index.php/noticias/coronavirus-2019-ncov","Source")</f>
        <v>Source</v>
      </c>
      <c r="J133" s="28"/>
      <c r="K133" s="31"/>
      <c r="L133" s="59">
        <v>80.0</v>
      </c>
      <c r="M133" s="59">
        <v>3.0</v>
      </c>
      <c r="N133" s="33"/>
      <c r="O133" s="33"/>
      <c r="P133" s="33"/>
    </row>
    <row r="134" ht="30.0" customHeight="1">
      <c r="A134" s="37" t="s">
        <v>313</v>
      </c>
      <c r="B134" s="59">
        <v>82.0</v>
      </c>
      <c r="C134" s="43">
        <f t="shared" si="1"/>
        <v>0</v>
      </c>
      <c r="D134" s="59">
        <v>0.0</v>
      </c>
      <c r="E134" s="47">
        <f t="shared" si="2"/>
        <v>0</v>
      </c>
      <c r="F134" s="63">
        <f t="shared" si="3"/>
        <v>0</v>
      </c>
      <c r="G134" s="74">
        <v>1.0</v>
      </c>
      <c r="H134" s="74">
        <v>0.0</v>
      </c>
      <c r="I134" s="52" t="str">
        <f>HYPERLINK("https://www.madagascar-tribune.com/Les-cas-contacts-se-multiplient-et-se-disseminent-dans-les-quartiers.html","Source")</f>
        <v>Source</v>
      </c>
      <c r="J134" s="28"/>
      <c r="K134" s="31"/>
      <c r="L134" s="59">
        <v>82.0</v>
      </c>
      <c r="M134" s="59">
        <v>0.0</v>
      </c>
      <c r="N134" s="33"/>
      <c r="O134" s="33"/>
      <c r="P134" s="33"/>
    </row>
    <row r="135" ht="30.0" customHeight="1">
      <c r="A135" s="37" t="s">
        <v>314</v>
      </c>
      <c r="B135" s="59">
        <v>79.0</v>
      </c>
      <c r="C135" s="43">
        <f t="shared" si="1"/>
        <v>0</v>
      </c>
      <c r="D135" s="59">
        <v>1.0</v>
      </c>
      <c r="E135" s="47">
        <f t="shared" si="2"/>
        <v>0</v>
      </c>
      <c r="F135" s="41">
        <f t="shared" si="3"/>
        <v>0.01265822785</v>
      </c>
      <c r="G135" s="74">
        <v>4.0</v>
      </c>
      <c r="H135" s="74">
        <v>4.0</v>
      </c>
      <c r="I135" s="52" t="str">
        <f>HYPERLINK("https://en.gouv.mc/A-la-Une-du-Portail/CORONAVIRUS-Deux-nouveaux-cas-positifs-reveles-a-Monaco4","Source")</f>
        <v>Source</v>
      </c>
      <c r="J135" s="28"/>
      <c r="K135" s="31"/>
      <c r="L135" s="59">
        <v>79.0</v>
      </c>
      <c r="M135" s="59">
        <v>1.0</v>
      </c>
      <c r="N135" s="33"/>
      <c r="O135" s="33"/>
      <c r="P135" s="33"/>
    </row>
    <row r="136" ht="27.75" customHeight="1">
      <c r="A136" s="37" t="s">
        <v>315</v>
      </c>
      <c r="B136" s="59">
        <v>78.0</v>
      </c>
      <c r="C136" s="43">
        <f t="shared" si="1"/>
        <v>0</v>
      </c>
      <c r="D136" s="59">
        <v>1.0</v>
      </c>
      <c r="E136" s="47">
        <f t="shared" si="2"/>
        <v>0</v>
      </c>
      <c r="F136" s="41">
        <f t="shared" si="3"/>
        <v>0.01282051282</v>
      </c>
      <c r="G136" s="74" t="s">
        <v>24</v>
      </c>
      <c r="H136" s="74">
        <v>55.0</v>
      </c>
      <c r="I136" s="52" t="str">
        <f>HYPERLINK("https://www.regierung.li/de/mitteilungen/223379/?typ=news","Source")</f>
        <v>Source</v>
      </c>
      <c r="J136" s="28"/>
      <c r="K136" s="31"/>
      <c r="L136" s="59">
        <v>78.0</v>
      </c>
      <c r="M136" s="59">
        <v>1.0</v>
      </c>
      <c r="N136" s="33"/>
      <c r="O136" s="33"/>
      <c r="P136" s="33"/>
    </row>
    <row r="137" ht="30.0" customHeight="1">
      <c r="A137" s="37" t="s">
        <v>316</v>
      </c>
      <c r="B137" s="59">
        <v>77.0</v>
      </c>
      <c r="C137" s="43">
        <f t="shared" si="1"/>
        <v>0</v>
      </c>
      <c r="D137" s="59">
        <v>0.0</v>
      </c>
      <c r="E137" s="47">
        <f t="shared" si="2"/>
        <v>0</v>
      </c>
      <c r="F137" s="41">
        <f t="shared" si="3"/>
        <v>0</v>
      </c>
      <c r="G137" s="74" t="s">
        <v>24</v>
      </c>
      <c r="H137" s="74">
        <v>14.0</v>
      </c>
      <c r="I137" s="52" t="str">
        <f>HYPERLINK("https://www.arubacovid19.org/","Source")</f>
        <v>Source</v>
      </c>
      <c r="J137" s="28"/>
      <c r="K137" s="31"/>
      <c r="L137" s="59">
        <v>77.0</v>
      </c>
      <c r="M137" s="59">
        <v>0.0</v>
      </c>
      <c r="N137" s="33"/>
      <c r="O137" s="33"/>
      <c r="P137" s="33"/>
    </row>
    <row r="138" ht="27.75" customHeight="1">
      <c r="A138" s="37" t="s">
        <v>317</v>
      </c>
      <c r="B138" s="59">
        <v>73.0</v>
      </c>
      <c r="C138" s="43">
        <f t="shared" si="1"/>
        <v>3</v>
      </c>
      <c r="D138" s="59">
        <v>3.0</v>
      </c>
      <c r="E138" s="47">
        <f t="shared" si="2"/>
        <v>0</v>
      </c>
      <c r="F138" s="63">
        <f t="shared" si="3"/>
        <v>0.04109589041</v>
      </c>
      <c r="G138" s="74" t="s">
        <v>24</v>
      </c>
      <c r="H138" s="74">
        <v>24.0</v>
      </c>
      <c r="I138" s="52" t="str">
        <f>HYPERLINK("https://covid19.gouv.tg/","Source")</f>
        <v>Source</v>
      </c>
      <c r="J138" s="51"/>
      <c r="K138" s="70" t="s">
        <v>318</v>
      </c>
      <c r="L138" s="59">
        <v>70.0</v>
      </c>
      <c r="M138" s="59">
        <v>3.0</v>
      </c>
      <c r="N138" s="33"/>
      <c r="O138" s="33"/>
      <c r="P138" s="33"/>
    </row>
    <row r="139" ht="30.0" customHeight="1">
      <c r="A139" s="37" t="s">
        <v>319</v>
      </c>
      <c r="B139" s="59">
        <v>63.0</v>
      </c>
      <c r="C139" s="43">
        <f t="shared" si="1"/>
        <v>0</v>
      </c>
      <c r="D139" s="59">
        <v>3.0</v>
      </c>
      <c r="E139" s="47">
        <f t="shared" si="2"/>
        <v>0</v>
      </c>
      <c r="F139" s="41">
        <f t="shared" si="3"/>
        <v>0.04761904762</v>
      </c>
      <c r="G139" s="74">
        <v>2.0</v>
      </c>
      <c r="H139" s="74">
        <v>6.0</v>
      </c>
      <c r="I139" s="52" t="str">
        <f>HYPERLINK("https://www.facebook.com/moh.barbados/","Source")</f>
        <v>Source</v>
      </c>
      <c r="J139" s="28"/>
      <c r="K139" s="31"/>
      <c r="L139" s="59">
        <v>63.0</v>
      </c>
      <c r="M139" s="59">
        <v>3.0</v>
      </c>
      <c r="N139" s="33"/>
      <c r="O139" s="33"/>
      <c r="P139" s="33"/>
    </row>
    <row r="140" ht="30.0" customHeight="1">
      <c r="A140" s="37" t="s">
        <v>320</v>
      </c>
      <c r="B140" s="59">
        <v>59.0</v>
      </c>
      <c r="C140" s="43">
        <f t="shared" si="1"/>
        <v>0</v>
      </c>
      <c r="D140" s="59">
        <v>3.0</v>
      </c>
      <c r="E140" s="47">
        <f t="shared" si="2"/>
        <v>0</v>
      </c>
      <c r="F140" s="63">
        <f t="shared" si="3"/>
        <v>0.05084745763</v>
      </c>
      <c r="G140" s="74" t="s">
        <v>24</v>
      </c>
      <c r="H140" s="74">
        <v>8.0</v>
      </c>
      <c r="I140" s="52" t="str">
        <f>HYPERLINK("https://twitter.com/christufton/status/1247292221512179713","Source")</f>
        <v>Source</v>
      </c>
      <c r="J140" s="28"/>
      <c r="K140" s="31"/>
      <c r="L140" s="59">
        <v>59.0</v>
      </c>
      <c r="M140" s="59">
        <v>3.0</v>
      </c>
      <c r="N140" s="33"/>
      <c r="O140" s="33"/>
      <c r="P140" s="33"/>
    </row>
    <row r="141" ht="30.0" customHeight="1">
      <c r="A141" s="37" t="s">
        <v>321</v>
      </c>
      <c r="B141" s="59">
        <v>56.0</v>
      </c>
      <c r="C141" s="43">
        <f t="shared" si="1"/>
        <v>0</v>
      </c>
      <c r="D141" s="59">
        <v>6.0</v>
      </c>
      <c r="E141" s="47">
        <f t="shared" si="2"/>
        <v>0</v>
      </c>
      <c r="F141" s="63">
        <f t="shared" si="3"/>
        <v>0.1071428571</v>
      </c>
      <c r="G141" s="74" t="s">
        <v>24</v>
      </c>
      <c r="H141" s="74">
        <v>12.0</v>
      </c>
      <c r="I141" s="52" t="str">
        <f>HYPERLINK("https://www.maliweb.net/sante/covid-19-09-nouveaux-cas-confirmes-ce-mardi-2866840.html","Source")</f>
        <v>Source</v>
      </c>
      <c r="J141" s="28"/>
      <c r="K141" s="31"/>
      <c r="L141" s="59">
        <v>56.0</v>
      </c>
      <c r="M141" s="59">
        <v>6.0</v>
      </c>
      <c r="N141" s="33"/>
      <c r="O141" s="33"/>
      <c r="P141" s="33"/>
    </row>
    <row r="142" ht="30.0" customHeight="1">
      <c r="A142" s="37" t="s">
        <v>322</v>
      </c>
      <c r="B142" s="59">
        <v>56.0</v>
      </c>
      <c r="C142" s="43">
        <f t="shared" si="1"/>
        <v>1</v>
      </c>
      <c r="D142" s="59">
        <v>2.0</v>
      </c>
      <c r="E142" s="47">
        <f t="shared" si="2"/>
        <v>0</v>
      </c>
      <c r="F142" s="63">
        <f t="shared" si="3"/>
        <v>0.03571428571</v>
      </c>
      <c r="G142" s="74">
        <v>2.0</v>
      </c>
      <c r="H142" s="74">
        <v>4.0</v>
      </c>
      <c r="I142" s="52" t="str">
        <f>HYPERLINK("https://twitter.com/lia_tadesse/status/1248195789530292224","Source")</f>
        <v>Source</v>
      </c>
      <c r="J142" s="51"/>
      <c r="K142" s="70" t="s">
        <v>27</v>
      </c>
      <c r="L142" s="59">
        <v>55.0</v>
      </c>
      <c r="M142" s="59">
        <v>2.0</v>
      </c>
      <c r="N142" s="33"/>
      <c r="O142" s="33"/>
      <c r="P142" s="33"/>
    </row>
    <row r="143" ht="30.0" customHeight="1">
      <c r="A143" s="37" t="s">
        <v>323</v>
      </c>
      <c r="B143" s="59">
        <v>52.0</v>
      </c>
      <c r="C143" s="43">
        <f t="shared" si="1"/>
        <v>0</v>
      </c>
      <c r="D143" s="59">
        <v>0.0</v>
      </c>
      <c r="E143" s="47">
        <f t="shared" si="2"/>
        <v>0</v>
      </c>
      <c r="F143" s="41">
        <f t="shared" si="3"/>
        <v>0</v>
      </c>
      <c r="G143" s="74" t="s">
        <v>24</v>
      </c>
      <c r="H143" s="74" t="s">
        <v>24</v>
      </c>
      <c r="I143" s="52" t="str">
        <f>HYPERLINK("https://covid19.gou.go.ug/","Source")</f>
        <v>Source</v>
      </c>
      <c r="J143" s="28"/>
      <c r="K143" s="31"/>
      <c r="L143" s="59">
        <v>52.0</v>
      </c>
      <c r="M143" s="59">
        <v>0.0</v>
      </c>
      <c r="N143" s="33"/>
      <c r="O143" s="33"/>
      <c r="P143" s="33"/>
    </row>
    <row r="144" ht="30.0" customHeight="1">
      <c r="A144" s="37" t="s">
        <v>324</v>
      </c>
      <c r="B144" s="59">
        <v>51.0</v>
      </c>
      <c r="C144" s="43">
        <f t="shared" si="1"/>
        <v>4</v>
      </c>
      <c r="D144" s="59">
        <v>0.0</v>
      </c>
      <c r="E144" s="47">
        <f t="shared" si="2"/>
        <v>0</v>
      </c>
      <c r="F144" s="41">
        <f t="shared" si="3"/>
        <v>0</v>
      </c>
      <c r="G144" s="74">
        <v>1.0</v>
      </c>
      <c r="H144" s="74" t="s">
        <v>24</v>
      </c>
      <c r="I144" s="52" t="str">
        <f>HYPERLINK("https://www.presidence.pf/coronavirus-situation-pour-la-polynesie-francaise-a-16h-13/","Source")</f>
        <v>Source</v>
      </c>
      <c r="J144" s="28"/>
      <c r="K144" s="31"/>
      <c r="L144" s="59">
        <v>47.0</v>
      </c>
      <c r="M144" s="59">
        <v>0.0</v>
      </c>
      <c r="N144" s="33"/>
      <c r="O144" s="33"/>
      <c r="P144" s="33"/>
    </row>
    <row r="145" ht="30.0" customHeight="1">
      <c r="A145" s="37" t="s">
        <v>325</v>
      </c>
      <c r="B145" s="59">
        <v>45.0</v>
      </c>
      <c r="C145" s="43">
        <f t="shared" si="1"/>
        <v>0</v>
      </c>
      <c r="D145" s="59">
        <v>1.0</v>
      </c>
      <c r="E145" s="47">
        <f t="shared" si="2"/>
        <v>0</v>
      </c>
      <c r="F145" s="41">
        <f t="shared" si="3"/>
        <v>0.02222222222</v>
      </c>
      <c r="G145" s="74" t="s">
        <v>24</v>
      </c>
      <c r="H145" s="74" t="s">
        <v>24</v>
      </c>
      <c r="I145" s="52" t="str">
        <f>HYPERLINK("http://www.gov.ky/portal/page/portal/cighome/pressroom/archive/202004/Sunday%205%20April%20COVID-19%20Update","Source")</f>
        <v>Source</v>
      </c>
      <c r="J145" s="28"/>
      <c r="K145" s="31"/>
      <c r="L145" s="59">
        <v>45.0</v>
      </c>
      <c r="M145" s="59">
        <v>1.0</v>
      </c>
      <c r="N145" s="33"/>
      <c r="O145" s="33"/>
      <c r="P145" s="33"/>
    </row>
    <row r="146" ht="30.0" customHeight="1">
      <c r="A146" s="37" t="s">
        <v>326</v>
      </c>
      <c r="B146" s="59">
        <v>45.0</v>
      </c>
      <c r="C146" s="43">
        <f t="shared" si="1"/>
        <v>0</v>
      </c>
      <c r="D146" s="59">
        <v>5.0</v>
      </c>
      <c r="E146" s="47">
        <f t="shared" si="2"/>
        <v>0</v>
      </c>
      <c r="F146" s="63">
        <f t="shared" si="3"/>
        <v>0.1111111111</v>
      </c>
      <c r="G146" s="74" t="s">
        <v>24</v>
      </c>
      <c r="H146" s="74" t="s">
        <v>24</v>
      </c>
      <c r="I146" s="52" t="str">
        <f>HYPERLINK("https://pbs.twimg.com/media/EU_bPchWAAAsSKc.jpg","Source")</f>
        <v>Source</v>
      </c>
      <c r="J146" s="28"/>
      <c r="K146" s="31"/>
      <c r="L146" s="59">
        <v>45.0</v>
      </c>
      <c r="M146" s="59">
        <v>5.0</v>
      </c>
      <c r="N146" s="33"/>
      <c r="O146" s="33"/>
      <c r="P146" s="33"/>
    </row>
    <row r="147" ht="30.0" customHeight="1">
      <c r="A147" s="37" t="s">
        <v>327</v>
      </c>
      <c r="B147" s="59">
        <v>45.0</v>
      </c>
      <c r="C147" s="43">
        <f t="shared" si="1"/>
        <v>0</v>
      </c>
      <c r="D147" s="59">
        <v>0.0</v>
      </c>
      <c r="E147" s="47">
        <f t="shared" si="2"/>
        <v>0</v>
      </c>
      <c r="F147" s="63">
        <f t="shared" si="3"/>
        <v>0</v>
      </c>
      <c r="G147" s="74">
        <v>1.0</v>
      </c>
      <c r="H147" s="74">
        <v>10.0</v>
      </c>
      <c r="I147" s="52" t="str">
        <f>HYPERLINK("https://news.gov.mo/detail/en/N20DHoBwQi?1","Source")</f>
        <v>Source</v>
      </c>
      <c r="J147" s="28"/>
      <c r="K147" s="31"/>
      <c r="L147" s="59">
        <v>45.0</v>
      </c>
      <c r="M147" s="59">
        <v>0.0</v>
      </c>
      <c r="N147" s="33"/>
      <c r="O147" s="33"/>
      <c r="P147" s="33"/>
    </row>
    <row r="148" ht="30.0" customHeight="1">
      <c r="A148" s="37" t="s">
        <v>328</v>
      </c>
      <c r="B148" s="59">
        <v>40.0</v>
      </c>
      <c r="C148" s="43">
        <f t="shared" si="1"/>
        <v>0</v>
      </c>
      <c r="D148" s="59">
        <v>6.0</v>
      </c>
      <c r="E148" s="47">
        <f t="shared" si="2"/>
        <v>0</v>
      </c>
      <c r="F148" s="41">
        <f t="shared" si="3"/>
        <v>0.15</v>
      </c>
      <c r="G148" s="74" t="s">
        <v>24</v>
      </c>
      <c r="H148" s="74">
        <v>1.0</v>
      </c>
      <c r="I148" s="52" t="str">
        <f>HYPERLINK("https://www.facebook.com/SXMGOV/","Source")</f>
        <v>Source</v>
      </c>
      <c r="J148" s="28"/>
      <c r="K148" s="31"/>
      <c r="L148" s="59">
        <v>40.0</v>
      </c>
      <c r="M148" s="59">
        <v>6.0</v>
      </c>
      <c r="N148" s="33"/>
      <c r="O148" s="33"/>
      <c r="P148" s="33"/>
    </row>
    <row r="149" ht="30.0" customHeight="1">
      <c r="A149" s="37" t="s">
        <v>329</v>
      </c>
      <c r="B149" s="59">
        <v>39.0</v>
      </c>
      <c r="C149" s="43">
        <f t="shared" si="1"/>
        <v>0</v>
      </c>
      <c r="D149" s="59">
        <v>3.0</v>
      </c>
      <c r="E149" s="47">
        <f t="shared" si="2"/>
        <v>0</v>
      </c>
      <c r="F149" s="41">
        <f t="shared" si="3"/>
        <v>0.07692307692</v>
      </c>
      <c r="G149" s="74" t="s">
        <v>24</v>
      </c>
      <c r="H149" s="74">
        <v>23.0</v>
      </c>
      <c r="I149" s="52" t="str">
        <f>HYPERLINK("https://www.gov.bm/articles/6-april-covid-19-update","Source")</f>
        <v>Source</v>
      </c>
      <c r="J149" s="28"/>
      <c r="K149" s="31"/>
      <c r="L149" s="59">
        <v>39.0</v>
      </c>
      <c r="M149" s="59">
        <v>3.0</v>
      </c>
      <c r="N149" s="33"/>
      <c r="O149" s="33"/>
      <c r="P149" s="33"/>
    </row>
    <row r="150" ht="30.0" customHeight="1">
      <c r="A150" s="37" t="s">
        <v>330</v>
      </c>
      <c r="B150" s="59">
        <v>39.0</v>
      </c>
      <c r="C150" s="43">
        <f t="shared" si="1"/>
        <v>0</v>
      </c>
      <c r="D150" s="59">
        <v>1.0</v>
      </c>
      <c r="E150" s="47">
        <f t="shared" si="2"/>
        <v>0</v>
      </c>
      <c r="F150" s="41">
        <f t="shared" si="3"/>
        <v>0.02564102564</v>
      </c>
      <c r="G150" s="74" t="s">
        <v>24</v>
      </c>
      <c r="H150" s="74">
        <v>7.0</v>
      </c>
      <c r="I150" s="52" t="str">
        <f>HYPERLINK("https://www.facebook.com/EdgarChagwaLungu/","Source")</f>
        <v>Source</v>
      </c>
      <c r="J150" s="28"/>
      <c r="K150" s="31"/>
      <c r="L150" s="59">
        <v>39.0</v>
      </c>
      <c r="M150" s="59">
        <v>1.0</v>
      </c>
      <c r="N150" s="33"/>
      <c r="O150" s="33"/>
      <c r="P150" s="33"/>
    </row>
    <row r="151" ht="30.0" customHeight="1">
      <c r="A151" s="37" t="s">
        <v>331</v>
      </c>
      <c r="B151" s="59">
        <v>37.0</v>
      </c>
      <c r="C151" s="43">
        <f t="shared" si="1"/>
        <v>4</v>
      </c>
      <c r="D151" s="59">
        <v>6.0</v>
      </c>
      <c r="E151" s="47">
        <f t="shared" si="2"/>
        <v>1</v>
      </c>
      <c r="F151" s="63">
        <f t="shared" si="3"/>
        <v>0.1621621622</v>
      </c>
      <c r="G151" s="74">
        <v>4.0</v>
      </c>
      <c r="H151" s="74">
        <v>8.0</v>
      </c>
      <c r="I151" s="52" t="str">
        <f>HYPERLINK("https://dpi.gov.gy/guyana-confirms-fifth-covid-19-death/","Source")</f>
        <v>Source</v>
      </c>
      <c r="J151" s="28"/>
      <c r="K151" s="31"/>
      <c r="L151" s="59">
        <v>33.0</v>
      </c>
      <c r="M151" s="59">
        <v>5.0</v>
      </c>
      <c r="N151" s="33"/>
      <c r="O151" s="33"/>
      <c r="P151" s="33"/>
    </row>
    <row r="152" ht="30.0" customHeight="1">
      <c r="A152" s="37" t="s">
        <v>332</v>
      </c>
      <c r="B152" s="59">
        <v>33.0</v>
      </c>
      <c r="C152" s="43">
        <f t="shared" si="1"/>
        <v>0</v>
      </c>
      <c r="D152" s="59">
        <v>5.0</v>
      </c>
      <c r="E152" s="47">
        <f t="shared" si="2"/>
        <v>0</v>
      </c>
      <c r="F152" s="63">
        <f t="shared" si="3"/>
        <v>0.1515151515</v>
      </c>
      <c r="G152" s="74">
        <v>0.0</v>
      </c>
      <c r="H152" s="74">
        <v>5.0</v>
      </c>
      <c r="I152" s="52" t="str">
        <f>HYPERLINK("https://www.facebook.com/MOHBahamas/","Source")</f>
        <v>Source</v>
      </c>
      <c r="J152" s="28"/>
      <c r="K152" s="31"/>
      <c r="L152" s="59">
        <v>33.0</v>
      </c>
      <c r="M152" s="59">
        <v>5.0</v>
      </c>
      <c r="N152" s="33"/>
      <c r="O152" s="33"/>
      <c r="P152" s="33"/>
    </row>
    <row r="153" ht="30.0" customHeight="1">
      <c r="A153" s="37" t="s">
        <v>333</v>
      </c>
      <c r="B153" s="59">
        <v>33.0</v>
      </c>
      <c r="C153" s="43">
        <f t="shared" si="1"/>
        <v>0</v>
      </c>
      <c r="D153" s="59">
        <v>0.0</v>
      </c>
      <c r="E153" s="47">
        <f t="shared" si="2"/>
        <v>0</v>
      </c>
      <c r="F153" s="63">
        <f t="shared" si="3"/>
        <v>0</v>
      </c>
      <c r="G153" s="74" t="s">
        <v>24</v>
      </c>
      <c r="H153" s="74">
        <v>0.0</v>
      </c>
      <c r="I153" s="52" t="str">
        <f>HYPERLINK("https://pbs.twimg.com/media/EU_bPchWAAAsSKc.jpg","Source")</f>
        <v>Source</v>
      </c>
      <c r="J153" s="28"/>
      <c r="K153" s="31"/>
      <c r="L153" s="59">
        <v>33.0</v>
      </c>
      <c r="M153" s="59">
        <v>0.0</v>
      </c>
      <c r="N153" s="33"/>
      <c r="O153" s="33"/>
      <c r="P153" s="33"/>
    </row>
    <row r="154" ht="30.0" customHeight="1">
      <c r="A154" s="37" t="s">
        <v>334</v>
      </c>
      <c r="B154" s="59">
        <v>31.0</v>
      </c>
      <c r="C154" s="43">
        <f t="shared" si="1"/>
        <v>0</v>
      </c>
      <c r="D154" s="59">
        <v>0.0</v>
      </c>
      <c r="E154" s="47">
        <f t="shared" si="2"/>
        <v>0</v>
      </c>
      <c r="F154" s="41">
        <f t="shared" si="3"/>
        <v>0</v>
      </c>
      <c r="G154" s="74" t="s">
        <v>24</v>
      </c>
      <c r="H154" s="74">
        <v>0.0</v>
      </c>
      <c r="I154" s="52" t="str">
        <f>HYPERLINK("http://www.shabait.com/news/local-news/30431-announcement-from-the-ministry-of-health","Source")</f>
        <v>Source</v>
      </c>
      <c r="J154" s="28"/>
      <c r="K154" s="31"/>
      <c r="L154" s="59">
        <v>31.0</v>
      </c>
      <c r="M154" s="59">
        <v>0.0</v>
      </c>
      <c r="N154" s="33"/>
      <c r="O154" s="34"/>
      <c r="P154" s="33"/>
    </row>
    <row r="155" ht="30.0" customHeight="1">
      <c r="A155" s="37" t="s">
        <v>335</v>
      </c>
      <c r="B155" s="59">
        <v>30.0</v>
      </c>
      <c r="C155" s="43">
        <f t="shared" si="1"/>
        <v>0</v>
      </c>
      <c r="D155" s="59">
        <v>1.0</v>
      </c>
      <c r="E155" s="47">
        <f t="shared" si="2"/>
        <v>0</v>
      </c>
      <c r="F155" s="63">
        <f t="shared" si="3"/>
        <v>0.03333333333</v>
      </c>
      <c r="G155" s="74" t="s">
        <v>24</v>
      </c>
      <c r="H155" s="74">
        <v>1.0</v>
      </c>
      <c r="I155" s="52" t="str">
        <f>HYPERLINK("https://www.facebook.com/Covid19GOUVGA/photos/a.121367692807021/125966569013800/?type=3&amp;theater","Source")</f>
        <v>Source</v>
      </c>
      <c r="J155" s="28"/>
      <c r="K155" s="31"/>
      <c r="L155" s="59">
        <v>30.0</v>
      </c>
      <c r="M155" s="59">
        <v>1.0</v>
      </c>
      <c r="N155" s="33"/>
      <c r="O155" s="33"/>
      <c r="P155" s="33"/>
    </row>
    <row r="156" ht="30.0" customHeight="1">
      <c r="A156" s="37" t="s">
        <v>336</v>
      </c>
      <c r="B156" s="59">
        <v>27.0</v>
      </c>
      <c r="C156" s="43">
        <f t="shared" si="1"/>
        <v>0</v>
      </c>
      <c r="D156" s="59">
        <v>1.0</v>
      </c>
      <c r="E156" s="47">
        <f t="shared" si="2"/>
        <v>0</v>
      </c>
      <c r="F156" s="41">
        <f t="shared" si="3"/>
        <v>0.03703703704</v>
      </c>
      <c r="G156" s="74" t="s">
        <v>24</v>
      </c>
      <c r="H156" s="74" t="s">
        <v>24</v>
      </c>
      <c r="I156" s="52" t="str">
        <f>HYPERLINK("https://twitter.com/MsppOfficiel/status/1247959145346670592","Source")</f>
        <v>Source</v>
      </c>
      <c r="J156" s="28"/>
      <c r="K156" s="31"/>
      <c r="L156" s="59">
        <v>27.0</v>
      </c>
      <c r="M156" s="59">
        <v>1.0</v>
      </c>
      <c r="N156" s="33"/>
      <c r="O156" s="33"/>
      <c r="P156" s="33"/>
    </row>
    <row r="157" ht="30.0" customHeight="1">
      <c r="A157" s="37" t="s">
        <v>337</v>
      </c>
      <c r="B157" s="59">
        <v>26.0</v>
      </c>
      <c r="C157" s="43">
        <f t="shared" si="1"/>
        <v>0</v>
      </c>
      <c r="D157" s="59">
        <v>1.0</v>
      </c>
      <c r="E157" s="47">
        <f t="shared" si="2"/>
        <v>0</v>
      </c>
      <c r="F157" s="63">
        <f t="shared" si="3"/>
        <v>0.03846153846</v>
      </c>
      <c r="G157" s="74" t="s">
        <v>24</v>
      </c>
      <c r="H157" s="74">
        <v>5.0</v>
      </c>
      <c r="I157" s="52" t="str">
        <f>HYPERLINK("https://www.gouv.bj/actualite/582/coronavirus--premier-deces-enregistre-benin/","Source")</f>
        <v>Source</v>
      </c>
      <c r="J157" s="28"/>
      <c r="K157" s="31"/>
      <c r="L157" s="59">
        <v>26.0</v>
      </c>
      <c r="M157" s="59">
        <v>1.0</v>
      </c>
      <c r="N157" s="33"/>
      <c r="O157" s="33"/>
      <c r="P157" s="33"/>
    </row>
    <row r="158" ht="30.0" customHeight="1">
      <c r="A158" s="37" t="s">
        <v>338</v>
      </c>
      <c r="B158" s="59">
        <v>24.0</v>
      </c>
      <c r="C158" s="43">
        <f t="shared" si="1"/>
        <v>0</v>
      </c>
      <c r="D158" s="59">
        <v>1.0</v>
      </c>
      <c r="E158" s="47">
        <f t="shared" si="2"/>
        <v>0</v>
      </c>
      <c r="F158" s="63">
        <f t="shared" si="3"/>
        <v>0.04166666667</v>
      </c>
      <c r="G158" s="74" t="s">
        <v>24</v>
      </c>
      <c r="H158" s="74">
        <v>5.0</v>
      </c>
      <c r="I158" s="52" t="str">
        <f>HYPERLINK("https://www.thecitizen.co.tz/news/Tanzania-records-first-Covid-19-death/1840340-5509582-e6v2lk/index.html","Source")</f>
        <v>Source</v>
      </c>
      <c r="J158" s="28"/>
      <c r="K158" s="31"/>
      <c r="L158" s="59">
        <v>24.0</v>
      </c>
      <c r="M158" s="59">
        <v>1.0</v>
      </c>
      <c r="N158" s="33"/>
      <c r="O158" s="33"/>
      <c r="P158" s="33"/>
    </row>
    <row r="159" ht="30.0" customHeight="1">
      <c r="A159" s="37" t="s">
        <v>339</v>
      </c>
      <c r="B159" s="59">
        <v>23.0</v>
      </c>
      <c r="C159" s="43">
        <f t="shared" si="1"/>
        <v>1</v>
      </c>
      <c r="D159" s="59">
        <v>3.0</v>
      </c>
      <c r="E159" s="47">
        <f t="shared" si="2"/>
        <v>0</v>
      </c>
      <c r="F159" s="41">
        <f t="shared" si="3"/>
        <v>0.1304347826</v>
      </c>
      <c r="G159" s="74" t="s">
        <v>24</v>
      </c>
      <c r="H159" s="74">
        <v>1.0</v>
      </c>
      <c r="I159" s="52" t="str">
        <f>HYPERLINK("https://www.facebook.com/MinistryOfHealthAndSportsMyanmar/posts/3313255082037107?__xts__%5B0%5D=68.ARBS6TmNKAjLSSzejpcab7-L4IWRFL5GHez6XdYKhUsCyMV0OYjolaAafcnNtqqisH7E4tDvXQVbSvPOXw1qkWz3cK9oAlmHN_AbmI1egKnK5eEKJhh1P6xjhJZ8-qzeQaPGX5E106Ju1llnUPZKS0SIOkas"&amp;"jsKU3SLuah3ALRqW3SzTiF389Oi8MWoohfdLgi-VXoXWN1O4bRrXfgi-gsuWxktITvwwM_PHktSrQ4e8tlTGoJhm4TkNf-KystDzDl_GrJmGo7IuIDOHTQo0_crnuheP30coqxIUIDazpx39A4K5yRuHxRMSByLP4MtL_gTs79MChOfeEn2JdIK0pEiNYg&amp;__tn__=-R","Source")</f>
        <v>Source</v>
      </c>
      <c r="J159" s="51"/>
      <c r="K159" s="31"/>
      <c r="L159" s="59">
        <v>22.0</v>
      </c>
      <c r="M159" s="59">
        <v>3.0</v>
      </c>
      <c r="N159" s="33"/>
      <c r="O159" s="33"/>
      <c r="P159" s="33"/>
    </row>
    <row r="160" ht="30.0" customHeight="1">
      <c r="A160" s="37" t="s">
        <v>340</v>
      </c>
      <c r="B160" s="59">
        <v>19.0</v>
      </c>
      <c r="C160" s="43">
        <f t="shared" si="1"/>
        <v>0</v>
      </c>
      <c r="D160" s="59">
        <v>2.0</v>
      </c>
      <c r="E160" s="47">
        <f t="shared" si="2"/>
        <v>0</v>
      </c>
      <c r="F160" s="41">
        <f t="shared" si="3"/>
        <v>0.1052631579</v>
      </c>
      <c r="G160" s="74">
        <v>0.0</v>
      </c>
      <c r="H160" s="74">
        <v>3.0</v>
      </c>
      <c r="I160" s="52" t="str">
        <f>HYPERLINK("https://sana.sy/?p=1133575","Source")</f>
        <v>Source</v>
      </c>
      <c r="J160" s="28"/>
      <c r="K160" s="31"/>
      <c r="L160" s="59">
        <v>19.0</v>
      </c>
      <c r="M160" s="59">
        <v>2.0</v>
      </c>
      <c r="N160" s="33"/>
      <c r="O160" s="33"/>
      <c r="P160" s="33"/>
    </row>
    <row r="161" ht="27.75" customHeight="1">
      <c r="A161" s="37" t="s">
        <v>341</v>
      </c>
      <c r="B161" s="59">
        <v>19.0</v>
      </c>
      <c r="C161" s="43">
        <f t="shared" si="1"/>
        <v>0</v>
      </c>
      <c r="D161" s="59">
        <v>0.0</v>
      </c>
      <c r="E161" s="47">
        <f t="shared" si="2"/>
        <v>0</v>
      </c>
      <c r="F161" s="63">
        <f t="shared" si="3"/>
        <v>0</v>
      </c>
      <c r="G161" s="74" t="s">
        <v>24</v>
      </c>
      <c r="H161" s="74">
        <v>13.0</v>
      </c>
      <c r="I161" s="52" t="str">
        <f>HYPERLINK("https://covid19.health.gov.mv/en/","Source")</f>
        <v>Source</v>
      </c>
      <c r="J161" s="28"/>
      <c r="K161" s="31"/>
      <c r="L161" s="59">
        <v>19.0</v>
      </c>
      <c r="M161" s="59">
        <v>0.0</v>
      </c>
      <c r="N161" s="33"/>
      <c r="O161" s="33"/>
      <c r="P161" s="33"/>
    </row>
    <row r="162" ht="30.0" customHeight="1">
      <c r="A162" s="37" t="s">
        <v>342</v>
      </c>
      <c r="B162" s="59">
        <v>19.0</v>
      </c>
      <c r="C162" s="43">
        <f t="shared" si="1"/>
        <v>0</v>
      </c>
      <c r="D162" s="59">
        <v>1.0</v>
      </c>
      <c r="E162" s="47">
        <f t="shared" si="2"/>
        <v>0</v>
      </c>
      <c r="F162" s="41">
        <f t="shared" si="3"/>
        <v>0.05263157895</v>
      </c>
      <c r="G162" s="74" t="s">
        <v>24</v>
      </c>
      <c r="H162" s="74">
        <v>1.0</v>
      </c>
      <c r="I162" s="52" t="str">
        <f>HYPERLINK("https://twitter.com/EanLibya/status/1247274939301888006","Source")</f>
        <v>Source</v>
      </c>
      <c r="J162" s="28"/>
      <c r="K162" s="31"/>
      <c r="L162" s="59">
        <v>19.0</v>
      </c>
      <c r="M162" s="59">
        <v>1.0</v>
      </c>
      <c r="N162" s="33"/>
      <c r="O162" s="33"/>
      <c r="P162" s="33"/>
    </row>
    <row r="163" ht="30.0" customHeight="1">
      <c r="A163" s="37" t="s">
        <v>343</v>
      </c>
      <c r="B163" s="59">
        <v>18.0</v>
      </c>
      <c r="C163" s="43">
        <f t="shared" si="1"/>
        <v>0</v>
      </c>
      <c r="D163" s="59">
        <v>0.0</v>
      </c>
      <c r="E163" s="47">
        <f t="shared" si="2"/>
        <v>0</v>
      </c>
      <c r="F163" s="63">
        <f t="shared" si="3"/>
        <v>0</v>
      </c>
      <c r="G163" s="74">
        <v>1.0</v>
      </c>
      <c r="H163" s="74">
        <v>1.0</v>
      </c>
      <c r="I163" s="52" t="str">
        <f>HYPERLINK("https://gouv.nc/coronavirus","Source")</f>
        <v>Source</v>
      </c>
      <c r="J163" s="28"/>
      <c r="K163" s="31"/>
      <c r="L163" s="59">
        <v>18.0</v>
      </c>
      <c r="M163" s="59">
        <v>0.0</v>
      </c>
      <c r="N163" s="33"/>
      <c r="O163" s="33"/>
      <c r="P163" s="33"/>
    </row>
    <row r="164" ht="30.0" customHeight="1">
      <c r="A164" s="37" t="s">
        <v>344</v>
      </c>
      <c r="B164" s="59">
        <v>16.0</v>
      </c>
      <c r="C164" s="43">
        <f t="shared" si="1"/>
        <v>0</v>
      </c>
      <c r="D164" s="59">
        <v>0.0</v>
      </c>
      <c r="E164" s="47">
        <f t="shared" si="2"/>
        <v>0</v>
      </c>
      <c r="F164" s="63">
        <f t="shared" si="3"/>
        <v>0</v>
      </c>
      <c r="G164" s="74">
        <v>0.0</v>
      </c>
      <c r="H164" s="74">
        <v>1.0</v>
      </c>
      <c r="I164" s="52" t="str">
        <f>HYPERLINK("https://twitter.com/WHONAMIBIA/status/1246800822551412736","Source")</f>
        <v>Source</v>
      </c>
      <c r="J164" s="28"/>
      <c r="K164" s="31"/>
      <c r="L164" s="59">
        <v>16.0</v>
      </c>
      <c r="M164" s="59">
        <v>0.0</v>
      </c>
      <c r="N164" s="33"/>
      <c r="O164" s="33"/>
      <c r="P164" s="33"/>
    </row>
    <row r="165" ht="30.0" customHeight="1">
      <c r="A165" s="37" t="s">
        <v>345</v>
      </c>
      <c r="B165" s="59">
        <v>16.0</v>
      </c>
      <c r="C165" s="43">
        <f t="shared" si="1"/>
        <v>0</v>
      </c>
      <c r="D165" s="59">
        <v>0.0</v>
      </c>
      <c r="E165" s="47">
        <f t="shared" si="2"/>
        <v>0</v>
      </c>
      <c r="F165" s="41">
        <f t="shared" si="3"/>
        <v>0</v>
      </c>
      <c r="G165" s="74" t="s">
        <v>24</v>
      </c>
      <c r="H165" s="74">
        <v>3.0</v>
      </c>
      <c r="I165" s="52" t="str">
        <f>HYPERLINK("https://www.guineaecuatorialpress.com/noticia.php?id=15248","Source")</f>
        <v>Source</v>
      </c>
      <c r="J165" s="28"/>
      <c r="K165" s="31"/>
      <c r="L165" s="59">
        <v>16.0</v>
      </c>
      <c r="M165" s="59">
        <v>0.0</v>
      </c>
      <c r="N165" s="33"/>
      <c r="O165" s="33"/>
      <c r="P165" s="33"/>
    </row>
    <row r="166" ht="30.0" customHeight="1">
      <c r="A166" s="37" t="s">
        <v>346</v>
      </c>
      <c r="B166" s="59">
        <v>16.0</v>
      </c>
      <c r="C166" s="43">
        <f t="shared" si="1"/>
        <v>0</v>
      </c>
      <c r="D166" s="59">
        <v>2.0</v>
      </c>
      <c r="E166" s="47">
        <f t="shared" si="2"/>
        <v>0</v>
      </c>
      <c r="F166" s="63">
        <f t="shared" si="3"/>
        <v>0.125</v>
      </c>
      <c r="G166" s="74">
        <v>0.0</v>
      </c>
      <c r="H166" s="74">
        <v>2.0</v>
      </c>
      <c r="I166" s="52" t="str">
        <f>HYPERLINK("http://www.angop.ao/angola/en_us/noticias/saude/2020/3/15/COVID-Angola-reports-16th-infection,1265a271-11eb-46bf-813a-d7a94189c0ce.html","Source")</f>
        <v>Source</v>
      </c>
      <c r="J166" s="28"/>
      <c r="K166" s="31"/>
      <c r="L166" s="59">
        <v>16.0</v>
      </c>
      <c r="M166" s="59">
        <v>2.0</v>
      </c>
      <c r="N166" s="33"/>
      <c r="O166" s="33"/>
      <c r="P166" s="33"/>
    </row>
    <row r="167" ht="30.0" customHeight="1">
      <c r="A167" s="37" t="s">
        <v>347</v>
      </c>
      <c r="B167" s="59">
        <v>16.0</v>
      </c>
      <c r="C167" s="43">
        <f t="shared" si="1"/>
        <v>1</v>
      </c>
      <c r="D167" s="59">
        <v>0.0</v>
      </c>
      <c r="E167" s="47">
        <f t="shared" si="2"/>
        <v>0</v>
      </c>
      <c r="F167" s="41">
        <f t="shared" si="3"/>
        <v>0</v>
      </c>
      <c r="G167" s="74" t="s">
        <v>24</v>
      </c>
      <c r="H167" s="74" t="s">
        <v>24</v>
      </c>
      <c r="I167" s="52" t="str">
        <f>HYPERLINK("https://www.covid19.gov.la/","Source")</f>
        <v>Source</v>
      </c>
      <c r="J167" s="51"/>
      <c r="K167" s="31"/>
      <c r="L167" s="59">
        <v>15.0</v>
      </c>
      <c r="M167" s="59">
        <v>0.0</v>
      </c>
      <c r="N167" s="33"/>
      <c r="O167" s="33"/>
      <c r="P167" s="33"/>
    </row>
    <row r="168" ht="30.0" customHeight="1">
      <c r="A168" s="37" t="s">
        <v>348</v>
      </c>
      <c r="B168" s="59">
        <v>16.0</v>
      </c>
      <c r="C168" s="43">
        <f t="shared" si="1"/>
        <v>0</v>
      </c>
      <c r="D168" s="59">
        <v>0.0</v>
      </c>
      <c r="E168" s="47">
        <f t="shared" si="2"/>
        <v>0</v>
      </c>
      <c r="F168" s="63">
        <f t="shared" si="3"/>
        <v>0</v>
      </c>
      <c r="G168" s="74">
        <v>0.0</v>
      </c>
      <c r="H168" s="74">
        <v>0.0</v>
      </c>
      <c r="I168" s="52" t="str">
        <f>HYPERLINK("https://antiguaobserver.com/nurse-tests-positive-for-covid-19/","Source")</f>
        <v>Source</v>
      </c>
      <c r="J168" s="28"/>
      <c r="K168" s="31"/>
      <c r="L168" s="59">
        <v>16.0</v>
      </c>
      <c r="M168" s="59">
        <v>0.0</v>
      </c>
      <c r="N168" s="33"/>
      <c r="O168" s="33"/>
      <c r="P168" s="33"/>
    </row>
    <row r="169" ht="30.0" customHeight="1">
      <c r="A169" s="37" t="s">
        <v>349</v>
      </c>
      <c r="B169" s="59">
        <v>15.0</v>
      </c>
      <c r="C169" s="43">
        <f t="shared" si="1"/>
        <v>0</v>
      </c>
      <c r="D169" s="59">
        <v>0.0</v>
      </c>
      <c r="E169" s="47">
        <f t="shared" si="2"/>
        <v>0</v>
      </c>
      <c r="F169" s="41">
        <f t="shared" si="3"/>
        <v>0</v>
      </c>
      <c r="G169" s="74" t="s">
        <v>24</v>
      </c>
      <c r="H169" s="74">
        <v>4.0</v>
      </c>
      <c r="I169" s="52" t="str">
        <f>HYPERLINK("https://montsame.mn/en/read/221308","Source")</f>
        <v>Source</v>
      </c>
      <c r="J169" s="28"/>
      <c r="K169" s="31"/>
      <c r="L169" s="59">
        <v>15.0</v>
      </c>
      <c r="M169" s="59">
        <v>0.0</v>
      </c>
      <c r="N169" s="33"/>
      <c r="O169" s="33"/>
      <c r="P169" s="33"/>
    </row>
    <row r="170" ht="30.0" customHeight="1">
      <c r="A170" s="37" t="s">
        <v>350</v>
      </c>
      <c r="B170" s="59">
        <v>15.0</v>
      </c>
      <c r="C170" s="43">
        <f t="shared" si="1"/>
        <v>0</v>
      </c>
      <c r="D170" s="59">
        <v>0.0</v>
      </c>
      <c r="E170" s="47">
        <f t="shared" si="2"/>
        <v>0</v>
      </c>
      <c r="F170" s="63">
        <f t="shared" si="3"/>
        <v>0</v>
      </c>
      <c r="G170" s="74" t="s">
        <v>24</v>
      </c>
      <c r="H170" s="74">
        <v>0.0</v>
      </c>
      <c r="I170" s="52" t="str">
        <f>HYPERLINK("https://www.fbcnews.com.fj/news/one-more-covid-19-case-confirmed-total-up-to-15/","Source")</f>
        <v>Source</v>
      </c>
      <c r="J170" s="28"/>
      <c r="K170" s="31"/>
      <c r="L170" s="59">
        <v>15.0</v>
      </c>
      <c r="M170" s="59">
        <v>0.0</v>
      </c>
      <c r="N170" s="33"/>
      <c r="O170" s="33"/>
      <c r="P170" s="33"/>
    </row>
    <row r="171" ht="30.0" customHeight="1">
      <c r="A171" s="37" t="s">
        <v>351</v>
      </c>
      <c r="B171" s="59">
        <v>14.0</v>
      </c>
      <c r="C171" s="43">
        <f t="shared" si="1"/>
        <v>0</v>
      </c>
      <c r="D171" s="59">
        <v>3.0</v>
      </c>
      <c r="E171" s="47">
        <f t="shared" si="2"/>
        <v>0</v>
      </c>
      <c r="F171" s="41">
        <f t="shared" si="3"/>
        <v>0.2142857143</v>
      </c>
      <c r="G171" s="74" t="s">
        <v>24</v>
      </c>
      <c r="H171" s="74">
        <v>3.0</v>
      </c>
      <c r="I171" s="52" t="str">
        <f>HYPERLINK("https://frontpageafricaonline.com/front-slider/liberias-covid-19-records-14th-covid-19-case/","Source")</f>
        <v>Source</v>
      </c>
      <c r="J171" s="28"/>
      <c r="K171" s="31"/>
      <c r="L171" s="59">
        <v>14.0</v>
      </c>
      <c r="M171" s="59">
        <v>3.0</v>
      </c>
      <c r="N171" s="33"/>
      <c r="O171" s="33"/>
      <c r="P171" s="33"/>
    </row>
    <row r="172" ht="30.0" customHeight="1">
      <c r="A172" s="37" t="s">
        <v>352</v>
      </c>
      <c r="B172" s="59">
        <v>14.0</v>
      </c>
      <c r="C172" s="43">
        <f t="shared" si="1"/>
        <v>0</v>
      </c>
      <c r="D172" s="59">
        <v>0.0</v>
      </c>
      <c r="E172" s="47">
        <f t="shared" si="2"/>
        <v>0</v>
      </c>
      <c r="F172" s="41">
        <f t="shared" si="3"/>
        <v>0</v>
      </c>
      <c r="G172" s="74">
        <v>0.0</v>
      </c>
      <c r="H172" s="74">
        <v>1.0</v>
      </c>
      <c r="I172" s="52" t="str">
        <f>HYPERLINK("https://www.stlucianewsonline.com/breaking-news-saint-lucias-14th-confirmed-covid-19-case-was-the-contact-for-a-previous-case/","Source")</f>
        <v>Source</v>
      </c>
      <c r="J172" s="28"/>
      <c r="K172" s="31"/>
      <c r="L172" s="59">
        <v>14.0</v>
      </c>
      <c r="M172" s="59">
        <v>0.0</v>
      </c>
      <c r="N172" s="33"/>
      <c r="O172" s="33"/>
      <c r="P172" s="33"/>
    </row>
    <row r="173" ht="30.0" customHeight="1">
      <c r="A173" s="37" t="s">
        <v>353</v>
      </c>
      <c r="B173" s="59">
        <v>13.0</v>
      </c>
      <c r="C173" s="43">
        <f t="shared" si="1"/>
        <v>0</v>
      </c>
      <c r="D173" s="59">
        <v>1.0</v>
      </c>
      <c r="E173" s="47">
        <f t="shared" si="2"/>
        <v>0</v>
      </c>
      <c r="F173" s="41">
        <f t="shared" si="3"/>
        <v>0.07692307692</v>
      </c>
      <c r="G173" s="74" t="s">
        <v>24</v>
      </c>
      <c r="H173" s="74">
        <v>7.0</v>
      </c>
      <c r="I173" s="52" t="str">
        <f>HYPERLINK("https://www.curacaochronicle.com/post/main/update-covid-19-confirmed-cases-remain-13-7-have-recovered/","Source")</f>
        <v>Source</v>
      </c>
      <c r="J173" s="28"/>
      <c r="K173" s="70" t="s">
        <v>27</v>
      </c>
      <c r="L173" s="59">
        <v>13.0</v>
      </c>
      <c r="M173" s="59">
        <v>1.0</v>
      </c>
      <c r="N173" s="33"/>
      <c r="O173" s="33"/>
      <c r="P173" s="33"/>
    </row>
    <row r="174" ht="27.75" customHeight="1">
      <c r="A174" s="37" t="s">
        <v>354</v>
      </c>
      <c r="B174" s="59">
        <v>13.0</v>
      </c>
      <c r="C174" s="43">
        <f t="shared" si="1"/>
        <v>7</v>
      </c>
      <c r="D174" s="59">
        <v>1.0</v>
      </c>
      <c r="E174" s="47">
        <f t="shared" si="2"/>
        <v>0</v>
      </c>
      <c r="F174" s="41">
        <f t="shared" si="3"/>
        <v>0.07692307692</v>
      </c>
      <c r="G174" s="74" t="s">
        <v>24</v>
      </c>
      <c r="H174" s="74" t="s">
        <v>24</v>
      </c>
      <c r="I174" s="52" t="str">
        <f>HYPERLINK("https://twitter.com/BWGovernment/status/1248181443328651264","Source")</f>
        <v>Source</v>
      </c>
      <c r="J174" s="51"/>
      <c r="K174" s="31"/>
      <c r="L174" s="59">
        <v>6.0</v>
      </c>
      <c r="M174" s="59">
        <v>1.0</v>
      </c>
      <c r="N174" s="33"/>
      <c r="O174" s="33"/>
      <c r="P174" s="33"/>
    </row>
    <row r="175" ht="30.0" customHeight="1">
      <c r="A175" s="37" t="s">
        <v>355</v>
      </c>
      <c r="B175" s="59">
        <v>12.0</v>
      </c>
      <c r="C175" s="43">
        <f t="shared" si="1"/>
        <v>0</v>
      </c>
      <c r="D175" s="59">
        <v>0.0</v>
      </c>
      <c r="E175" s="47">
        <f t="shared" si="2"/>
        <v>0</v>
      </c>
      <c r="F175" s="41">
        <f t="shared" si="3"/>
        <v>0</v>
      </c>
      <c r="G175" s="74">
        <v>1.0</v>
      </c>
      <c r="H175" s="74">
        <v>0.0</v>
      </c>
      <c r="I175" s="52" t="str">
        <f>HYPERLINK("https://covid19.gov.gd/","Source")</f>
        <v>Source</v>
      </c>
      <c r="J175" s="28"/>
      <c r="K175" s="31"/>
      <c r="L175" s="59">
        <v>12.0</v>
      </c>
      <c r="M175" s="59">
        <v>0.0</v>
      </c>
      <c r="N175" s="33"/>
      <c r="O175" s="33"/>
      <c r="P175" s="33"/>
    </row>
    <row r="176" ht="30.0" customHeight="1">
      <c r="A176" s="37" t="s">
        <v>356</v>
      </c>
      <c r="B176" s="59">
        <v>11.0</v>
      </c>
      <c r="C176" s="43">
        <f t="shared" si="1"/>
        <v>0</v>
      </c>
      <c r="D176" s="59">
        <v>0.0</v>
      </c>
      <c r="E176" s="47">
        <f t="shared" si="2"/>
        <v>0</v>
      </c>
      <c r="F176" s="63">
        <f t="shared" si="3"/>
        <v>0</v>
      </c>
      <c r="G176" s="74" t="s">
        <v>24</v>
      </c>
      <c r="H176" s="74">
        <v>2.0</v>
      </c>
      <c r="I176" s="52" t="str">
        <f>HYPERLINK("https://nun.gl/Emner/Borgere/Coronavirus_emne/Foelg_smittespredningen?sc_lang=da","Source")</f>
        <v>Source</v>
      </c>
      <c r="J176" s="28"/>
      <c r="K176" s="31"/>
      <c r="L176" s="59">
        <v>11.0</v>
      </c>
      <c r="M176" s="59">
        <v>0.0</v>
      </c>
      <c r="N176" s="33"/>
      <c r="O176" s="33"/>
      <c r="P176" s="33"/>
    </row>
    <row r="177" ht="30.0" customHeight="1">
      <c r="A177" s="37" t="s">
        <v>184</v>
      </c>
      <c r="B177" s="59">
        <v>11.0</v>
      </c>
      <c r="C177" s="43">
        <f t="shared" si="1"/>
        <v>0</v>
      </c>
      <c r="D177" s="59">
        <v>0.0</v>
      </c>
      <c r="E177" s="47">
        <f t="shared" si="2"/>
        <v>0</v>
      </c>
      <c r="F177" s="41">
        <f t="shared" si="3"/>
        <v>0</v>
      </c>
      <c r="G177" s="74" t="s">
        <v>24</v>
      </c>
      <c r="H177" s="74" t="s">
        <v>24</v>
      </c>
      <c r="I177" s="52" t="str">
        <f>HYPERLINK("https://tass.com/world/1141457","Source")</f>
        <v>Source</v>
      </c>
      <c r="J177" s="28"/>
      <c r="K177" s="31"/>
      <c r="L177" s="59">
        <v>11.0</v>
      </c>
      <c r="M177" s="59">
        <v>0.0</v>
      </c>
      <c r="N177" s="33"/>
      <c r="O177" s="33"/>
      <c r="P177" s="33"/>
    </row>
    <row r="178" ht="30.0" customHeight="1">
      <c r="A178" s="37" t="s">
        <v>357</v>
      </c>
      <c r="B178" s="59">
        <v>11.0</v>
      </c>
      <c r="C178" s="43">
        <f t="shared" si="1"/>
        <v>0</v>
      </c>
      <c r="D178" s="59">
        <v>0.0</v>
      </c>
      <c r="E178" s="47">
        <f t="shared" si="2"/>
        <v>0</v>
      </c>
      <c r="F178" s="63">
        <f t="shared" si="3"/>
        <v>0</v>
      </c>
      <c r="G178" s="74" t="s">
        <v>24</v>
      </c>
      <c r="H178" s="74">
        <v>0.0</v>
      </c>
      <c r="I178" s="52" t="str">
        <f>HYPERLINK("https://www.covid19.gov.kn/2020/04/06/st-kitts-and-nevis-confirms-one-1-additional-covid-19-casetotal-number-of-confirmed-cases-now-stands-at-11/","Source")</f>
        <v>Source</v>
      </c>
      <c r="J178" s="28"/>
      <c r="K178" s="31"/>
      <c r="L178" s="59">
        <v>11.0</v>
      </c>
      <c r="M178" s="59">
        <v>0.0</v>
      </c>
      <c r="N178" s="33"/>
      <c r="O178" s="33"/>
      <c r="P178" s="33"/>
    </row>
    <row r="179" ht="30.0" customHeight="1">
      <c r="A179" s="37" t="s">
        <v>358</v>
      </c>
      <c r="B179" s="59">
        <v>11.0</v>
      </c>
      <c r="C179" s="43">
        <f t="shared" si="1"/>
        <v>0</v>
      </c>
      <c r="D179" s="59">
        <v>0.0</v>
      </c>
      <c r="E179" s="47">
        <f t="shared" si="2"/>
        <v>0</v>
      </c>
      <c r="F179" s="63">
        <f t="shared" si="3"/>
        <v>0</v>
      </c>
      <c r="G179" s="74">
        <v>1.0</v>
      </c>
      <c r="H179" s="74">
        <v>0.0</v>
      </c>
      <c r="I179" s="52" t="str">
        <f>HYPERLINK("http://www.health.gov.sc/index.php/2020/04/06/public-health-authority-records-new-case-of-covid-19/","Source")</f>
        <v>Source</v>
      </c>
      <c r="J179" s="28"/>
      <c r="K179" s="31"/>
      <c r="L179" s="59">
        <v>11.0</v>
      </c>
      <c r="M179" s="59">
        <v>0.0</v>
      </c>
      <c r="N179" s="33"/>
      <c r="O179" s="33"/>
      <c r="P179" s="33"/>
    </row>
    <row r="180" ht="30.0" customHeight="1">
      <c r="A180" s="37" t="s">
        <v>359</v>
      </c>
      <c r="B180" s="59">
        <v>11.0</v>
      </c>
      <c r="C180" s="43">
        <f t="shared" si="1"/>
        <v>0</v>
      </c>
      <c r="D180" s="59">
        <v>2.0</v>
      </c>
      <c r="E180" s="47">
        <f t="shared" si="2"/>
        <v>0</v>
      </c>
      <c r="F180" s="63">
        <f t="shared" si="3"/>
        <v>0.1818181818</v>
      </c>
      <c r="G180" s="74">
        <v>0.0</v>
      </c>
      <c r="H180" s="74">
        <v>0.0</v>
      </c>
      <c r="I180" s="52" t="str">
        <f>HYPERLINK("https://twitter.com/MoHCCZim/status/1247796746807209989","Source")</f>
        <v>Source</v>
      </c>
      <c r="J180" s="28"/>
      <c r="K180" s="31"/>
      <c r="L180" s="59">
        <v>11.0</v>
      </c>
      <c r="M180" s="59">
        <v>2.0</v>
      </c>
      <c r="N180" s="33"/>
      <c r="O180" s="33"/>
      <c r="P180" s="33"/>
    </row>
    <row r="181" ht="30.0" customHeight="1">
      <c r="A181" s="37" t="s">
        <v>360</v>
      </c>
      <c r="B181" s="59">
        <v>11.0</v>
      </c>
      <c r="C181" s="43">
        <f t="shared" si="1"/>
        <v>0</v>
      </c>
      <c r="D181" s="59">
        <v>1.0</v>
      </c>
      <c r="E181" s="47">
        <f t="shared" si="2"/>
        <v>0</v>
      </c>
      <c r="F181" s="41">
        <f t="shared" si="3"/>
        <v>0.09090909091</v>
      </c>
      <c r="G181" s="74" t="s">
        <v>24</v>
      </c>
      <c r="H181" s="74">
        <v>1.0</v>
      </c>
      <c r="I181" s="52" t="str">
        <f>HYPERLINK("https://twitter.com/AbikarDr/status/1247915930115616768","Source")</f>
        <v>Source</v>
      </c>
      <c r="J181" s="28"/>
      <c r="K181" s="31"/>
      <c r="L181" s="59">
        <v>11.0</v>
      </c>
      <c r="M181" s="59">
        <v>1.0</v>
      </c>
      <c r="N181" s="33"/>
      <c r="O181" s="33"/>
      <c r="P181" s="33"/>
    </row>
    <row r="182" ht="30.0" customHeight="1">
      <c r="A182" s="37" t="s">
        <v>361</v>
      </c>
      <c r="B182" s="59">
        <v>10.0</v>
      </c>
      <c r="C182" s="43">
        <f t="shared" si="1"/>
        <v>0</v>
      </c>
      <c r="D182" s="59">
        <v>2.0</v>
      </c>
      <c r="E182" s="47">
        <f t="shared" si="2"/>
        <v>0</v>
      </c>
      <c r="F182" s="41">
        <f t="shared" si="3"/>
        <v>0.2</v>
      </c>
      <c r="G182" s="74" t="s">
        <v>24</v>
      </c>
      <c r="H182" s="74" t="s">
        <v>24</v>
      </c>
      <c r="I182" s="52" t="str">
        <f>HYPERLINK("https://fmoh.gov.sd/index.php/files/download/383","Source")</f>
        <v>Source</v>
      </c>
      <c r="J182" s="28"/>
      <c r="K182" s="31"/>
      <c r="L182" s="59">
        <v>10.0</v>
      </c>
      <c r="M182" s="59">
        <v>2.0</v>
      </c>
      <c r="N182" s="33"/>
      <c r="O182" s="33"/>
      <c r="P182" s="33"/>
    </row>
    <row r="183" ht="30.0" customHeight="1">
      <c r="A183" s="37" t="s">
        <v>362</v>
      </c>
      <c r="B183" s="59">
        <v>10.0</v>
      </c>
      <c r="C183" s="43">
        <f t="shared" si="1"/>
        <v>0</v>
      </c>
      <c r="D183" s="59">
        <v>1.0</v>
      </c>
      <c r="E183" s="47">
        <f t="shared" si="2"/>
        <v>0</v>
      </c>
      <c r="F183" s="41">
        <f t="shared" si="3"/>
        <v>0.1</v>
      </c>
      <c r="G183" s="74" t="s">
        <v>24</v>
      </c>
      <c r="H183" s="74">
        <v>4.0</v>
      </c>
      <c r="I183" s="52" t="str">
        <f>HYPERLINK("https://covid-19.sr/","Source")</f>
        <v>Source</v>
      </c>
      <c r="J183" s="28"/>
      <c r="K183" s="31"/>
      <c r="L183" s="59">
        <v>10.0</v>
      </c>
      <c r="M183" s="59">
        <v>1.0</v>
      </c>
      <c r="N183" s="33"/>
      <c r="O183" s="33"/>
      <c r="P183" s="33"/>
    </row>
    <row r="184" ht="30.0" customHeight="1">
      <c r="A184" s="37" t="s">
        <v>363</v>
      </c>
      <c r="B184" s="59">
        <v>10.0</v>
      </c>
      <c r="C184" s="43">
        <f t="shared" si="1"/>
        <v>0</v>
      </c>
      <c r="D184" s="59">
        <v>0.0</v>
      </c>
      <c r="E184" s="47">
        <f t="shared" si="2"/>
        <v>0</v>
      </c>
      <c r="F184" s="41">
        <f t="shared" si="3"/>
        <v>0</v>
      </c>
      <c r="G184" s="74" t="s">
        <v>24</v>
      </c>
      <c r="H184" s="74">
        <v>1.0</v>
      </c>
      <c r="I184" s="52" t="str">
        <f>HYPERLINK("https://pbs.twimg.com/media/EUq8BAFUMAYsbZY.jpg","Source")</f>
        <v>Source</v>
      </c>
      <c r="J184" s="28"/>
      <c r="K184" s="31"/>
      <c r="L184" s="59">
        <v>10.0</v>
      </c>
      <c r="M184" s="59">
        <v>0.0</v>
      </c>
      <c r="N184" s="33"/>
      <c r="O184" s="33"/>
      <c r="P184" s="33"/>
    </row>
    <row r="185" ht="30.0" customHeight="1">
      <c r="A185" s="37" t="s">
        <v>364</v>
      </c>
      <c r="B185" s="59">
        <v>10.0</v>
      </c>
      <c r="C185" s="43">
        <f t="shared" si="1"/>
        <v>0</v>
      </c>
      <c r="D185" s="59">
        <v>0.0</v>
      </c>
      <c r="E185" s="47">
        <f t="shared" si="2"/>
        <v>0</v>
      </c>
      <c r="F185" s="63">
        <f t="shared" si="3"/>
        <v>0</v>
      </c>
      <c r="G185" s="74" t="s">
        <v>24</v>
      </c>
      <c r="H185" s="74">
        <v>2.0</v>
      </c>
      <c r="I185" s="52" t="str">
        <f>HYPERLINK("https://www.facebook.com/ministeresantetchad/photos/a.597628504017561/879376315842777/?type=3&amp;theater","Source")</f>
        <v>Source</v>
      </c>
      <c r="J185" s="28"/>
      <c r="K185" s="31"/>
      <c r="L185" s="59">
        <v>10.0</v>
      </c>
      <c r="M185" s="59">
        <v>0.0</v>
      </c>
      <c r="N185" s="33"/>
      <c r="O185" s="33"/>
      <c r="P185" s="33"/>
    </row>
    <row r="186" ht="30.0" customHeight="1">
      <c r="A186" s="37" t="s">
        <v>365</v>
      </c>
      <c r="B186" s="59">
        <v>10.0</v>
      </c>
      <c r="C186" s="43">
        <f t="shared" si="1"/>
        <v>0</v>
      </c>
      <c r="D186" s="59">
        <v>0.0</v>
      </c>
      <c r="E186" s="47">
        <f t="shared" si="2"/>
        <v>0</v>
      </c>
      <c r="F186" s="41">
        <f t="shared" si="3"/>
        <v>0</v>
      </c>
      <c r="G186" s="74">
        <v>0.0</v>
      </c>
      <c r="H186" s="74">
        <v>3.0</v>
      </c>
      <c r="I186" s="52" t="str">
        <f>HYPERLINK("https://twitter.com/EswatiniGovern1/status/1247156773846319106","Source")</f>
        <v>Source</v>
      </c>
      <c r="J186" s="28"/>
      <c r="K186" s="31"/>
      <c r="L186" s="59">
        <v>10.0</v>
      </c>
      <c r="M186" s="59">
        <v>0.0</v>
      </c>
      <c r="N186" s="33"/>
      <c r="O186" s="33"/>
      <c r="P186" s="33"/>
    </row>
    <row r="187" ht="30.0" customHeight="1">
      <c r="A187" s="37" t="s">
        <v>366</v>
      </c>
      <c r="B187" s="59">
        <v>9.0</v>
      </c>
      <c r="C187" s="43">
        <f t="shared" si="1"/>
        <v>0</v>
      </c>
      <c r="D187" s="59">
        <v>0.0</v>
      </c>
      <c r="E187" s="47">
        <f t="shared" si="2"/>
        <v>0</v>
      </c>
      <c r="F187" s="63">
        <f t="shared" si="3"/>
        <v>0</v>
      </c>
      <c r="G187" s="74" t="s">
        <v>24</v>
      </c>
      <c r="H187" s="74">
        <v>1.0</v>
      </c>
      <c r="I187" s="52" t="str">
        <f>HYPERLINK("https://kathmandupost.com/health/2020/04/04/nepal-confirms-three-more-covid-19-cases-including-first-case-of-local-transmission","Source")</f>
        <v>Source</v>
      </c>
      <c r="J187" s="28"/>
      <c r="K187" s="31"/>
      <c r="L187" s="59">
        <v>9.0</v>
      </c>
      <c r="M187" s="59">
        <v>0.0</v>
      </c>
      <c r="N187" s="33"/>
      <c r="O187" s="33"/>
      <c r="P187" s="33"/>
    </row>
    <row r="188" ht="30.0" customHeight="1">
      <c r="A188" s="37" t="s">
        <v>367</v>
      </c>
      <c r="B188" s="59">
        <v>9.0</v>
      </c>
      <c r="C188" s="43">
        <f t="shared" si="1"/>
        <v>0</v>
      </c>
      <c r="D188" s="59">
        <v>0.0</v>
      </c>
      <c r="E188" s="47">
        <f t="shared" si="2"/>
        <v>0</v>
      </c>
      <c r="F188" s="63">
        <f t="shared" si="3"/>
        <v>0</v>
      </c>
      <c r="G188" s="74" t="s">
        <v>24</v>
      </c>
      <c r="H188" s="74">
        <v>3.0</v>
      </c>
      <c r="I188" s="52" t="str">
        <f>HYPERLINK("https://pbs.twimg.com/media/EU1dY7XXgAEuJIr.jpg","Source")</f>
        <v>Source</v>
      </c>
      <c r="J188" s="28"/>
      <c r="K188" s="31"/>
      <c r="L188" s="59">
        <v>9.0</v>
      </c>
      <c r="M188" s="59">
        <v>0.0</v>
      </c>
      <c r="N188" s="33"/>
      <c r="O188" s="33"/>
      <c r="P188" s="33"/>
    </row>
    <row r="189" ht="30.0" customHeight="1">
      <c r="A189" s="37" t="s">
        <v>368</v>
      </c>
      <c r="B189" s="59">
        <v>8.0</v>
      </c>
      <c r="C189" s="43">
        <f t="shared" si="1"/>
        <v>0</v>
      </c>
      <c r="D189" s="59">
        <v>1.0</v>
      </c>
      <c r="E189" s="47">
        <f t="shared" si="2"/>
        <v>0</v>
      </c>
      <c r="F189" s="41">
        <f t="shared" si="3"/>
        <v>0.125</v>
      </c>
      <c r="G189" s="74" t="s">
        <v>24</v>
      </c>
      <c r="H189" s="74" t="s">
        <v>24</v>
      </c>
      <c r="I189" s="52" t="str">
        <f>HYPERLINK("https://www.nyasatimes.com/malawi-confirmed-covid-19-cases-rise-to-8-with-one-death-minister/","Source")</f>
        <v>Source</v>
      </c>
      <c r="J189" s="28"/>
      <c r="K189" s="31"/>
      <c r="L189" s="59">
        <v>8.0</v>
      </c>
      <c r="M189" s="59">
        <v>1.0</v>
      </c>
      <c r="N189" s="33"/>
      <c r="O189" s="33"/>
      <c r="P189" s="33"/>
    </row>
    <row r="190" ht="30.0" customHeight="1">
      <c r="A190" s="37" t="s">
        <v>369</v>
      </c>
      <c r="B190" s="59">
        <v>8.0</v>
      </c>
      <c r="C190" s="43">
        <f t="shared" si="1"/>
        <v>0</v>
      </c>
      <c r="D190" s="59">
        <v>1.0</v>
      </c>
      <c r="E190" s="47">
        <f t="shared" si="2"/>
        <v>0</v>
      </c>
      <c r="F190" s="63">
        <f t="shared" si="3"/>
        <v>0.125</v>
      </c>
      <c r="G190" s="74" t="s">
        <v>24</v>
      </c>
      <c r="H190" s="74">
        <v>0.0</v>
      </c>
      <c r="I190" s="52" t="str">
        <f>HYPERLINK("https://gov.tc/moh/coronavirus/covid-dashboard/85-tci-covid-19-dashboard-april-6-2020","Source")</f>
        <v>Source</v>
      </c>
      <c r="J190" s="28"/>
      <c r="K190" s="70" t="s">
        <v>27</v>
      </c>
      <c r="L190" s="59">
        <v>8.0</v>
      </c>
      <c r="M190" s="59">
        <v>1.0</v>
      </c>
      <c r="N190" s="33"/>
      <c r="O190" s="33"/>
      <c r="P190" s="33"/>
    </row>
    <row r="191" ht="30.0" customHeight="1">
      <c r="A191" s="37" t="s">
        <v>370</v>
      </c>
      <c r="B191" s="59">
        <v>8.0</v>
      </c>
      <c r="C191" s="43">
        <f t="shared" si="1"/>
        <v>1</v>
      </c>
      <c r="D191" s="59">
        <v>1.0</v>
      </c>
      <c r="E191" s="47">
        <f t="shared" si="2"/>
        <v>0</v>
      </c>
      <c r="F191" s="41">
        <f t="shared" si="3"/>
        <v>0.125</v>
      </c>
      <c r="G191" s="74" t="s">
        <v>24</v>
      </c>
      <c r="H191" s="74">
        <v>0.0</v>
      </c>
      <c r="I191" s="52" t="str">
        <f>HYPERLINK("https://covid19.bz/","Source")</f>
        <v>Source</v>
      </c>
      <c r="J191" s="28"/>
      <c r="K191" s="31"/>
      <c r="L191" s="59">
        <v>7.0</v>
      </c>
      <c r="M191" s="59">
        <v>1.0</v>
      </c>
      <c r="N191" s="33"/>
      <c r="O191" s="33"/>
      <c r="P191" s="33"/>
    </row>
    <row r="192" ht="30.0" customHeight="1">
      <c r="A192" s="37" t="s">
        <v>371</v>
      </c>
      <c r="B192" s="59">
        <v>7.0</v>
      </c>
      <c r="C192" s="43">
        <f t="shared" si="1"/>
        <v>0</v>
      </c>
      <c r="D192" s="59">
        <v>1.0</v>
      </c>
      <c r="E192" s="47">
        <f t="shared" si="2"/>
        <v>0</v>
      </c>
      <c r="F192" s="41">
        <f t="shared" si="3"/>
        <v>0.1428571429</v>
      </c>
      <c r="G192" s="74">
        <v>0.0</v>
      </c>
      <c r="H192" s="74">
        <v>0.0</v>
      </c>
      <c r="I192" s="52" t="str">
        <f>HYPERLINK("https://www.facebook.com/watch/?v=858748471266834","Source")</f>
        <v>Source</v>
      </c>
      <c r="J192" s="28"/>
      <c r="K192" s="31"/>
      <c r="L192" s="59">
        <v>7.0</v>
      </c>
      <c r="M192" s="59">
        <v>1.0</v>
      </c>
      <c r="N192" s="33"/>
      <c r="O192" s="33"/>
      <c r="P192" s="33"/>
    </row>
    <row r="193" ht="27.75" customHeight="1">
      <c r="A193" s="37" t="s">
        <v>372</v>
      </c>
      <c r="B193" s="161">
        <v>7.0</v>
      </c>
      <c r="C193" s="162">
        <f t="shared" si="1"/>
        <v>0</v>
      </c>
      <c r="D193" s="163">
        <v>0.0</v>
      </c>
      <c r="E193" s="164">
        <f t="shared" si="2"/>
        <v>0</v>
      </c>
      <c r="F193" s="41">
        <f t="shared" si="3"/>
        <v>0</v>
      </c>
      <c r="G193" s="74" t="s">
        <v>24</v>
      </c>
      <c r="H193" s="74" t="s">
        <v>24</v>
      </c>
      <c r="I193" s="52" t="str">
        <f>HYPERLINK("https://www.ilmessaggero.it/vaticano/vaticano_coronavirus_papa_francesco_san_pietro_dipendente_santa_sede_contagio-5148515.html","Source")</f>
        <v>Source</v>
      </c>
      <c r="J193" s="28"/>
      <c r="K193" s="31"/>
      <c r="L193" s="161">
        <v>7.0</v>
      </c>
      <c r="M193" s="163">
        <v>0.0</v>
      </c>
      <c r="N193" s="33"/>
      <c r="O193" s="34"/>
      <c r="P193" s="33"/>
    </row>
    <row r="194" ht="30.0" customHeight="1">
      <c r="A194" s="37" t="s">
        <v>373</v>
      </c>
      <c r="B194" s="59">
        <v>7.0</v>
      </c>
      <c r="C194" s="43">
        <f t="shared" si="1"/>
        <v>0</v>
      </c>
      <c r="D194" s="59">
        <v>0.0</v>
      </c>
      <c r="E194" s="47">
        <f t="shared" si="2"/>
        <v>0</v>
      </c>
      <c r="F194" s="41">
        <f t="shared" si="3"/>
        <v>0</v>
      </c>
      <c r="G194" s="74" t="s">
        <v>24</v>
      </c>
      <c r="H194" s="74">
        <v>1.0</v>
      </c>
      <c r="I194" s="52" t="str">
        <f>HYPERLINK("http://health.gov.vc/health/images/PDF/COVID_19_DASHBOARD.pdf","Source")</f>
        <v>Source</v>
      </c>
      <c r="J194" s="28"/>
      <c r="K194" s="31"/>
      <c r="L194" s="59">
        <v>7.0</v>
      </c>
      <c r="M194" s="59">
        <v>0.0</v>
      </c>
      <c r="N194" s="33"/>
      <c r="O194" s="33"/>
      <c r="P194" s="33"/>
    </row>
    <row r="195" ht="30.0" customHeight="1">
      <c r="A195" s="37" t="s">
        <v>374</v>
      </c>
      <c r="B195" s="59">
        <v>7.0</v>
      </c>
      <c r="C195" s="43">
        <f t="shared" si="1"/>
        <v>0</v>
      </c>
      <c r="D195" s="59">
        <v>0.0</v>
      </c>
      <c r="E195" s="47">
        <f t="shared" si="2"/>
        <v>0</v>
      </c>
      <c r="F195" s="63">
        <f t="shared" si="3"/>
        <v>0</v>
      </c>
      <c r="G195" s="74" t="s">
        <v>24</v>
      </c>
      <c r="H195" s="74">
        <v>1.0</v>
      </c>
      <c r="I195" s="52" t="str">
        <f>HYPERLINK("http://www.gov.ms/statement-by-minister-of-health-social-services-hon-charles-t-kirnon-two-new-confirmed-cases-of-covid-19/","Source")</f>
        <v>Source</v>
      </c>
      <c r="J195" s="28"/>
      <c r="K195" s="31"/>
      <c r="L195" s="59">
        <v>7.0</v>
      </c>
      <c r="M195" s="59">
        <v>0.0</v>
      </c>
      <c r="N195" s="33"/>
      <c r="O195" s="33"/>
      <c r="P195" s="33"/>
    </row>
    <row r="196" ht="30.0" customHeight="1">
      <c r="A196" s="37" t="s">
        <v>375</v>
      </c>
      <c r="B196" s="59">
        <v>6.0</v>
      </c>
      <c r="C196" s="43">
        <v>0.0</v>
      </c>
      <c r="D196" s="59">
        <v>0.0</v>
      </c>
      <c r="E196" s="47">
        <f t="shared" si="2"/>
        <v>0</v>
      </c>
      <c r="F196" s="63">
        <f t="shared" si="3"/>
        <v>0</v>
      </c>
      <c r="G196" s="74" t="s">
        <v>24</v>
      </c>
      <c r="H196" s="74">
        <v>4.0</v>
      </c>
      <c r="I196" s="52" t="str">
        <f>HYPERLINK("https://www.journaldesaintbarth.com/actualites/conseil-territorial/lobjectif-cest-de-rassurer-la-population-et-obtenir-la-levee-du-confinement--202004042028.html","Source")</f>
        <v>Source</v>
      </c>
      <c r="J196" s="28"/>
      <c r="K196" s="31"/>
      <c r="L196" s="59">
        <v>6.0</v>
      </c>
      <c r="M196" s="59">
        <v>0.0</v>
      </c>
      <c r="N196" s="33"/>
      <c r="O196" s="33"/>
      <c r="P196" s="33"/>
    </row>
    <row r="197" ht="30.0" customHeight="1">
      <c r="A197" s="37" t="s">
        <v>376</v>
      </c>
      <c r="B197" s="59">
        <v>6.0</v>
      </c>
      <c r="C197" s="43">
        <f t="shared" ref="C197:C209" si="4">MINUS(B197,L197)</f>
        <v>0</v>
      </c>
      <c r="D197" s="59">
        <v>1.0</v>
      </c>
      <c r="E197" s="47">
        <f t="shared" si="2"/>
        <v>0</v>
      </c>
      <c r="F197" s="63">
        <f t="shared" si="3"/>
        <v>0.1666666667</v>
      </c>
      <c r="G197" s="74">
        <v>0.0</v>
      </c>
      <c r="H197" s="74">
        <v>2.0</v>
      </c>
      <c r="I197" s="52" t="str">
        <f>HYPERLINK("http://www.sante.gov.mr/?p=3903","Source")</f>
        <v>Source</v>
      </c>
      <c r="J197" s="28"/>
      <c r="K197" s="31"/>
      <c r="L197" s="59">
        <v>6.0</v>
      </c>
      <c r="M197" s="59">
        <v>1.0</v>
      </c>
      <c r="N197" s="33"/>
      <c r="O197" s="33"/>
      <c r="P197" s="33"/>
    </row>
    <row r="198" ht="30.0" customHeight="1">
      <c r="A198" s="37" t="s">
        <v>377</v>
      </c>
      <c r="B198" s="59">
        <v>6.0</v>
      </c>
      <c r="C198" s="43">
        <f t="shared" si="4"/>
        <v>0</v>
      </c>
      <c r="D198" s="59">
        <v>0.0</v>
      </c>
      <c r="E198" s="47">
        <f t="shared" si="2"/>
        <v>0</v>
      </c>
      <c r="F198" s="41">
        <f t="shared" si="3"/>
        <v>0</v>
      </c>
      <c r="G198" s="74" t="s">
        <v>24</v>
      </c>
      <c r="H198" s="74" t="s">
        <v>24</v>
      </c>
      <c r="I198" s="52" t="str">
        <f>HYPERLINK("https://pbs.twimg.com/media/EU_bPchWAAAsSKc.jpg","Source")</f>
        <v>Source</v>
      </c>
      <c r="J198" s="28"/>
      <c r="K198" s="31"/>
      <c r="L198" s="59">
        <v>6.0</v>
      </c>
      <c r="M198" s="59">
        <v>0.0</v>
      </c>
      <c r="N198" s="33"/>
      <c r="O198" s="33"/>
      <c r="P198" s="33"/>
    </row>
    <row r="199" ht="30.0" customHeight="1">
      <c r="A199" s="37" t="s">
        <v>287</v>
      </c>
      <c r="B199" s="59">
        <v>6.0</v>
      </c>
      <c r="C199" s="43">
        <f t="shared" si="4"/>
        <v>0</v>
      </c>
      <c r="D199" s="59">
        <v>1.0</v>
      </c>
      <c r="E199" s="47">
        <f t="shared" si="2"/>
        <v>0</v>
      </c>
      <c r="F199" s="41">
        <f t="shared" si="3"/>
        <v>0.1666666667</v>
      </c>
      <c r="G199" s="74">
        <v>3.0</v>
      </c>
      <c r="H199" s="74">
        <v>2.0</v>
      </c>
      <c r="I199" s="52" t="str">
        <f>HYPERLINK("https://www.laprensa.com.ni/2020/04/07/nacionales/2660160-por-que-suben-los-casos-confirmados-de-coronavirus-y-bajan-los-sospechosos-en-nicaragua","Source")</f>
        <v>Source</v>
      </c>
      <c r="J199" s="28"/>
      <c r="K199" s="31"/>
      <c r="L199" s="59">
        <v>6.0</v>
      </c>
      <c r="M199" s="59">
        <v>1.0</v>
      </c>
      <c r="N199" s="33"/>
      <c r="O199" s="33"/>
      <c r="P199" s="33"/>
    </row>
    <row r="200" ht="27.75" customHeight="1">
      <c r="A200" s="37" t="s">
        <v>378</v>
      </c>
      <c r="B200" s="59">
        <v>5.0</v>
      </c>
      <c r="C200" s="162">
        <f t="shared" si="4"/>
        <v>0</v>
      </c>
      <c r="D200" s="59">
        <v>0.0</v>
      </c>
      <c r="E200" s="47">
        <f t="shared" si="2"/>
        <v>0</v>
      </c>
      <c r="F200" s="63">
        <f t="shared" si="3"/>
        <v>0</v>
      </c>
      <c r="G200" s="74" t="s">
        <v>24</v>
      </c>
      <c r="H200" s="74">
        <v>2.0</v>
      </c>
      <c r="I200" s="52" t="str">
        <f>HYPERLINK("http://www.bbs.bt/news/?p=130632","Source")</f>
        <v>Source</v>
      </c>
      <c r="J200" s="28"/>
      <c r="K200" s="31"/>
      <c r="L200" s="59">
        <v>5.0</v>
      </c>
      <c r="M200" s="59">
        <v>0.0</v>
      </c>
      <c r="N200" s="33"/>
      <c r="O200" s="33"/>
      <c r="P200" s="33"/>
    </row>
    <row r="201" ht="30.0" customHeight="1">
      <c r="A201" s="37" t="s">
        <v>379</v>
      </c>
      <c r="B201" s="59">
        <v>4.0</v>
      </c>
      <c r="C201" s="43">
        <f t="shared" si="4"/>
        <v>0</v>
      </c>
      <c r="D201" s="59">
        <v>1.0</v>
      </c>
      <c r="E201" s="47">
        <f t="shared" si="2"/>
        <v>0</v>
      </c>
      <c r="F201" s="41">
        <f t="shared" si="3"/>
        <v>0.25</v>
      </c>
      <c r="G201" s="74" t="s">
        <v>24</v>
      </c>
      <c r="H201" s="74">
        <v>2.0</v>
      </c>
      <c r="I201" s="52" t="str">
        <f>HYPERLINK("https://twitter.com/MohGambia/status/1247261278042836997","Source")</f>
        <v>Source</v>
      </c>
      <c r="J201" s="28"/>
      <c r="K201" s="70" t="s">
        <v>27</v>
      </c>
      <c r="L201" s="59">
        <v>4.0</v>
      </c>
      <c r="M201" s="59">
        <v>1.0</v>
      </c>
      <c r="N201" s="33"/>
      <c r="O201" s="33"/>
      <c r="P201" s="33"/>
    </row>
    <row r="202" ht="30.0" customHeight="1">
      <c r="A202" s="37" t="s">
        <v>380</v>
      </c>
      <c r="B202" s="59">
        <v>3.0</v>
      </c>
      <c r="C202" s="43">
        <f t="shared" si="4"/>
        <v>0</v>
      </c>
      <c r="D202" s="59">
        <v>0.0</v>
      </c>
      <c r="E202" s="47">
        <f t="shared" si="2"/>
        <v>0</v>
      </c>
      <c r="F202" s="41">
        <f t="shared" si="3"/>
        <v>0</v>
      </c>
      <c r="G202" s="74" t="s">
        <v>24</v>
      </c>
      <c r="H202" s="74">
        <v>0.0</v>
      </c>
      <c r="I202" s="52" t="str">
        <f>HYPERLINK("https://bvi.gov.vg/covid-19","Source")</f>
        <v>Source</v>
      </c>
      <c r="J202" s="28"/>
      <c r="K202" s="31"/>
      <c r="L202" s="59">
        <v>3.0</v>
      </c>
      <c r="M202" s="59">
        <v>0.0</v>
      </c>
      <c r="N202" s="33"/>
      <c r="O202" s="33"/>
      <c r="P202" s="33"/>
    </row>
    <row r="203" ht="30.0" customHeight="1">
      <c r="A203" s="37" t="s">
        <v>381</v>
      </c>
      <c r="B203" s="59">
        <v>3.0</v>
      </c>
      <c r="C203" s="43">
        <f t="shared" si="4"/>
        <v>0</v>
      </c>
      <c r="D203" s="59">
        <v>0.0</v>
      </c>
      <c r="E203" s="47">
        <f t="shared" si="2"/>
        <v>0</v>
      </c>
      <c r="F203" s="41">
        <f t="shared" si="3"/>
        <v>0</v>
      </c>
      <c r="G203" s="74" t="s">
        <v>24</v>
      </c>
      <c r="H203" s="74" t="s">
        <v>24</v>
      </c>
      <c r="I203" s="52" t="str">
        <f>HYPERLINK("https://www.facebook.com/theanguillian/posts/2309134635856368?__xts__[0]=68.ARD6m6DVTiW10I8zcspMCM9H2o8_rY6tMHPNZe24EP1zXZ_bu12_SbwrglEDf_CBClLoDqD4kbJg6wNCHv3KN8gWPgxbBUjjflUWO5Eejau4pMqkPm-5QbFrIARWcFZbrQVFywLtFz58IDfdUKJenyVkmWqIwAjBmE1BRC3Yt9THZK-4sCp"&amp;"CvWp_S_OhtnWc4abWsB_doQ-sgismmAm2nmVoxKMDezd4Y3IdpYuWSCdB4AGdiTWCwzs1ogSn-kPccs-WKq-YL-8MdKPP2xH4aiqy3Upac-6EGeDBwE0dnpt5A8DxoBiOKIdimYnSkq8zfpf9Hf_1P9wL2b5sNpf8xPfhvg&amp;__tn__=-R","Source")</f>
        <v>Source</v>
      </c>
      <c r="J203" s="28"/>
      <c r="K203" s="31"/>
      <c r="L203" s="59">
        <v>3.0</v>
      </c>
      <c r="M203" s="59">
        <v>0.0</v>
      </c>
      <c r="N203" s="33"/>
      <c r="O203" s="33"/>
      <c r="P203" s="33"/>
    </row>
    <row r="204" ht="30.0" customHeight="1">
      <c r="A204" s="37" t="s">
        <v>382</v>
      </c>
      <c r="B204" s="59">
        <v>3.0</v>
      </c>
      <c r="C204" s="43">
        <f t="shared" si="4"/>
        <v>0</v>
      </c>
      <c r="D204" s="59">
        <v>0.0</v>
      </c>
      <c r="E204" s="47">
        <f t="shared" si="2"/>
        <v>0</v>
      </c>
      <c r="F204" s="41">
        <f t="shared" si="3"/>
        <v>0</v>
      </c>
      <c r="G204" s="74" t="s">
        <v>24</v>
      </c>
      <c r="H204" s="74" t="s">
        <v>24</v>
      </c>
      <c r="I204" s="52" t="str">
        <f>HYPERLINK("https://www.iwacu-burundi.org/covid-19-le-burundi-enregistre-son-troisieme-cas/","Source")</f>
        <v>Source</v>
      </c>
      <c r="J204" s="28"/>
      <c r="K204" s="31"/>
      <c r="L204" s="59">
        <v>3.0</v>
      </c>
      <c r="M204" s="59">
        <v>0.0</v>
      </c>
      <c r="N204" s="33"/>
      <c r="O204" s="33"/>
      <c r="P204" s="33"/>
    </row>
    <row r="205" ht="30.0" customHeight="1">
      <c r="A205" s="37" t="s">
        <v>383</v>
      </c>
      <c r="B205" s="59">
        <v>2.0</v>
      </c>
      <c r="C205" s="43">
        <f t="shared" si="4"/>
        <v>0</v>
      </c>
      <c r="D205" s="59">
        <v>0.0</v>
      </c>
      <c r="E205" s="47">
        <f t="shared" si="2"/>
        <v>0</v>
      </c>
      <c r="F205" s="41">
        <f t="shared" si="3"/>
        <v>0</v>
      </c>
      <c r="G205" s="74">
        <v>0.0</v>
      </c>
      <c r="H205" s="74">
        <v>0.0</v>
      </c>
      <c r="I205" s="52" t="str">
        <f>HYPERLINK("https://twitter.com/FalklandsinUK/status/1246867711298351106","Source")</f>
        <v>Source</v>
      </c>
      <c r="J205" s="28"/>
      <c r="K205" s="31"/>
      <c r="L205" s="59">
        <v>2.0</v>
      </c>
      <c r="M205" s="59">
        <v>0.0</v>
      </c>
      <c r="N205" s="33"/>
      <c r="O205" s="33"/>
      <c r="P205" s="33"/>
    </row>
    <row r="206" ht="30.0" customHeight="1">
      <c r="A206" s="165" t="s">
        <v>384</v>
      </c>
      <c r="B206" s="166">
        <v>2.0</v>
      </c>
      <c r="C206" s="43">
        <f t="shared" si="4"/>
        <v>0</v>
      </c>
      <c r="D206" s="166">
        <v>0.0</v>
      </c>
      <c r="E206" s="47">
        <f t="shared" si="2"/>
        <v>0</v>
      </c>
      <c r="F206" s="167">
        <f t="shared" si="3"/>
        <v>0</v>
      </c>
      <c r="G206" s="168" t="s">
        <v>24</v>
      </c>
      <c r="H206" s="168">
        <v>0.0</v>
      </c>
      <c r="I206" s="169" t="str">
        <f>HYPERLINK("https://postcourier.com.pg/resident-in-kokopo-tests-positive-to-covid-19/","Source")</f>
        <v>Source</v>
      </c>
      <c r="J206" s="158"/>
      <c r="K206" s="170"/>
      <c r="L206" s="166">
        <v>2.0</v>
      </c>
      <c r="M206" s="166">
        <v>0.0</v>
      </c>
      <c r="N206" s="158"/>
      <c r="O206" s="158"/>
      <c r="P206" s="158"/>
    </row>
    <row r="207" ht="30.0" customHeight="1">
      <c r="A207" s="37" t="s">
        <v>385</v>
      </c>
      <c r="B207" s="59">
        <v>1.0</v>
      </c>
      <c r="C207" s="43">
        <f t="shared" si="4"/>
        <v>0</v>
      </c>
      <c r="D207" s="59">
        <v>0.0</v>
      </c>
      <c r="E207" s="47">
        <f t="shared" si="2"/>
        <v>0</v>
      </c>
      <c r="F207" s="63">
        <f t="shared" si="3"/>
        <v>0</v>
      </c>
      <c r="G207" s="74" t="s">
        <v>24</v>
      </c>
      <c r="H207" s="74" t="s">
        <v>24</v>
      </c>
      <c r="I207" s="52" t="str">
        <f>HYPERLINK("http://timor-leste.gov.tl/?p=24027&amp;lang=en&amp;n=1","Source")</f>
        <v>Source</v>
      </c>
      <c r="J207" s="28"/>
      <c r="K207" s="31"/>
      <c r="L207" s="59">
        <v>1.0</v>
      </c>
      <c r="M207" s="59">
        <v>0.0</v>
      </c>
      <c r="N207" s="33"/>
      <c r="O207" s="33"/>
      <c r="P207" s="33"/>
    </row>
    <row r="208" ht="30.0" customHeight="1">
      <c r="A208" s="37" t="s">
        <v>386</v>
      </c>
      <c r="B208" s="59">
        <v>1.0</v>
      </c>
      <c r="C208" s="43">
        <f t="shared" si="4"/>
        <v>0</v>
      </c>
      <c r="D208" s="59">
        <v>0.0</v>
      </c>
      <c r="E208" s="47">
        <f t="shared" si="2"/>
        <v>0</v>
      </c>
      <c r="F208" s="63">
        <f t="shared" si="3"/>
        <v>0</v>
      </c>
      <c r="G208" s="74" t="s">
        <v>24</v>
      </c>
      <c r="H208" s="74" t="s">
        <v>24</v>
      </c>
      <c r="I208" s="52" t="str">
        <f>HYPERLINK("https://uk.reuters.com/article/healthcare-coronavirus-southsudan/south-sudan-confirms-first-case-of-coronavirus-idUKL8N2BT05N","Source")</f>
        <v>Source</v>
      </c>
      <c r="J208" s="28"/>
      <c r="K208" s="31"/>
      <c r="L208" s="59">
        <v>1.0</v>
      </c>
      <c r="M208" s="59">
        <v>0.0</v>
      </c>
      <c r="N208" s="33"/>
      <c r="O208" s="33"/>
      <c r="P208" s="33"/>
    </row>
    <row r="209" ht="12.75" customHeight="1">
      <c r="A209" s="171" t="s">
        <v>387</v>
      </c>
      <c r="B209" s="172"/>
      <c r="C209" s="173">
        <f t="shared" si="4"/>
        <v>0</v>
      </c>
      <c r="D209" s="172"/>
      <c r="E209" s="174">
        <f t="shared" si="2"/>
        <v>0</v>
      </c>
      <c r="F209" s="175"/>
      <c r="G209" s="175"/>
      <c r="H209" s="175"/>
      <c r="I209" s="176"/>
      <c r="J209" s="49"/>
      <c r="K209" s="177"/>
      <c r="L209" s="172"/>
      <c r="M209" s="172"/>
      <c r="N209" s="49"/>
      <c r="O209" s="172">
        <v>4528.0</v>
      </c>
      <c r="P209" s="172">
        <v>126.0</v>
      </c>
    </row>
    <row r="210" ht="30.0" customHeight="1">
      <c r="A210" s="178" t="s">
        <v>52</v>
      </c>
      <c r="B210" s="179">
        <f>sum(B7:B209, O209)</f>
        <v>1607567</v>
      </c>
      <c r="C210" s="180">
        <f>SUM(C7:C209)</f>
        <v>87764</v>
      </c>
      <c r="D210" s="181">
        <f>sum(D7:D209, P209)</f>
        <v>95790</v>
      </c>
      <c r="E210" s="182">
        <f>SUM(E7:E209)</f>
        <v>7402</v>
      </c>
      <c r="F210" s="183">
        <f>DIVIDE(D210, B210)</f>
        <v>0.05958694101</v>
      </c>
      <c r="G210" s="184">
        <f t="shared" ref="G210:H210" si="5">sum(G7:G208)</f>
        <v>39415</v>
      </c>
      <c r="H210" s="185">
        <f t="shared" si="5"/>
        <v>360159</v>
      </c>
      <c r="I210" s="186"/>
      <c r="J210" s="28"/>
      <c r="K210" s="31"/>
      <c r="L210" s="179">
        <f>sum(L7:L209, Y209)</f>
        <v>1515275</v>
      </c>
      <c r="M210" s="187">
        <f>sum(M7:M209, Y209)</f>
        <v>88262</v>
      </c>
      <c r="N210" s="33"/>
      <c r="O210" s="33"/>
      <c r="P210" s="33"/>
    </row>
    <row r="211" ht="30.0" customHeight="1">
      <c r="A211" s="188"/>
      <c r="B211" s="189" t="s">
        <v>8</v>
      </c>
      <c r="C211" s="190" t="s">
        <v>9</v>
      </c>
      <c r="D211" s="191" t="s">
        <v>10</v>
      </c>
      <c r="E211" s="192" t="s">
        <v>11</v>
      </c>
      <c r="F211" s="192" t="s">
        <v>228</v>
      </c>
      <c r="G211" s="193" t="s">
        <v>14</v>
      </c>
      <c r="H211" s="194" t="s">
        <v>15</v>
      </c>
      <c r="I211" s="189"/>
      <c r="J211" s="96"/>
      <c r="K211" s="195"/>
      <c r="L211" s="189" t="s">
        <v>8</v>
      </c>
      <c r="M211" s="191" t="s">
        <v>10</v>
      </c>
      <c r="N211" s="96"/>
      <c r="O211" s="96"/>
      <c r="P211" s="96"/>
    </row>
  </sheetData>
  <mergeCells count="4">
    <mergeCell ref="C3:D3"/>
    <mergeCell ref="E3:G3"/>
    <mergeCell ref="C4:D4"/>
    <mergeCell ref="E4:F4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  <col customWidth="1" min="14" max="14" width="3.71"/>
  </cols>
  <sheetData>
    <row r="1" ht="27.75" customHeight="1">
      <c r="A1" s="1" t="s">
        <v>0</v>
      </c>
      <c r="I1" s="1"/>
      <c r="J1" s="6"/>
      <c r="K1" s="6"/>
      <c r="N1" s="6"/>
    </row>
    <row r="2">
      <c r="A2" s="3" t="s">
        <v>2</v>
      </c>
      <c r="B2" s="3" t="s">
        <v>3</v>
      </c>
      <c r="C2" s="5" t="s">
        <v>4</v>
      </c>
      <c r="D2" s="3"/>
      <c r="E2" s="7" t="s">
        <v>5</v>
      </c>
      <c r="H2" s="8"/>
      <c r="I2" s="9"/>
      <c r="J2" s="6"/>
      <c r="K2" s="6"/>
      <c r="L2" s="3" t="s">
        <v>3</v>
      </c>
      <c r="M2" s="3"/>
      <c r="N2" s="6"/>
    </row>
    <row r="3">
      <c r="A3" s="12">
        <f>SUM(B68, B70)</f>
        <v>467846</v>
      </c>
      <c r="B3" s="12">
        <f>SUM(D68, D70)</f>
        <v>16632</v>
      </c>
      <c r="C3" s="14">
        <f>SUM(H68, H70)</f>
        <v>27277</v>
      </c>
      <c r="D3" s="12"/>
      <c r="E3" s="15">
        <f>MINUS(A3,B3 + C3)</f>
        <v>423937</v>
      </c>
      <c r="F3" s="15"/>
      <c r="G3" s="5"/>
      <c r="H3" s="8"/>
      <c r="I3" s="9"/>
      <c r="J3" s="6"/>
      <c r="K3" s="6"/>
      <c r="L3" s="12">
        <f>SUM(N68, N70)</f>
        <v>0</v>
      </c>
      <c r="M3" s="12"/>
      <c r="N3" s="6"/>
    </row>
    <row r="4">
      <c r="A4" s="17"/>
      <c r="B4" s="9"/>
      <c r="C4" s="9"/>
      <c r="D4" s="9"/>
      <c r="E4" s="9"/>
      <c r="F4" s="8"/>
      <c r="G4" s="8"/>
      <c r="H4" s="8"/>
      <c r="I4" s="9"/>
      <c r="J4" s="6"/>
      <c r="K4" s="6"/>
      <c r="L4" s="9"/>
      <c r="M4" s="9"/>
      <c r="N4" s="6"/>
    </row>
    <row r="5" ht="30.0" customHeight="1">
      <c r="A5" s="19" t="s">
        <v>6</v>
      </c>
      <c r="B5" s="21" t="s">
        <v>8</v>
      </c>
      <c r="C5" s="23" t="s">
        <v>9</v>
      </c>
      <c r="D5" s="21" t="s">
        <v>10</v>
      </c>
      <c r="E5" s="24" t="s">
        <v>11</v>
      </c>
      <c r="F5" s="24" t="s">
        <v>13</v>
      </c>
      <c r="G5" s="26" t="s">
        <v>14</v>
      </c>
      <c r="H5" s="26" t="s">
        <v>15</v>
      </c>
      <c r="I5" s="21" t="s">
        <v>16</v>
      </c>
      <c r="J5" s="28"/>
      <c r="K5" s="28"/>
      <c r="L5" s="21" t="s">
        <v>8</v>
      </c>
      <c r="M5" s="21" t="s">
        <v>10</v>
      </c>
      <c r="N5" s="28"/>
    </row>
    <row r="6" ht="30.0" customHeight="1">
      <c r="A6" s="30" t="s">
        <v>17</v>
      </c>
      <c r="B6" s="32">
        <v>159937.0</v>
      </c>
      <c r="C6" s="35">
        <f t="shared" ref="C6:C66" si="1">MINUS(B6,L6)</f>
        <v>10621</v>
      </c>
      <c r="D6" s="32">
        <v>7067.0</v>
      </c>
      <c r="E6" s="38">
        <f t="shared" ref="E6:E66" si="2">MINUS(D6,M6)</f>
        <v>799</v>
      </c>
      <c r="F6" s="41">
        <f t="shared" ref="F6:F65" si="3">DIVIDE(D6, B6)</f>
        <v>0.0441861483</v>
      </c>
      <c r="G6" s="42">
        <v>4504.0</v>
      </c>
      <c r="H6" s="42">
        <v>13366.0</v>
      </c>
      <c r="I6" s="45" t="str">
        <f>HYPERLINK("https://covid19tracker.health.ny.gov/views/NYS-COVID19-Tracker/NYSDOHCOVID-19Tracker-Map?%3Aembed=yes&amp;%3Atoolbar=no&amp;%3Atabs=n","Source")</f>
        <v>Source</v>
      </c>
      <c r="J6" s="51"/>
      <c r="K6" s="28"/>
      <c r="L6" s="32">
        <v>149316.0</v>
      </c>
      <c r="M6" s="32">
        <v>6268.0</v>
      </c>
      <c r="N6" s="28"/>
    </row>
    <row r="7" ht="27.75" customHeight="1">
      <c r="A7" s="58" t="s">
        <v>21</v>
      </c>
      <c r="B7" s="60">
        <v>51027.0</v>
      </c>
      <c r="C7" s="35">
        <f t="shared" si="1"/>
        <v>3590</v>
      </c>
      <c r="D7" s="60">
        <v>1700.0</v>
      </c>
      <c r="E7" s="38">
        <f t="shared" si="2"/>
        <v>196</v>
      </c>
      <c r="F7" s="63">
        <f t="shared" si="3"/>
        <v>0.03331569561</v>
      </c>
      <c r="G7" s="65" t="s">
        <v>24</v>
      </c>
      <c r="H7" s="66">
        <v>2443.0</v>
      </c>
      <c r="I7" s="69" t="str">
        <f>HYPERLINK("https://twitter.com/GovMurphy/status/1247933331146227715","Source")</f>
        <v>Source</v>
      </c>
      <c r="J7" s="51"/>
      <c r="K7" s="70" t="s">
        <v>27</v>
      </c>
      <c r="L7" s="60">
        <v>47437.0</v>
      </c>
      <c r="M7" s="60">
        <v>1504.0</v>
      </c>
      <c r="N7" s="70"/>
    </row>
    <row r="8" ht="27.75" customHeight="1">
      <c r="A8" s="58" t="s">
        <v>28</v>
      </c>
      <c r="B8" s="60">
        <v>21504.0</v>
      </c>
      <c r="C8" s="35">
        <f t="shared" si="1"/>
        <v>1158</v>
      </c>
      <c r="D8" s="60">
        <v>1076.0</v>
      </c>
      <c r="E8" s="38">
        <f t="shared" si="2"/>
        <v>117</v>
      </c>
      <c r="F8" s="41">
        <f t="shared" si="3"/>
        <v>0.05003720238</v>
      </c>
      <c r="G8" s="65" t="s">
        <v>24</v>
      </c>
      <c r="H8" s="65">
        <v>946.0</v>
      </c>
      <c r="I8" s="69" t="str">
        <f>HYPERLINK("https://www.michigan.gov/coronavirus/0,9753,7-406-98163_98173---,00.html","Source")</f>
        <v>Source</v>
      </c>
      <c r="J8" s="28"/>
      <c r="K8" s="70" t="s">
        <v>27</v>
      </c>
      <c r="L8" s="60">
        <v>20346.0</v>
      </c>
      <c r="M8" s="71">
        <v>959.0</v>
      </c>
      <c r="N8" s="70"/>
    </row>
    <row r="9" ht="30.0" customHeight="1">
      <c r="A9" s="36" t="s">
        <v>31</v>
      </c>
      <c r="B9" s="39">
        <v>20204.0</v>
      </c>
      <c r="C9" s="35">
        <f t="shared" si="1"/>
        <v>1173</v>
      </c>
      <c r="D9" s="53">
        <v>547.0</v>
      </c>
      <c r="E9" s="55">
        <f t="shared" si="2"/>
        <v>42</v>
      </c>
      <c r="F9" s="63">
        <f t="shared" si="3"/>
        <v>0.02707384676</v>
      </c>
      <c r="G9" s="66">
        <v>1154.0</v>
      </c>
      <c r="H9" s="44">
        <v>1935.0</v>
      </c>
      <c r="I9" s="48" t="str">
        <f>HYPERLINK("https://www.latimes.com/projects/california-coronavirus-cases-tracking-outbreak/","Source")</f>
        <v>Source</v>
      </c>
      <c r="J9" s="67"/>
      <c r="K9" s="70" t="s">
        <v>34</v>
      </c>
      <c r="L9" s="39">
        <v>19031.0</v>
      </c>
      <c r="M9" s="53">
        <v>505.0</v>
      </c>
      <c r="N9" s="70"/>
    </row>
    <row r="10" ht="27.75" customHeight="1">
      <c r="A10" s="58" t="s">
        <v>35</v>
      </c>
      <c r="B10" s="60">
        <v>18941.0</v>
      </c>
      <c r="C10" s="35">
        <f t="shared" si="1"/>
        <v>2151</v>
      </c>
      <c r="D10" s="71">
        <v>503.0</v>
      </c>
      <c r="E10" s="55">
        <f t="shared" si="2"/>
        <v>70</v>
      </c>
      <c r="F10" s="63">
        <f t="shared" si="3"/>
        <v>0.02655614804</v>
      </c>
      <c r="G10" s="65" t="s">
        <v>24</v>
      </c>
      <c r="H10" s="65">
        <v>421.0</v>
      </c>
      <c r="I10" s="69" t="str">
        <f>HYPERLINK("https://www.mass.gov/doc/covid-19-cases-in-massachusetts-as-of-april-8-2020/download","Source")</f>
        <v>Source</v>
      </c>
      <c r="J10" s="28"/>
      <c r="K10" s="70" t="s">
        <v>27</v>
      </c>
      <c r="L10" s="60">
        <v>16790.0</v>
      </c>
      <c r="M10" s="71">
        <v>433.0</v>
      </c>
      <c r="N10" s="70"/>
    </row>
    <row r="11" ht="27.75" customHeight="1">
      <c r="A11" s="58" t="s">
        <v>38</v>
      </c>
      <c r="B11" s="60">
        <v>18470.0</v>
      </c>
      <c r="C11" s="35">
        <f t="shared" si="1"/>
        <v>1910</v>
      </c>
      <c r="D11" s="71">
        <v>338.0</v>
      </c>
      <c r="E11" s="55">
        <f t="shared" si="2"/>
        <v>28</v>
      </c>
      <c r="F11" s="63">
        <f t="shared" si="3"/>
        <v>0.01829994586</v>
      </c>
      <c r="G11" s="65" t="s">
        <v>24</v>
      </c>
      <c r="H11" s="65">
        <v>404.0</v>
      </c>
      <c r="I11" s="69" t="str">
        <f>HYPERLINK("https://public.flourish.studio/visualisation/1658682/?utm_source=embed&amp;utm_campaign=visualisation/1658682","Source")</f>
        <v>Source</v>
      </c>
      <c r="J11" s="67"/>
      <c r="K11" s="70" t="s">
        <v>27</v>
      </c>
      <c r="L11" s="60">
        <v>16560.0</v>
      </c>
      <c r="M11" s="71">
        <v>310.0</v>
      </c>
      <c r="N11" s="70"/>
    </row>
    <row r="12" ht="27.75" customHeight="1">
      <c r="A12" s="58" t="s">
        <v>40</v>
      </c>
      <c r="B12" s="60">
        <v>18283.0</v>
      </c>
      <c r="C12" s="35">
        <f t="shared" si="1"/>
        <v>1253</v>
      </c>
      <c r="D12" s="71">
        <v>702.0</v>
      </c>
      <c r="E12" s="55">
        <f t="shared" si="2"/>
        <v>50</v>
      </c>
      <c r="F12" s="41">
        <f t="shared" si="3"/>
        <v>0.03839632445</v>
      </c>
      <c r="G12" s="66">
        <v>473.0</v>
      </c>
      <c r="H12" s="65">
        <v>806.0</v>
      </c>
      <c r="I12" s="69" t="str">
        <f>HYPERLINK("http://ldh.la.gov/coronavirus/","Source")</f>
        <v>Source</v>
      </c>
      <c r="J12" s="51"/>
      <c r="K12" s="28"/>
      <c r="L12" s="60">
        <v>17030.0</v>
      </c>
      <c r="M12" s="71">
        <v>652.0</v>
      </c>
      <c r="N12" s="28"/>
    </row>
    <row r="13" ht="30.0" customHeight="1">
      <c r="A13" s="36" t="s">
        <v>43</v>
      </c>
      <c r="B13" s="39">
        <v>16826.0</v>
      </c>
      <c r="C13" s="35">
        <f t="shared" si="1"/>
        <v>1128</v>
      </c>
      <c r="D13" s="53">
        <v>371.0</v>
      </c>
      <c r="E13" s="55">
        <f t="shared" si="2"/>
        <v>48</v>
      </c>
      <c r="F13" s="41">
        <f t="shared" si="3"/>
        <v>0.02204920956</v>
      </c>
      <c r="G13" s="65" t="s">
        <v>24</v>
      </c>
      <c r="H13" s="66">
        <v>1116.0</v>
      </c>
      <c r="I13" s="48" t="str">
        <f>HYPERLINK("https://experience.arcgis.com/experience/96dd742462124fa0b38ddedb9b25e429","Source")</f>
        <v>Source</v>
      </c>
      <c r="J13" s="67"/>
      <c r="K13" s="70" t="s">
        <v>34</v>
      </c>
      <c r="L13" s="39">
        <v>15698.0</v>
      </c>
      <c r="M13" s="53">
        <v>323.0</v>
      </c>
      <c r="N13" s="70"/>
    </row>
    <row r="14" ht="27.75" customHeight="1">
      <c r="A14" s="58" t="s">
        <v>46</v>
      </c>
      <c r="B14" s="60">
        <v>16422.0</v>
      </c>
      <c r="C14" s="35">
        <f t="shared" si="1"/>
        <v>1344</v>
      </c>
      <c r="D14" s="71">
        <v>528.0</v>
      </c>
      <c r="E14" s="55">
        <f t="shared" si="2"/>
        <v>66</v>
      </c>
      <c r="F14" s="41">
        <f t="shared" si="3"/>
        <v>0.03215199123</v>
      </c>
      <c r="G14" s="65" t="s">
        <v>24</v>
      </c>
      <c r="H14" s="65">
        <v>2.0</v>
      </c>
      <c r="I14" s="69" t="str">
        <f>HYPERLINK("http://www.dph.illinois.gov/topics-services/diseases-and-conditions/diseases-a-z-list/coronavirus","Source")</f>
        <v>Source</v>
      </c>
      <c r="J14" s="28"/>
      <c r="K14" s="70" t="s">
        <v>27</v>
      </c>
      <c r="L14" s="60">
        <v>15078.0</v>
      </c>
      <c r="M14" s="71">
        <v>462.0</v>
      </c>
      <c r="N14" s="70"/>
    </row>
    <row r="15" ht="30.0" customHeight="1">
      <c r="A15" s="36" t="s">
        <v>49</v>
      </c>
      <c r="B15" s="39">
        <v>11376.0</v>
      </c>
      <c r="C15" s="35">
        <f t="shared" si="1"/>
        <v>2023</v>
      </c>
      <c r="D15" s="53">
        <v>219.0</v>
      </c>
      <c r="E15" s="55">
        <f t="shared" si="2"/>
        <v>42</v>
      </c>
      <c r="F15" s="63">
        <f t="shared" si="3"/>
        <v>0.01925105485</v>
      </c>
      <c r="G15" s="46" t="s">
        <v>24</v>
      </c>
      <c r="H15" s="66">
        <v>1101.0</v>
      </c>
      <c r="I15" s="48" t="str">
        <f>HYPERLINK("https://txdshs.maps.arcgis.com/apps/opsdashboard/index.html#/ed483ecd702b4298ab01e8b9cafc8b83","Source")</f>
        <v>Source</v>
      </c>
      <c r="J15" s="67"/>
      <c r="K15" s="28"/>
      <c r="L15" s="39">
        <v>9353.0</v>
      </c>
      <c r="M15" s="53">
        <v>177.0</v>
      </c>
      <c r="N15" s="28"/>
    </row>
    <row r="16" ht="30.0" customHeight="1">
      <c r="A16" s="58" t="s">
        <v>51</v>
      </c>
      <c r="B16" s="60">
        <v>10885.0</v>
      </c>
      <c r="C16" s="35">
        <f t="shared" si="1"/>
        <v>681</v>
      </c>
      <c r="D16" s="71">
        <v>412.0</v>
      </c>
      <c r="E16" s="55">
        <f t="shared" si="2"/>
        <v>42</v>
      </c>
      <c r="F16" s="41">
        <f t="shared" si="3"/>
        <v>0.03785025264</v>
      </c>
      <c r="G16" s="65" t="s">
        <v>24</v>
      </c>
      <c r="H16" s="65" t="s">
        <v>24</v>
      </c>
      <c r="I16" s="69" t="str">
        <f>HYPERLINK("https://dph.georgia.gov/covid-19-daily-status-report","Source")</f>
        <v>Source</v>
      </c>
      <c r="J16" s="67"/>
      <c r="K16" s="70" t="s">
        <v>54</v>
      </c>
      <c r="L16" s="60">
        <v>10204.0</v>
      </c>
      <c r="M16" s="71">
        <v>370.0</v>
      </c>
      <c r="N16" s="70"/>
    </row>
    <row r="17" ht="30.0" customHeight="1">
      <c r="A17" s="58" t="s">
        <v>55</v>
      </c>
      <c r="B17" s="60">
        <v>9945.0</v>
      </c>
      <c r="C17" s="35">
        <f t="shared" si="1"/>
        <v>524</v>
      </c>
      <c r="D17" s="71">
        <v>456.0</v>
      </c>
      <c r="E17" s="55">
        <f t="shared" si="2"/>
        <v>28</v>
      </c>
      <c r="F17" s="63">
        <f t="shared" si="3"/>
        <v>0.04585218703</v>
      </c>
      <c r="G17" s="65" t="s">
        <v>24</v>
      </c>
      <c r="H17" s="66">
        <v>1020.0</v>
      </c>
      <c r="I17" s="85"/>
      <c r="J17" s="28"/>
      <c r="K17" s="70" t="s">
        <v>27</v>
      </c>
      <c r="L17" s="60">
        <v>9421.0</v>
      </c>
      <c r="M17" s="71">
        <v>428.0</v>
      </c>
      <c r="N17" s="70"/>
    </row>
    <row r="18" ht="27.75" customHeight="1">
      <c r="A18" s="58" t="s">
        <v>57</v>
      </c>
      <c r="B18" s="60">
        <v>9784.0</v>
      </c>
      <c r="C18" s="35">
        <f t="shared" si="1"/>
        <v>1003</v>
      </c>
      <c r="D18" s="71">
        <v>380.0</v>
      </c>
      <c r="E18" s="55">
        <f t="shared" si="2"/>
        <v>45</v>
      </c>
      <c r="F18" s="41">
        <f t="shared" si="3"/>
        <v>0.03883892069</v>
      </c>
      <c r="G18" s="65" t="s">
        <v>24</v>
      </c>
      <c r="H18" s="65" t="s">
        <v>24</v>
      </c>
      <c r="I18" s="69" t="str">
        <f>HYPERLINK("https://portal.ct.gov/-/media/Coronavirus/CTDPHCOVID19summary4082020.pdf?la=en","Source")</f>
        <v>Source</v>
      </c>
      <c r="J18" s="28"/>
      <c r="K18" s="70" t="s">
        <v>27</v>
      </c>
      <c r="L18" s="60">
        <v>8781.0</v>
      </c>
      <c r="M18" s="71">
        <v>335.0</v>
      </c>
      <c r="N18" s="70"/>
    </row>
    <row r="19" ht="30.0" customHeight="1">
      <c r="A19" s="36" t="s">
        <v>59</v>
      </c>
      <c r="B19" s="39">
        <v>6351.0</v>
      </c>
      <c r="C19" s="35">
        <f t="shared" si="1"/>
        <v>408</v>
      </c>
      <c r="D19" s="39">
        <v>245.0</v>
      </c>
      <c r="E19" s="38">
        <f t="shared" si="2"/>
        <v>42</v>
      </c>
      <c r="F19" s="63">
        <f t="shared" si="3"/>
        <v>0.03857660211</v>
      </c>
      <c r="G19" s="44" t="s">
        <v>24</v>
      </c>
      <c r="H19" s="65" t="s">
        <v>24</v>
      </c>
      <c r="I19" s="48" t="str">
        <f>HYPERLINK("https://twitter.com/StateHealthIN/status/1248250283282448384","Source")</f>
        <v>Source</v>
      </c>
      <c r="J19" s="51"/>
      <c r="K19" s="70" t="s">
        <v>27</v>
      </c>
      <c r="L19" s="39">
        <v>5943.0</v>
      </c>
      <c r="M19" s="39">
        <v>203.0</v>
      </c>
      <c r="N19" s="70"/>
    </row>
    <row r="20" ht="27.75" customHeight="1">
      <c r="A20" s="58" t="s">
        <v>61</v>
      </c>
      <c r="B20" s="60">
        <v>6202.0</v>
      </c>
      <c r="C20" s="35">
        <f t="shared" si="1"/>
        <v>547</v>
      </c>
      <c r="D20" s="71">
        <v>226.0</v>
      </c>
      <c r="E20" s="55">
        <f t="shared" si="2"/>
        <v>33</v>
      </c>
      <c r="F20" s="41">
        <f t="shared" si="3"/>
        <v>0.03643985811</v>
      </c>
      <c r="G20" s="65" t="s">
        <v>24</v>
      </c>
      <c r="H20" s="65" t="s">
        <v>24</v>
      </c>
      <c r="I20" s="69" t="str">
        <f>HYPERLINK("https://twitter.com/JoeStGeorge/status/1247254653105995777","Source")</f>
        <v>Source</v>
      </c>
      <c r="J20" s="28"/>
      <c r="K20" s="28"/>
      <c r="L20" s="60">
        <v>5655.0</v>
      </c>
      <c r="M20" s="71">
        <v>193.0</v>
      </c>
      <c r="N20" s="28"/>
    </row>
    <row r="21" ht="27.75" customHeight="1">
      <c r="A21" s="58" t="s">
        <v>63</v>
      </c>
      <c r="B21" s="60">
        <v>6185.0</v>
      </c>
      <c r="C21" s="35">
        <f t="shared" si="1"/>
        <v>656</v>
      </c>
      <c r="D21" s="71">
        <v>138.0</v>
      </c>
      <c r="E21" s="55">
        <f t="shared" si="2"/>
        <v>14</v>
      </c>
      <c r="F21" s="41">
        <f t="shared" si="3"/>
        <v>0.02231204527</v>
      </c>
      <c r="G21" s="44" t="s">
        <v>24</v>
      </c>
      <c r="H21" s="65">
        <v>376.0</v>
      </c>
      <c r="I21" s="69" t="str">
        <f>HYPERLINK("https://coronavirus.maryland.gov/","Source")</f>
        <v>Source</v>
      </c>
      <c r="J21" s="51"/>
      <c r="K21" s="70" t="s">
        <v>27</v>
      </c>
      <c r="L21" s="60">
        <v>5529.0</v>
      </c>
      <c r="M21" s="71">
        <v>124.0</v>
      </c>
      <c r="N21" s="70"/>
    </row>
    <row r="22" ht="27.75" customHeight="1">
      <c r="A22" s="58" t="s">
        <v>65</v>
      </c>
      <c r="B22" s="60">
        <v>5512.0</v>
      </c>
      <c r="C22" s="35">
        <f t="shared" si="1"/>
        <v>364</v>
      </c>
      <c r="D22" s="71">
        <v>213.0</v>
      </c>
      <c r="E22" s="55">
        <f t="shared" si="2"/>
        <v>20</v>
      </c>
      <c r="F22" s="63">
        <f t="shared" si="3"/>
        <v>0.03864296081</v>
      </c>
      <c r="G22" s="65">
        <v>472.0</v>
      </c>
      <c r="H22" s="65" t="s">
        <v>24</v>
      </c>
      <c r="I22" s="69" t="str">
        <f>HYPERLINK("https://coronavirus.ohio.gov/wps/portal/gov/covid-19/home","Source")</f>
        <v>Source</v>
      </c>
      <c r="J22" s="28"/>
      <c r="K22" s="28"/>
      <c r="L22" s="60">
        <v>5148.0</v>
      </c>
      <c r="M22" s="71">
        <v>193.0</v>
      </c>
      <c r="N22" s="28"/>
    </row>
    <row r="23" ht="27.75" customHeight="1">
      <c r="A23" s="58" t="s">
        <v>68</v>
      </c>
      <c r="B23" s="60">
        <v>4634.0</v>
      </c>
      <c r="C23" s="35">
        <f t="shared" si="1"/>
        <v>272</v>
      </c>
      <c r="D23" s="71">
        <v>94.0</v>
      </c>
      <c r="E23" s="55">
        <f t="shared" si="2"/>
        <v>15</v>
      </c>
      <c r="F23" s="63">
        <f t="shared" si="3"/>
        <v>0.0202848511</v>
      </c>
      <c r="G23" s="65" t="s">
        <v>24</v>
      </c>
      <c r="H23" s="65">
        <v>356.0</v>
      </c>
      <c r="I23" s="69" t="str">
        <f>HYPERLINK("https://www.tn.gov/health/cedep/ncov.html","Source")</f>
        <v>Source</v>
      </c>
      <c r="J23" s="28"/>
      <c r="K23" s="28"/>
      <c r="L23" s="60">
        <v>4362.0</v>
      </c>
      <c r="M23" s="71">
        <v>79.0</v>
      </c>
      <c r="N23" s="28"/>
    </row>
    <row r="24" ht="30.0" customHeight="1">
      <c r="A24" s="36" t="s">
        <v>70</v>
      </c>
      <c r="B24" s="39">
        <v>4042.0</v>
      </c>
      <c r="C24" s="35">
        <f t="shared" si="1"/>
        <v>397</v>
      </c>
      <c r="D24" s="39">
        <v>109.0</v>
      </c>
      <c r="E24" s="38">
        <f t="shared" si="2"/>
        <v>34</v>
      </c>
      <c r="F24" s="41">
        <f t="shared" si="3"/>
        <v>0.0269668481</v>
      </c>
      <c r="G24" s="44" t="s">
        <v>24</v>
      </c>
      <c r="H24" s="65" t="s">
        <v>24</v>
      </c>
      <c r="I24" s="48" t="str">
        <f>HYPERLINK("http://www.vdh.virginia.gov/coronavirus/","Source")</f>
        <v>Source</v>
      </c>
      <c r="J24" s="28"/>
      <c r="K24" s="70" t="s">
        <v>27</v>
      </c>
      <c r="L24" s="39">
        <v>3645.0</v>
      </c>
      <c r="M24" s="39">
        <v>75.0</v>
      </c>
      <c r="N24" s="70"/>
    </row>
    <row r="25" ht="30.0" customHeight="1">
      <c r="A25" s="36" t="s">
        <v>74</v>
      </c>
      <c r="B25" s="39">
        <v>3823.0</v>
      </c>
      <c r="C25" s="35">
        <f t="shared" si="1"/>
        <v>254</v>
      </c>
      <c r="D25" s="39">
        <v>75.0</v>
      </c>
      <c r="E25" s="38">
        <f t="shared" si="2"/>
        <v>12</v>
      </c>
      <c r="F25" s="63">
        <f t="shared" si="3"/>
        <v>0.01961810097</v>
      </c>
      <c r="G25" s="44" t="s">
        <v>24</v>
      </c>
      <c r="H25" s="65" t="s">
        <v>24</v>
      </c>
      <c r="I25" s="48" t="str">
        <f>HYPERLINK("https://www.newsobserver.com/news/local/article241168731.html","Source")</f>
        <v>Source</v>
      </c>
      <c r="J25" s="67"/>
      <c r="K25" s="76"/>
      <c r="L25" s="39">
        <v>3569.0</v>
      </c>
      <c r="M25" s="39">
        <v>63.0</v>
      </c>
      <c r="N25" s="28"/>
    </row>
    <row r="26" ht="30.0" customHeight="1">
      <c r="A26" s="36" t="s">
        <v>76</v>
      </c>
      <c r="B26" s="39">
        <v>3584.0</v>
      </c>
      <c r="C26" s="35">
        <f t="shared" si="1"/>
        <v>198</v>
      </c>
      <c r="D26" s="39">
        <v>93.0</v>
      </c>
      <c r="E26" s="38">
        <f t="shared" si="2"/>
        <v>0</v>
      </c>
      <c r="F26" s="41">
        <f t="shared" si="3"/>
        <v>0.02594866071</v>
      </c>
      <c r="G26" s="44" t="s">
        <v>24</v>
      </c>
      <c r="H26" s="65" t="s">
        <v>24</v>
      </c>
      <c r="I26" s="48" t="str">
        <f>HYPERLINK("https://www.kshb.com/news/coronavirus/covid-19-case-tracker-where-we-stand-in-mo-ks-nationwide","Source")</f>
        <v>Source</v>
      </c>
      <c r="J26" s="67"/>
      <c r="K26" s="28"/>
      <c r="L26" s="39">
        <v>3386.0</v>
      </c>
      <c r="M26" s="39">
        <v>93.0</v>
      </c>
      <c r="N26" s="28"/>
    </row>
    <row r="27" ht="30.0" customHeight="1">
      <c r="A27" s="36" t="s">
        <v>78</v>
      </c>
      <c r="B27" s="39">
        <v>3132.0</v>
      </c>
      <c r="C27" s="35">
        <f t="shared" si="1"/>
        <v>0</v>
      </c>
      <c r="D27" s="39">
        <v>8.0</v>
      </c>
      <c r="E27" s="38">
        <f t="shared" si="2"/>
        <v>0</v>
      </c>
      <c r="F27" s="63">
        <f t="shared" si="3"/>
        <v>0.002554278416</v>
      </c>
      <c r="G27" s="44" t="s">
        <v>24</v>
      </c>
      <c r="H27" s="65">
        <v>205.0</v>
      </c>
      <c r="I27" s="48" t="str">
        <f>HYPERLINK("https://twitter.com/TaraCopp/status/1248246842896158720","Source")</f>
        <v>Source</v>
      </c>
      <c r="J27" s="28"/>
      <c r="K27" s="28"/>
      <c r="L27" s="39">
        <v>3132.0</v>
      </c>
      <c r="M27" s="39">
        <v>8.0</v>
      </c>
      <c r="N27" s="28"/>
    </row>
    <row r="28" ht="27.75" customHeight="1">
      <c r="A28" s="58" t="s">
        <v>82</v>
      </c>
      <c r="B28" s="60">
        <v>3018.0</v>
      </c>
      <c r="C28" s="35">
        <f t="shared" si="1"/>
        <v>292</v>
      </c>
      <c r="D28" s="71">
        <v>89.0</v>
      </c>
      <c r="E28" s="55">
        <f t="shared" si="2"/>
        <v>9</v>
      </c>
      <c r="F28" s="41">
        <f t="shared" si="3"/>
        <v>0.0294897283</v>
      </c>
      <c r="G28" s="44" t="s">
        <v>24</v>
      </c>
      <c r="H28" s="65" t="s">
        <v>24</v>
      </c>
      <c r="I28" s="69" t="str">
        <f>HYPERLINK("https://www.azdhs.gov/preparedness/epidemiology-disease-control/infectious-disease-epidemiology/index.php#novel-coronavirus-home","Source")</f>
        <v>Source</v>
      </c>
      <c r="J28" s="28"/>
      <c r="K28" s="28"/>
      <c r="L28" s="60">
        <v>2726.0</v>
      </c>
      <c r="M28" s="71">
        <v>80.0</v>
      </c>
      <c r="N28" s="28"/>
    </row>
    <row r="29" ht="27.75" customHeight="1">
      <c r="A29" s="58" t="s">
        <v>84</v>
      </c>
      <c r="B29" s="60">
        <v>2885.0</v>
      </c>
      <c r="C29" s="35">
        <f t="shared" si="1"/>
        <v>129</v>
      </c>
      <c r="D29" s="71">
        <v>111.0</v>
      </c>
      <c r="E29" s="55">
        <f t="shared" si="2"/>
        <v>12</v>
      </c>
      <c r="F29" s="63">
        <f t="shared" si="3"/>
        <v>0.03847487002</v>
      </c>
      <c r="G29" s="44" t="s">
        <v>24</v>
      </c>
      <c r="H29" s="65">
        <v>16.0</v>
      </c>
      <c r="I29" s="69" t="str">
        <f>HYPERLINK("https://www.dhs.wisconsin.gov/outbreaks/index.htm","Source")</f>
        <v>Source</v>
      </c>
      <c r="J29" s="28"/>
      <c r="K29" s="28"/>
      <c r="L29" s="60">
        <v>2756.0</v>
      </c>
      <c r="M29" s="71">
        <v>99.0</v>
      </c>
      <c r="N29" s="28"/>
    </row>
    <row r="30" ht="27.75" customHeight="1">
      <c r="A30" s="58" t="s">
        <v>87</v>
      </c>
      <c r="B30" s="60">
        <v>2838.0</v>
      </c>
      <c r="C30" s="35">
        <f t="shared" si="1"/>
        <v>339</v>
      </c>
      <c r="D30" s="71">
        <v>48.0</v>
      </c>
      <c r="E30" s="55">
        <f t="shared" si="2"/>
        <v>0</v>
      </c>
      <c r="F30" s="41">
        <f t="shared" si="3"/>
        <v>0.01691331924</v>
      </c>
      <c r="G30" s="44" t="s">
        <v>24</v>
      </c>
      <c r="H30" s="65" t="s">
        <v>24</v>
      </c>
      <c r="I30" s="69" t="str">
        <f>HYPERLINK("https://alpublichealth.maps.arcgis.com/apps/opsdashboard/index.html#/6d2771faa9da4a2786a509d82c8cf0f7","Source")</f>
        <v>Source</v>
      </c>
      <c r="J30" s="67"/>
      <c r="K30" s="70" t="s">
        <v>34</v>
      </c>
      <c r="L30" s="60">
        <v>2499.0</v>
      </c>
      <c r="M30" s="71">
        <v>48.0</v>
      </c>
      <c r="N30" s="70"/>
    </row>
    <row r="31" ht="30.0" customHeight="1">
      <c r="A31" s="36" t="s">
        <v>90</v>
      </c>
      <c r="B31" s="39">
        <v>2792.0</v>
      </c>
      <c r="C31" s="35">
        <f t="shared" si="1"/>
        <v>240</v>
      </c>
      <c r="D31" s="39">
        <v>67.0</v>
      </c>
      <c r="E31" s="38">
        <f t="shared" si="2"/>
        <v>4</v>
      </c>
      <c r="F31" s="41">
        <f t="shared" si="3"/>
        <v>0.02399713467</v>
      </c>
      <c r="G31" s="44" t="s">
        <v>24</v>
      </c>
      <c r="H31" s="65" t="s">
        <v>24</v>
      </c>
      <c r="I31" s="48" t="str">
        <f>HYPERLINK("https://scdhec.gov/infectious-diseases/viruses/coronavirus-disease-2019-covid-19/testing-sc-data-covid-19","Source")</f>
        <v>Source</v>
      </c>
      <c r="J31" s="28"/>
      <c r="K31" s="70" t="s">
        <v>27</v>
      </c>
      <c r="L31" s="39">
        <v>2552.0</v>
      </c>
      <c r="M31" s="39">
        <v>63.0</v>
      </c>
      <c r="N31" s="70"/>
    </row>
    <row r="32" ht="27.75" customHeight="1">
      <c r="A32" s="58" t="s">
        <v>93</v>
      </c>
      <c r="B32" s="60">
        <v>2456.0</v>
      </c>
      <c r="C32" s="35">
        <f t="shared" si="1"/>
        <v>138</v>
      </c>
      <c r="D32" s="71">
        <v>86.0</v>
      </c>
      <c r="E32" s="55">
        <f t="shared" si="2"/>
        <v>6</v>
      </c>
      <c r="F32" s="63">
        <f t="shared" si="3"/>
        <v>0.03501628664</v>
      </c>
      <c r="G32" s="44" t="s">
        <v>24</v>
      </c>
      <c r="H32" s="65">
        <v>26.0</v>
      </c>
      <c r="I32" s="69" t="str">
        <f>HYPERLINK("https://thenevadaindependent.com/article/live-blog-no-more-coronavirus-cases-in-washoe-reported-as-health-officials-identify-test-close-contacts","Source")</f>
        <v>Source</v>
      </c>
      <c r="J32" s="67"/>
      <c r="K32" s="70" t="s">
        <v>34</v>
      </c>
      <c r="L32" s="60">
        <v>2318.0</v>
      </c>
      <c r="M32" s="71">
        <v>80.0</v>
      </c>
      <c r="N32" s="70"/>
    </row>
    <row r="33" ht="27.75" customHeight="1">
      <c r="A33" s="58" t="s">
        <v>96</v>
      </c>
      <c r="B33" s="60">
        <v>2260.0</v>
      </c>
      <c r="C33" s="35">
        <f t="shared" si="1"/>
        <v>257</v>
      </c>
      <c r="D33" s="71">
        <v>76.0</v>
      </c>
      <c r="E33" s="55">
        <f t="shared" si="2"/>
        <v>9</v>
      </c>
      <c r="F33" s="63">
        <f t="shared" si="3"/>
        <v>0.03362831858</v>
      </c>
      <c r="G33" s="44" t="s">
        <v>24</v>
      </c>
      <c r="H33" s="65" t="s">
        <v>24</v>
      </c>
      <c r="I33" s="69" t="str">
        <f>HYPERLINK("https://msdh.ms.gov/msdhsite/_static/14,21882,420,873.html","Source")</f>
        <v>Source</v>
      </c>
      <c r="J33" s="28"/>
      <c r="K33" s="70" t="s">
        <v>27</v>
      </c>
      <c r="L33" s="60">
        <v>2003.0</v>
      </c>
      <c r="M33" s="71">
        <v>67.0</v>
      </c>
      <c r="N33" s="70"/>
    </row>
    <row r="34" ht="30.0" customHeight="1">
      <c r="A34" s="36" t="s">
        <v>100</v>
      </c>
      <c r="B34" s="39">
        <v>1976.0</v>
      </c>
      <c r="C34" s="35">
        <f t="shared" si="1"/>
        <v>130</v>
      </c>
      <c r="D34" s="39">
        <v>13.0</v>
      </c>
      <c r="E34" s="38">
        <f t="shared" si="2"/>
        <v>0</v>
      </c>
      <c r="F34" s="41">
        <f t="shared" si="3"/>
        <v>0.006578947368</v>
      </c>
      <c r="G34" s="44" t="s">
        <v>24</v>
      </c>
      <c r="H34" s="65" t="s">
        <v>24</v>
      </c>
      <c r="I34" s="48" t="str">
        <f>HYPERLINK("https://coronavirus.utah.gov/case-counts/","Source")</f>
        <v>Source</v>
      </c>
      <c r="J34" s="28"/>
      <c r="K34" s="28"/>
      <c r="L34" s="39">
        <v>1846.0</v>
      </c>
      <c r="M34" s="39">
        <v>13.0</v>
      </c>
      <c r="N34" s="28"/>
    </row>
    <row r="35" ht="27.75" customHeight="1">
      <c r="A35" s="58" t="s">
        <v>103</v>
      </c>
      <c r="B35" s="60">
        <v>1727.0</v>
      </c>
      <c r="C35" s="35">
        <f t="shared" si="1"/>
        <v>277</v>
      </c>
      <c r="D35" s="71">
        <v>43.0</v>
      </c>
      <c r="E35" s="55">
        <f t="shared" si="2"/>
        <v>8</v>
      </c>
      <c r="F35" s="63">
        <f t="shared" si="3"/>
        <v>0.02489866821</v>
      </c>
      <c r="G35" s="65">
        <v>45.0</v>
      </c>
      <c r="H35" s="65" t="s">
        <v>24</v>
      </c>
      <c r="I35" s="69" t="str">
        <f>HYPERLINK("https://health.ri.gov/data/covid-19/","Source")</f>
        <v>Source</v>
      </c>
      <c r="J35" s="28"/>
      <c r="K35" s="28"/>
      <c r="L35" s="60">
        <v>1450.0</v>
      </c>
      <c r="M35" s="71">
        <v>35.0</v>
      </c>
      <c r="N35" s="28"/>
    </row>
    <row r="36" ht="30.0" customHeight="1">
      <c r="A36" s="36" t="s">
        <v>105</v>
      </c>
      <c r="B36" s="39">
        <v>1684.0</v>
      </c>
      <c r="C36" s="35">
        <f t="shared" si="1"/>
        <v>160</v>
      </c>
      <c r="D36" s="39">
        <v>80.0</v>
      </c>
      <c r="E36" s="38">
        <f t="shared" si="2"/>
        <v>1</v>
      </c>
      <c r="F36" s="63">
        <f t="shared" si="3"/>
        <v>0.04750593824</v>
      </c>
      <c r="G36" s="65" t="s">
        <v>24</v>
      </c>
      <c r="H36" s="46" t="s">
        <v>24</v>
      </c>
      <c r="I36" s="48" t="str">
        <f>HYPERLINK("https://coronavirus.health.ok.gov/","Source")</f>
        <v>Source</v>
      </c>
      <c r="J36" s="28"/>
      <c r="K36" s="28"/>
      <c r="L36" s="39">
        <v>1524.0</v>
      </c>
      <c r="M36" s="39">
        <v>79.0</v>
      </c>
      <c r="N36" s="28"/>
    </row>
    <row r="37" ht="27.75" customHeight="1">
      <c r="A37" s="58" t="s">
        <v>108</v>
      </c>
      <c r="B37" s="60">
        <v>1523.0</v>
      </c>
      <c r="C37" s="35">
        <f t="shared" si="1"/>
        <v>83</v>
      </c>
      <c r="D37" s="71">
        <v>32.0</v>
      </c>
      <c r="E37" s="55">
        <f t="shared" si="2"/>
        <v>5</v>
      </c>
      <c r="F37" s="41">
        <f t="shared" si="3"/>
        <v>0.02101116218</v>
      </c>
      <c r="G37" s="65" t="s">
        <v>24</v>
      </c>
      <c r="H37" s="65">
        <v>393.0</v>
      </c>
      <c r="I37" s="69" t="str">
        <f>HYPERLINK("https://coronavirus.dc.gov/page/coronavirus-data","Source")</f>
        <v>Source</v>
      </c>
      <c r="J37" s="51"/>
      <c r="K37" s="70" t="s">
        <v>27</v>
      </c>
      <c r="L37" s="60">
        <v>1440.0</v>
      </c>
      <c r="M37" s="71">
        <v>27.0</v>
      </c>
      <c r="N37" s="70"/>
    </row>
    <row r="38" ht="27.75" customHeight="1">
      <c r="A38" s="58" t="s">
        <v>113</v>
      </c>
      <c r="B38" s="60">
        <v>1452.0</v>
      </c>
      <c r="C38" s="35">
        <f t="shared" si="1"/>
        <v>106</v>
      </c>
      <c r="D38" s="71">
        <v>79.0</v>
      </c>
      <c r="E38" s="55">
        <f t="shared" si="2"/>
        <v>6</v>
      </c>
      <c r="F38" s="41">
        <f t="shared" si="3"/>
        <v>0.0544077135</v>
      </c>
      <c r="G38" s="65" t="s">
        <v>24</v>
      </c>
      <c r="H38" s="65" t="s">
        <v>24</v>
      </c>
      <c r="I38" s="69" t="str">
        <f>HYPERLINK("https://govstatus.egov.com/kycovid19","Source")</f>
        <v>Source</v>
      </c>
      <c r="J38" s="28"/>
      <c r="K38" s="28"/>
      <c r="L38" s="60">
        <v>1346.0</v>
      </c>
      <c r="M38" s="71">
        <v>73.0</v>
      </c>
      <c r="N38" s="28"/>
    </row>
    <row r="39" ht="27.75" customHeight="1">
      <c r="A39" s="58" t="s">
        <v>117</v>
      </c>
      <c r="B39" s="60">
        <v>1353.0</v>
      </c>
      <c r="C39" s="35">
        <f t="shared" si="1"/>
        <v>121</v>
      </c>
      <c r="D39" s="71">
        <v>24.0</v>
      </c>
      <c r="E39" s="55">
        <f t="shared" si="2"/>
        <v>6</v>
      </c>
      <c r="F39" s="41">
        <f t="shared" si="3"/>
        <v>0.0177383592</v>
      </c>
      <c r="G39" s="65">
        <v>8.0</v>
      </c>
      <c r="H39" s="65" t="s">
        <v>24</v>
      </c>
      <c r="I39" s="69" t="str">
        <f>HYPERLINK("https://coronavirus.idaho.gov/","Source")</f>
        <v>Source</v>
      </c>
      <c r="J39" s="28"/>
      <c r="K39" s="28"/>
      <c r="L39" s="60">
        <v>1232.0</v>
      </c>
      <c r="M39" s="71">
        <v>18.0</v>
      </c>
      <c r="N39" s="28"/>
    </row>
    <row r="40" ht="27.75" customHeight="1">
      <c r="A40" s="58" t="s">
        <v>120</v>
      </c>
      <c r="B40" s="60">
        <v>1321.0</v>
      </c>
      <c r="C40" s="35">
        <f t="shared" si="1"/>
        <v>82</v>
      </c>
      <c r="D40" s="71">
        <v>44.0</v>
      </c>
      <c r="E40" s="55">
        <f t="shared" si="2"/>
        <v>6</v>
      </c>
      <c r="F40" s="63">
        <f t="shared" si="3"/>
        <v>0.03330809992</v>
      </c>
      <c r="G40" s="44" t="s">
        <v>24</v>
      </c>
      <c r="H40" s="65" t="s">
        <v>24</v>
      </c>
      <c r="I40" s="69" t="str">
        <f>HYPERLINK("https://govstatus.egov.com/OR-OHA-COVID-19","Source")</f>
        <v>Source</v>
      </c>
      <c r="J40" s="28"/>
      <c r="K40" s="70" t="s">
        <v>27</v>
      </c>
      <c r="L40" s="60">
        <v>1239.0</v>
      </c>
      <c r="M40" s="71">
        <v>38.0</v>
      </c>
      <c r="N40" s="70"/>
    </row>
    <row r="41" ht="27.75" customHeight="1">
      <c r="A41" s="58" t="s">
        <v>123</v>
      </c>
      <c r="B41" s="60">
        <v>1270.0</v>
      </c>
      <c r="C41" s="35">
        <f t="shared" si="1"/>
        <v>125</v>
      </c>
      <c r="D41" s="71">
        <v>29.0</v>
      </c>
      <c r="E41" s="55">
        <f t="shared" si="2"/>
        <v>2</v>
      </c>
      <c r="F41" s="41">
        <f t="shared" si="3"/>
        <v>0.02283464567</v>
      </c>
      <c r="G41" s="65" t="s">
        <v>24</v>
      </c>
      <c r="H41" s="65" t="s">
        <v>24</v>
      </c>
      <c r="I41" s="69" t="str">
        <f>HYPERLINK("https://idph.iowa.gov/Emerging-Health-Issues/Novel-Coronavirus","Source")</f>
        <v>Source</v>
      </c>
      <c r="J41" s="28"/>
      <c r="K41" s="28"/>
      <c r="L41" s="60">
        <v>1145.0</v>
      </c>
      <c r="M41" s="71">
        <v>27.0</v>
      </c>
      <c r="N41" s="28"/>
    </row>
    <row r="42" ht="30.0" customHeight="1">
      <c r="A42" s="36" t="s">
        <v>126</v>
      </c>
      <c r="B42" s="39">
        <v>1242.0</v>
      </c>
      <c r="C42" s="35">
        <f t="shared" si="1"/>
        <v>88</v>
      </c>
      <c r="D42" s="39">
        <v>50.0</v>
      </c>
      <c r="E42" s="38">
        <f t="shared" si="2"/>
        <v>11</v>
      </c>
      <c r="F42" s="63">
        <f t="shared" si="3"/>
        <v>0.04025764895</v>
      </c>
      <c r="G42" s="44">
        <v>64.0</v>
      </c>
      <c r="H42" s="46">
        <v>675.0</v>
      </c>
      <c r="I42" s="48" t="str">
        <f>HYPERLINK("https://www.health.state.mn.us/diseases/coronavirus/situation.html","Source")</f>
        <v>Source</v>
      </c>
      <c r="J42" s="28"/>
      <c r="K42" s="28"/>
      <c r="L42" s="39">
        <v>1154.0</v>
      </c>
      <c r="M42" s="39">
        <v>39.0</v>
      </c>
      <c r="N42" s="28"/>
    </row>
    <row r="43" ht="27.75" customHeight="1">
      <c r="A43" s="58" t="s">
        <v>129</v>
      </c>
      <c r="B43" s="60">
        <v>1209.0</v>
      </c>
      <c r="C43" s="35">
        <f t="shared" si="1"/>
        <v>93</v>
      </c>
      <c r="D43" s="71">
        <v>23.0</v>
      </c>
      <c r="E43" s="55">
        <f t="shared" si="2"/>
        <v>4</v>
      </c>
      <c r="F43" s="63">
        <f t="shared" si="3"/>
        <v>0.01902398677</v>
      </c>
      <c r="G43" s="65" t="s">
        <v>24</v>
      </c>
      <c r="H43" s="65">
        <v>144.0</v>
      </c>
      <c r="I43" s="69" t="str">
        <f>HYPERLINK("https://coronavirus.delaware.gov/","Source")</f>
        <v>Source</v>
      </c>
      <c r="J43" s="28"/>
      <c r="K43" s="28"/>
      <c r="L43" s="60">
        <v>1116.0</v>
      </c>
      <c r="M43" s="71">
        <v>19.0</v>
      </c>
      <c r="N43" s="28"/>
    </row>
    <row r="44" ht="27.75" customHeight="1">
      <c r="A44" s="58" t="s">
        <v>131</v>
      </c>
      <c r="B44" s="60">
        <v>1146.0</v>
      </c>
      <c r="C44" s="35">
        <f t="shared" si="1"/>
        <v>69</v>
      </c>
      <c r="D44" s="71">
        <v>21.0</v>
      </c>
      <c r="E44" s="55">
        <f t="shared" si="2"/>
        <v>3</v>
      </c>
      <c r="F44" s="63">
        <f t="shared" si="3"/>
        <v>0.01832460733</v>
      </c>
      <c r="G44" s="65">
        <v>23.0</v>
      </c>
      <c r="H44" s="65">
        <v>305.0</v>
      </c>
      <c r="I44" s="69" t="str">
        <f>HYPERLINK("https://adem.maps.arcgis.com/apps/opsdashboard/index.html#/f533ac8a8b6040e5896b05b47b17a647","Source")</f>
        <v>Source</v>
      </c>
      <c r="J44" s="67"/>
      <c r="K44" s="70" t="s">
        <v>132</v>
      </c>
      <c r="L44" s="60">
        <v>1077.0</v>
      </c>
      <c r="M44" s="71">
        <v>18.0</v>
      </c>
      <c r="N44" s="70"/>
    </row>
    <row r="45" ht="30.0" customHeight="1">
      <c r="A45" s="36" t="s">
        <v>134</v>
      </c>
      <c r="B45" s="39">
        <v>1112.0</v>
      </c>
      <c r="C45" s="35">
        <f t="shared" si="1"/>
        <v>136</v>
      </c>
      <c r="D45" s="39">
        <v>42.0</v>
      </c>
      <c r="E45" s="38">
        <f t="shared" si="2"/>
        <v>10</v>
      </c>
      <c r="F45" s="41">
        <f t="shared" si="3"/>
        <v>0.03776978417</v>
      </c>
      <c r="G45" s="65" t="s">
        <v>24</v>
      </c>
      <c r="H45" s="65" t="s">
        <v>24</v>
      </c>
      <c r="I45" s="48" t="str">
        <f>HYPERLINK("https://www.kshb.com/news/coronavirus/covid-19-case-tracker-where-we-stand-in-mo-ks-nationwide","Source")</f>
        <v>Source</v>
      </c>
      <c r="J45" s="28"/>
      <c r="K45" s="28"/>
      <c r="L45" s="39">
        <v>976.0</v>
      </c>
      <c r="M45" s="39">
        <v>32.0</v>
      </c>
      <c r="N45" s="28"/>
    </row>
    <row r="46" ht="27.75" customHeight="1">
      <c r="A46" s="58" t="s">
        <v>136</v>
      </c>
      <c r="B46" s="60">
        <v>989.0</v>
      </c>
      <c r="C46" s="35">
        <f t="shared" si="1"/>
        <v>124</v>
      </c>
      <c r="D46" s="71">
        <v>17.0</v>
      </c>
      <c r="E46" s="55">
        <f t="shared" si="2"/>
        <v>1</v>
      </c>
      <c r="F46" s="63">
        <f t="shared" si="3"/>
        <v>0.01718907988</v>
      </c>
      <c r="G46" s="65" t="s">
        <v>24</v>
      </c>
      <c r="H46" s="65" t="s">
        <v>24</v>
      </c>
      <c r="I46" s="69" t="str">
        <f>HYPERLINK("https://cv.nmhealth.org/","Source")</f>
        <v>Source</v>
      </c>
      <c r="J46" s="28"/>
      <c r="K46" s="70" t="s">
        <v>27</v>
      </c>
      <c r="L46" s="60">
        <v>865.0</v>
      </c>
      <c r="M46" s="71">
        <v>16.0</v>
      </c>
      <c r="N46" s="70"/>
    </row>
    <row r="47" ht="30.0" customHeight="1">
      <c r="A47" s="36" t="s">
        <v>138</v>
      </c>
      <c r="B47" s="39">
        <v>819.0</v>
      </c>
      <c r="C47" s="35">
        <f t="shared" si="1"/>
        <v>31</v>
      </c>
      <c r="D47" s="53">
        <v>21.0</v>
      </c>
      <c r="E47" s="55">
        <f t="shared" si="2"/>
        <v>3</v>
      </c>
      <c r="F47" s="41">
        <f t="shared" si="3"/>
        <v>0.02564102564</v>
      </c>
      <c r="G47" s="65" t="s">
        <v>24</v>
      </c>
      <c r="H47" s="65">
        <v>234.0</v>
      </c>
      <c r="I47" s="48" t="str">
        <f>HYPERLINK("https://twitter.com/mikesacconetv/status/1246584047352066048","Source")</f>
        <v>Source</v>
      </c>
      <c r="J47" s="28"/>
      <c r="K47" s="28"/>
      <c r="L47" s="39">
        <v>788.0</v>
      </c>
      <c r="M47" s="53">
        <v>18.0</v>
      </c>
      <c r="N47" s="28"/>
    </row>
    <row r="48" ht="27.75" customHeight="1">
      <c r="A48" s="58" t="s">
        <v>140</v>
      </c>
      <c r="B48" s="60">
        <v>683.0</v>
      </c>
      <c r="C48" s="35">
        <f t="shared" si="1"/>
        <v>63</v>
      </c>
      <c r="D48" s="71">
        <v>33.0</v>
      </c>
      <c r="E48" s="55">
        <f t="shared" si="2"/>
        <v>9</v>
      </c>
      <c r="F48" s="63">
        <f t="shared" si="3"/>
        <v>0.04831625183</v>
      </c>
      <c r="G48" s="65" t="s">
        <v>24</v>
      </c>
      <c r="H48" s="65" t="s">
        <v>24</v>
      </c>
      <c r="I48" s="69" t="str">
        <f>HYPERLINK("https://twitter.com/DeptSaludPR/status/1246408168852328450","Source")</f>
        <v>Source</v>
      </c>
      <c r="J48" s="51"/>
      <c r="K48" s="70" t="s">
        <v>27</v>
      </c>
      <c r="L48" s="60">
        <v>620.0</v>
      </c>
      <c r="M48" s="71">
        <v>24.0</v>
      </c>
      <c r="N48" s="70"/>
    </row>
    <row r="49" ht="30.0" customHeight="1">
      <c r="A49" s="36" t="s">
        <v>142</v>
      </c>
      <c r="B49" s="39">
        <v>628.0</v>
      </c>
      <c r="C49" s="35">
        <f t="shared" si="1"/>
        <v>23</v>
      </c>
      <c r="D49" s="39">
        <v>23.0</v>
      </c>
      <c r="E49" s="38">
        <f t="shared" si="2"/>
        <v>0</v>
      </c>
      <c r="F49" s="41">
        <f t="shared" si="3"/>
        <v>0.03662420382</v>
      </c>
      <c r="G49" s="65" t="s">
        <v>24</v>
      </c>
      <c r="H49" s="65" t="s">
        <v>24</v>
      </c>
      <c r="I49" s="48" t="str">
        <f>HYPERLINK("https://www.healthvermont.gov/response/coronavirus-covid-19/current-activity-vermont","Source")</f>
        <v>Source</v>
      </c>
      <c r="J49" s="28"/>
      <c r="K49" s="28"/>
      <c r="L49" s="39">
        <v>605.0</v>
      </c>
      <c r="M49" s="39">
        <v>23.0</v>
      </c>
      <c r="N49" s="28"/>
    </row>
    <row r="50" ht="27.75" customHeight="1">
      <c r="A50" s="58" t="s">
        <v>144</v>
      </c>
      <c r="B50" s="60">
        <v>577.0</v>
      </c>
      <c r="C50" s="35">
        <f t="shared" si="1"/>
        <v>45</v>
      </c>
      <c r="D50" s="71">
        <v>15.0</v>
      </c>
      <c r="E50" s="55">
        <f t="shared" si="2"/>
        <v>1</v>
      </c>
      <c r="F50" s="63">
        <f t="shared" si="3"/>
        <v>0.0259965338</v>
      </c>
      <c r="G50" s="65" t="s">
        <v>24</v>
      </c>
      <c r="H50" s="65" t="s">
        <v>24</v>
      </c>
      <c r="I50" s="69" t="str">
        <f>HYPERLINK("https://www.1011now.com/content/news/Confirmed-COVID-19-cases-in-Nebraska-pushes-past-500-569475691.html","Source")</f>
        <v>Source</v>
      </c>
      <c r="J50" s="28"/>
      <c r="K50" s="28"/>
      <c r="L50" s="60">
        <v>532.0</v>
      </c>
      <c r="M50" s="71">
        <v>14.0</v>
      </c>
      <c r="N50" s="28"/>
    </row>
    <row r="51" ht="27.75" customHeight="1">
      <c r="A51" s="58" t="s">
        <v>146</v>
      </c>
      <c r="B51" s="60">
        <v>560.0</v>
      </c>
      <c r="C51" s="35">
        <f t="shared" si="1"/>
        <v>23</v>
      </c>
      <c r="D51" s="71">
        <v>16.0</v>
      </c>
      <c r="E51" s="55">
        <f t="shared" si="2"/>
        <v>2</v>
      </c>
      <c r="F51" s="41">
        <f t="shared" si="3"/>
        <v>0.02857142857</v>
      </c>
      <c r="G51" s="65" t="s">
        <v>24</v>
      </c>
      <c r="H51" s="65">
        <v>202.0</v>
      </c>
      <c r="I51" s="69" t="str">
        <f>HYPERLINK("https://www.maine.gov/dhhs/mecdc/infectious-disease/epi/airborne/coronavirus.shtml","Source")</f>
        <v>Source</v>
      </c>
      <c r="J51" s="28"/>
      <c r="K51" s="28"/>
      <c r="L51" s="60">
        <v>537.0</v>
      </c>
      <c r="M51" s="71">
        <v>14.0</v>
      </c>
      <c r="N51" s="28"/>
    </row>
    <row r="52" ht="27.75" customHeight="1">
      <c r="A52" s="58" t="s">
        <v>149</v>
      </c>
      <c r="B52" s="60">
        <v>523.0</v>
      </c>
      <c r="C52" s="35">
        <f t="shared" si="1"/>
        <v>40</v>
      </c>
      <c r="D52" s="71">
        <v>5.0</v>
      </c>
      <c r="E52" s="55">
        <f t="shared" si="2"/>
        <v>1</v>
      </c>
      <c r="F52" s="63">
        <f t="shared" si="3"/>
        <v>0.009560229446</v>
      </c>
      <c r="G52" s="65" t="s">
        <v>24</v>
      </c>
      <c r="H52" s="65" t="s">
        <v>24</v>
      </c>
      <c r="I52" s="69" t="str">
        <f>HYPERLINK("https://dhhr.wv.gov/News/2020/Pages/COVID-19-Daily-Update---4-5-2020.aspx","Source")</f>
        <v>Source</v>
      </c>
      <c r="J52" s="28"/>
      <c r="K52" s="70" t="s">
        <v>27</v>
      </c>
      <c r="L52" s="60">
        <v>483.0</v>
      </c>
      <c r="M52" s="71">
        <v>4.0</v>
      </c>
      <c r="N52" s="70"/>
    </row>
    <row r="53" ht="27.75" customHeight="1">
      <c r="A53" s="58" t="s">
        <v>155</v>
      </c>
      <c r="B53" s="60">
        <v>447.0</v>
      </c>
      <c r="C53" s="35">
        <f t="shared" si="1"/>
        <v>54</v>
      </c>
      <c r="D53" s="71">
        <v>6.0</v>
      </c>
      <c r="E53" s="55">
        <f t="shared" si="2"/>
        <v>0</v>
      </c>
      <c r="F53" s="63">
        <f t="shared" si="3"/>
        <v>0.01342281879</v>
      </c>
      <c r="G53" s="65" t="s">
        <v>24</v>
      </c>
      <c r="H53" s="65">
        <v>161.0</v>
      </c>
      <c r="I53" s="69" t="str">
        <f>HYPERLINK("https://twitter.com/mgeheren/status/1246293900857413633","Source")</f>
        <v>Source</v>
      </c>
      <c r="J53" s="28"/>
      <c r="K53" s="28"/>
      <c r="L53" s="60">
        <v>393.0</v>
      </c>
      <c r="M53" s="71">
        <v>6.0</v>
      </c>
      <c r="N53" s="28"/>
    </row>
    <row r="54" ht="27.75" customHeight="1">
      <c r="A54" s="58" t="s">
        <v>158</v>
      </c>
      <c r="B54" s="60">
        <v>442.0</v>
      </c>
      <c r="C54" s="35">
        <f t="shared" si="1"/>
        <v>7</v>
      </c>
      <c r="D54" s="71">
        <v>6.0</v>
      </c>
      <c r="E54" s="55">
        <f t="shared" si="2"/>
        <v>0</v>
      </c>
      <c r="F54" s="41">
        <f t="shared" si="3"/>
        <v>0.01357466063</v>
      </c>
      <c r="G54" s="65" t="s">
        <v>24</v>
      </c>
      <c r="H54" s="65">
        <v>113.0</v>
      </c>
      <c r="I54" s="69" t="str">
        <f>HYPERLINK("https://health.hawaii.gov/coronavirusdisease2019/","Source")</f>
        <v>Source</v>
      </c>
      <c r="J54" s="28"/>
      <c r="K54" s="28"/>
      <c r="L54" s="60">
        <v>435.0</v>
      </c>
      <c r="M54" s="71">
        <v>6.0</v>
      </c>
      <c r="N54" s="28"/>
    </row>
    <row r="55" ht="27.75" customHeight="1">
      <c r="A55" s="58" t="s">
        <v>162</v>
      </c>
      <c r="B55" s="60">
        <v>408.0</v>
      </c>
      <c r="C55" s="35">
        <f t="shared" si="1"/>
        <v>70</v>
      </c>
      <c r="D55" s="71">
        <v>8.0</v>
      </c>
      <c r="E55" s="55">
        <f t="shared" si="2"/>
        <v>0</v>
      </c>
      <c r="F55" s="41">
        <f t="shared" si="3"/>
        <v>0.01960784314</v>
      </c>
      <c r="G55" s="65" t="s">
        <v>24</v>
      </c>
      <c r="H55" s="65">
        <v>21.0</v>
      </c>
      <c r="I55" s="69" t="str">
        <f>HYPERLINK("https://www.bop.gov/coronavirus/","Source")</f>
        <v>Source</v>
      </c>
      <c r="J55" s="28"/>
      <c r="K55" s="70" t="s">
        <v>27</v>
      </c>
      <c r="L55" s="60">
        <v>338.0</v>
      </c>
      <c r="M55" s="71">
        <v>8.0</v>
      </c>
      <c r="N55" s="70"/>
    </row>
    <row r="56" ht="27.75" customHeight="1">
      <c r="A56" s="58" t="s">
        <v>167</v>
      </c>
      <c r="B56" s="60">
        <v>354.0</v>
      </c>
      <c r="C56" s="35">
        <f t="shared" si="1"/>
        <v>22</v>
      </c>
      <c r="D56" s="71">
        <v>6.0</v>
      </c>
      <c r="E56" s="55">
        <f t="shared" si="2"/>
        <v>0</v>
      </c>
      <c r="F56" s="41">
        <f t="shared" si="3"/>
        <v>0.01694915254</v>
      </c>
      <c r="G56" s="65" t="s">
        <v>24</v>
      </c>
      <c r="H56" s="65">
        <v>157.0</v>
      </c>
      <c r="I56" s="69" t="str">
        <f>HYPERLINK("https://nbcmontana.com/news/local/coronavirus-cases-in-montana-increase-to-281-deaths-rise-to-six","Source")</f>
        <v>Source</v>
      </c>
      <c r="J56" s="28"/>
      <c r="K56" s="70" t="s">
        <v>172</v>
      </c>
      <c r="L56" s="60">
        <v>332.0</v>
      </c>
      <c r="M56" s="71">
        <v>6.0</v>
      </c>
      <c r="N56" s="70"/>
    </row>
    <row r="57" ht="27.75" customHeight="1">
      <c r="A57" s="58" t="s">
        <v>174</v>
      </c>
      <c r="B57" s="60">
        <v>320.0</v>
      </c>
      <c r="C57" s="35">
        <f t="shared" si="1"/>
        <v>90</v>
      </c>
      <c r="D57" s="71">
        <v>0.0</v>
      </c>
      <c r="E57" s="55">
        <f t="shared" si="2"/>
        <v>0</v>
      </c>
      <c r="F57" s="63">
        <f t="shared" si="3"/>
        <v>0</v>
      </c>
      <c r="G57" s="65" t="s">
        <v>24</v>
      </c>
      <c r="H57" s="65">
        <v>105.0</v>
      </c>
      <c r="I57" s="69" t="str">
        <f>HYPERLINK("https://health.wyo.gov/publichealth/infectious-disease-epidemiology-unit/disease/novel-coronavirus/","Source")</f>
        <v>Source</v>
      </c>
      <c r="J57" s="28"/>
      <c r="K57" s="28"/>
      <c r="L57" s="60">
        <v>230.0</v>
      </c>
      <c r="M57" s="71">
        <v>0.0</v>
      </c>
      <c r="N57" s="28"/>
    </row>
    <row r="58" ht="27.75" customHeight="1">
      <c r="A58" s="58" t="s">
        <v>176</v>
      </c>
      <c r="B58" s="60">
        <v>269.0</v>
      </c>
      <c r="C58" s="35">
        <f t="shared" si="1"/>
        <v>18</v>
      </c>
      <c r="D58" s="71">
        <v>5.0</v>
      </c>
      <c r="E58" s="55">
        <f t="shared" si="2"/>
        <v>1</v>
      </c>
      <c r="F58" s="41">
        <f t="shared" si="3"/>
        <v>0.01858736059</v>
      </c>
      <c r="G58" s="65" t="s">
        <v>24</v>
      </c>
      <c r="H58" s="65">
        <v>101.0</v>
      </c>
      <c r="I58" s="69" t="str">
        <f>HYPERLINK("https://www.health.nd.gov/diseases-conditions/coronavirus/north-dakota-coronavirus-cases","Source")</f>
        <v>Source</v>
      </c>
      <c r="J58" s="28"/>
      <c r="K58" s="70" t="s">
        <v>27</v>
      </c>
      <c r="L58" s="60">
        <v>251.0</v>
      </c>
      <c r="M58" s="71">
        <v>4.0</v>
      </c>
      <c r="N58" s="70"/>
    </row>
    <row r="59" ht="27.75" customHeight="1">
      <c r="A59" s="58" t="s">
        <v>179</v>
      </c>
      <c r="B59" s="60">
        <v>235.0</v>
      </c>
      <c r="C59" s="35">
        <f t="shared" si="1"/>
        <v>9</v>
      </c>
      <c r="D59" s="71">
        <v>7.0</v>
      </c>
      <c r="E59" s="55">
        <f t="shared" si="2"/>
        <v>0</v>
      </c>
      <c r="F59" s="41">
        <f t="shared" si="3"/>
        <v>0.02978723404</v>
      </c>
      <c r="G59" s="65" t="s">
        <v>24</v>
      </c>
      <c r="H59" s="65">
        <v>49.0</v>
      </c>
      <c r="I59" s="69" t="str">
        <f>HYPERLINK("https://www.arcgis.com/apps/opsdashboard/index.html#/83c63cfec8b24397bdf359f49b11f218","Source")</f>
        <v>Source</v>
      </c>
      <c r="J59" s="28"/>
      <c r="K59" s="28"/>
      <c r="L59" s="60">
        <v>226.0</v>
      </c>
      <c r="M59" s="71">
        <v>7.0</v>
      </c>
      <c r="N59" s="28"/>
    </row>
    <row r="60" ht="27.75" customHeight="1">
      <c r="A60" s="58" t="s">
        <v>180</v>
      </c>
      <c r="B60" s="60">
        <v>128.0</v>
      </c>
      <c r="C60" s="35">
        <f t="shared" si="1"/>
        <v>3</v>
      </c>
      <c r="D60" s="71">
        <v>4.0</v>
      </c>
      <c r="E60" s="55">
        <f t="shared" si="2"/>
        <v>0</v>
      </c>
      <c r="F60" s="63">
        <f t="shared" si="3"/>
        <v>0.03125</v>
      </c>
      <c r="G60" s="65" t="s">
        <v>24</v>
      </c>
      <c r="H60" s="65">
        <v>33.0</v>
      </c>
      <c r="I60" s="69" t="str">
        <f>HYPERLINK("https://ghs.guam.gov/jic-release-no-64-three-test-positive-covid-19","Source")</f>
        <v>Source</v>
      </c>
      <c r="J60" s="28"/>
      <c r="K60" s="28"/>
      <c r="L60" s="60">
        <v>125.0</v>
      </c>
      <c r="M60" s="71">
        <v>4.0</v>
      </c>
      <c r="N60" s="28"/>
    </row>
    <row r="61" ht="27.75" customHeight="1">
      <c r="A61" s="58" t="s">
        <v>182</v>
      </c>
      <c r="B61" s="60">
        <v>50.0</v>
      </c>
      <c r="C61" s="35">
        <f t="shared" si="1"/>
        <v>5</v>
      </c>
      <c r="D61" s="71">
        <v>1.0</v>
      </c>
      <c r="E61" s="55">
        <f t="shared" si="2"/>
        <v>0</v>
      </c>
      <c r="F61" s="63">
        <f t="shared" si="3"/>
        <v>0.02</v>
      </c>
      <c r="G61" s="65" t="s">
        <v>24</v>
      </c>
      <c r="H61" s="65">
        <v>43.0</v>
      </c>
      <c r="I61" s="69" t="str">
        <f>HYPERLINK("https://doh.vi.gov/news/health-department-announces-eleven-additional-confirmed-covid-19-cases","Source")</f>
        <v>Source</v>
      </c>
      <c r="J61" s="28"/>
      <c r="K61" s="28"/>
      <c r="L61" s="60">
        <v>45.0</v>
      </c>
      <c r="M61" s="71">
        <v>1.0</v>
      </c>
      <c r="N61" s="28"/>
    </row>
    <row r="62" ht="33.0" customHeight="1">
      <c r="A62" s="58" t="s">
        <v>186</v>
      </c>
      <c r="B62" s="60">
        <v>46.0</v>
      </c>
      <c r="C62" s="35">
        <f t="shared" si="1"/>
        <v>0</v>
      </c>
      <c r="D62" s="71">
        <v>0.0</v>
      </c>
      <c r="E62" s="55">
        <f t="shared" si="2"/>
        <v>0</v>
      </c>
      <c r="F62" s="41">
        <f t="shared" si="3"/>
        <v>0</v>
      </c>
      <c r="G62" s="65" t="s">
        <v>24</v>
      </c>
      <c r="H62" s="65">
        <v>2.0</v>
      </c>
      <c r="I62" s="69" t="str">
        <f>HYPERLINK("https://www.cdc.gov/coronavirus/2019-ncov/cases-in-us.html","Source")</f>
        <v>Source</v>
      </c>
      <c r="J62" s="28"/>
      <c r="K62" s="28"/>
      <c r="L62" s="60">
        <v>46.0</v>
      </c>
      <c r="M62" s="71">
        <v>0.0</v>
      </c>
      <c r="N62" s="28"/>
    </row>
    <row r="63" ht="27.75" customHeight="1">
      <c r="A63" s="58" t="s">
        <v>188</v>
      </c>
      <c r="B63" s="60">
        <v>21.0</v>
      </c>
      <c r="C63" s="35">
        <f t="shared" si="1"/>
        <v>0</v>
      </c>
      <c r="D63" s="71">
        <v>0.0</v>
      </c>
      <c r="E63" s="55">
        <f t="shared" si="2"/>
        <v>0</v>
      </c>
      <c r="F63" s="41">
        <f t="shared" si="3"/>
        <v>0</v>
      </c>
      <c r="G63" s="65" t="s">
        <v>24</v>
      </c>
      <c r="H63" s="65" t="s">
        <v>24</v>
      </c>
      <c r="I63" s="69" t="str">
        <f>HYPERLINK("https://www.youtube.com/watch?v=pAsq7-_3XTI","Source")</f>
        <v>Source</v>
      </c>
      <c r="J63" s="28"/>
      <c r="K63" s="28"/>
      <c r="L63" s="60">
        <v>21.0</v>
      </c>
      <c r="M63" s="71">
        <v>0.0</v>
      </c>
      <c r="N63" s="28"/>
    </row>
    <row r="64" ht="27.75" customHeight="1">
      <c r="A64" s="58" t="s">
        <v>194</v>
      </c>
      <c r="B64" s="60">
        <v>11.0</v>
      </c>
      <c r="C64" s="35">
        <f t="shared" si="1"/>
        <v>0</v>
      </c>
      <c r="D64" s="71">
        <v>2.0</v>
      </c>
      <c r="E64" s="55">
        <f t="shared" si="2"/>
        <v>0</v>
      </c>
      <c r="F64" s="63">
        <f t="shared" si="3"/>
        <v>0.1818181818</v>
      </c>
      <c r="G64" s="65" t="s">
        <v>24</v>
      </c>
      <c r="H64" s="65" t="s">
        <v>24</v>
      </c>
      <c r="I64" s="69" t="str">
        <f>HYPERLINK("https://guampdn.com/story/news/local/2020/03/28/saipan-confirms-two-covid-19-positive-cases/2932326001/","Source")</f>
        <v>Source</v>
      </c>
      <c r="J64" s="28"/>
      <c r="K64" s="28"/>
      <c r="L64" s="60">
        <v>11.0</v>
      </c>
      <c r="M64" s="71">
        <v>2.0</v>
      </c>
      <c r="N64" s="28"/>
    </row>
    <row r="65" ht="27.75" customHeight="1">
      <c r="A65" s="58" t="s">
        <v>198</v>
      </c>
      <c r="B65" s="60">
        <v>3.0</v>
      </c>
      <c r="C65" s="35">
        <f t="shared" si="1"/>
        <v>0</v>
      </c>
      <c r="D65" s="71">
        <v>0.0</v>
      </c>
      <c r="E65" s="55">
        <f t="shared" si="2"/>
        <v>0</v>
      </c>
      <c r="F65" s="41">
        <f t="shared" si="3"/>
        <v>0</v>
      </c>
      <c r="G65" s="65" t="s">
        <v>24</v>
      </c>
      <c r="H65" s="65" t="s">
        <v>24</v>
      </c>
      <c r="I65" s="128" t="s">
        <v>24</v>
      </c>
      <c r="J65" s="28"/>
      <c r="K65" s="28"/>
      <c r="L65" s="60">
        <v>3.0</v>
      </c>
      <c r="M65" s="71">
        <v>0.0</v>
      </c>
      <c r="N65" s="28"/>
    </row>
    <row r="66" ht="27.75" customHeight="1">
      <c r="A66" s="58" t="s">
        <v>202</v>
      </c>
      <c r="B66" s="60">
        <v>0.0</v>
      </c>
      <c r="C66" s="35">
        <f t="shared" si="1"/>
        <v>0</v>
      </c>
      <c r="D66" s="71">
        <v>0.0</v>
      </c>
      <c r="E66" s="55">
        <f t="shared" si="2"/>
        <v>0</v>
      </c>
      <c r="F66" s="97" t="s">
        <v>45</v>
      </c>
      <c r="G66" s="65" t="s">
        <v>24</v>
      </c>
      <c r="H66" s="65" t="s">
        <v>24</v>
      </c>
      <c r="I66" s="85" t="s">
        <v>24</v>
      </c>
      <c r="J66" s="28"/>
      <c r="K66" s="28"/>
      <c r="L66" s="60">
        <v>0.0</v>
      </c>
      <c r="M66" s="71">
        <v>0.0</v>
      </c>
      <c r="N66" s="28"/>
    </row>
    <row r="67" ht="15.75" customHeight="1">
      <c r="A67" s="132" t="s">
        <v>204</v>
      </c>
      <c r="B67" s="133"/>
      <c r="C67" s="133"/>
      <c r="D67" s="134"/>
      <c r="E67" s="134"/>
      <c r="F67" s="135"/>
      <c r="G67" s="135"/>
      <c r="H67" s="136"/>
      <c r="I67" s="137"/>
      <c r="J67" s="49"/>
      <c r="K67" s="49"/>
      <c r="L67" s="133"/>
      <c r="M67" s="134"/>
      <c r="N67" s="49"/>
    </row>
    <row r="68" ht="30.0" customHeight="1">
      <c r="A68" s="139" t="s">
        <v>212</v>
      </c>
      <c r="B68" s="140">
        <f>SUM(B6:B67)</f>
        <v>467846</v>
      </c>
      <c r="C68" s="141">
        <f>SUM(C6:C66)</f>
        <v>35147</v>
      </c>
      <c r="D68" s="140">
        <f>SUM(D6:D67)</f>
        <v>16632</v>
      </c>
      <c r="E68" s="142">
        <f>SUM(E6:E65)</f>
        <v>1863</v>
      </c>
      <c r="F68" s="143">
        <f>DIVIDE(B3,A3)</f>
        <v>0.03555015967</v>
      </c>
      <c r="G68" s="144">
        <f t="shared" ref="G68:H68" si="4">SUM(G6:G65)</f>
        <v>6743</v>
      </c>
      <c r="H68" s="145">
        <f t="shared" si="4"/>
        <v>27277</v>
      </c>
      <c r="I68" s="146"/>
      <c r="J68" s="28"/>
      <c r="K68" s="28"/>
      <c r="L68" s="140">
        <f t="shared" ref="L68:M68" si="5">SUM(L6:L67)</f>
        <v>432699</v>
      </c>
      <c r="M68" s="140">
        <f t="shared" si="5"/>
        <v>14769</v>
      </c>
      <c r="N68" s="28"/>
    </row>
    <row r="69">
      <c r="A69" s="148"/>
      <c r="B69" s="149" t="s">
        <v>8</v>
      </c>
      <c r="C69" s="149" t="s">
        <v>9</v>
      </c>
      <c r="D69" s="149" t="s">
        <v>10</v>
      </c>
      <c r="E69" s="150" t="s">
        <v>11</v>
      </c>
      <c r="F69" s="150" t="s">
        <v>228</v>
      </c>
      <c r="G69" s="150" t="s">
        <v>14</v>
      </c>
      <c r="H69" s="150" t="s">
        <v>15</v>
      </c>
      <c r="I69" s="149" t="s">
        <v>16</v>
      </c>
      <c r="J69" s="6"/>
      <c r="K69" s="6"/>
      <c r="L69" s="149" t="s">
        <v>8</v>
      </c>
      <c r="M69" s="149" t="s">
        <v>10</v>
      </c>
      <c r="N69" s="6"/>
    </row>
    <row r="70">
      <c r="A70" s="87"/>
      <c r="B70" s="88"/>
      <c r="C70" s="88"/>
      <c r="D70" s="88"/>
      <c r="E70" s="88"/>
      <c r="F70" s="88"/>
      <c r="G70" s="88"/>
      <c r="H70" s="88"/>
      <c r="I70" s="90"/>
      <c r="J70" s="6"/>
      <c r="K70" s="6"/>
      <c r="L70" s="88"/>
      <c r="M70" s="88"/>
      <c r="N70" s="6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4"/>
      <c r="K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2</v>
      </c>
      <c r="B2" s="3" t="s">
        <v>3</v>
      </c>
      <c r="C2" s="5" t="s">
        <v>4</v>
      </c>
      <c r="D2" s="3"/>
      <c r="E2" s="7" t="s">
        <v>5</v>
      </c>
      <c r="I2" s="9"/>
      <c r="J2" s="6"/>
      <c r="K2" s="6"/>
      <c r="L2" s="3" t="s">
        <v>3</v>
      </c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2">
        <f>SUM(B17, B18)</f>
        <v>6108</v>
      </c>
      <c r="B3" s="12">
        <f>SUM(D17, D18)</f>
        <v>51</v>
      </c>
      <c r="C3" s="14">
        <f>SUM(H17, H18)</f>
        <v>1472</v>
      </c>
      <c r="D3" s="12"/>
      <c r="E3" s="15">
        <f>MINUS(A3,B3 + C3)</f>
        <v>4585</v>
      </c>
      <c r="F3" s="15"/>
      <c r="G3" s="15"/>
      <c r="H3" s="5"/>
      <c r="I3" s="9"/>
      <c r="J3" s="6"/>
      <c r="K3" s="6"/>
      <c r="L3" s="12">
        <f>SUM(N17, N18)</f>
        <v>0</v>
      </c>
      <c r="M3" s="12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7"/>
      <c r="B4" s="9"/>
      <c r="C4" s="9"/>
      <c r="D4" s="9"/>
      <c r="E4" s="9"/>
      <c r="F4" s="8"/>
      <c r="G4" s="8"/>
      <c r="H4" s="8"/>
      <c r="I4" s="9"/>
      <c r="J4" s="6"/>
      <c r="K4" s="6"/>
      <c r="L4" s="9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9" t="s">
        <v>7</v>
      </c>
      <c r="B5" s="21" t="s">
        <v>8</v>
      </c>
      <c r="C5" s="23" t="s">
        <v>9</v>
      </c>
      <c r="D5" s="21" t="s">
        <v>10</v>
      </c>
      <c r="E5" s="24" t="s">
        <v>11</v>
      </c>
      <c r="F5" s="24" t="s">
        <v>13</v>
      </c>
      <c r="G5" s="26" t="s">
        <v>14</v>
      </c>
      <c r="H5" s="26" t="s">
        <v>15</v>
      </c>
      <c r="I5" s="21" t="s">
        <v>16</v>
      </c>
      <c r="J5" s="28"/>
      <c r="K5" s="28"/>
      <c r="L5" s="21" t="s">
        <v>8</v>
      </c>
      <c r="M5" s="21" t="s">
        <v>10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ht="30.0" customHeight="1">
      <c r="A6" s="36" t="s">
        <v>19</v>
      </c>
      <c r="B6" s="39">
        <v>2773.0</v>
      </c>
      <c r="C6" s="35">
        <f t="shared" ref="C6:C15" si="1">MINUS(B6,L6)</f>
        <v>39</v>
      </c>
      <c r="D6" s="39">
        <v>21.0</v>
      </c>
      <c r="E6" s="38">
        <f t="shared" ref="E6:E13" si="2">MINUS(D6,M6)</f>
        <v>0</v>
      </c>
      <c r="F6" s="41">
        <f t="shared" ref="F6:F13" si="3">DIVIDE(D6, B6)</f>
        <v>0.007573025604</v>
      </c>
      <c r="G6" s="44">
        <v>40.0</v>
      </c>
      <c r="H6" s="46">
        <v>4.0</v>
      </c>
      <c r="I6" s="48" t="str">
        <f>HYPERLINK("https://www.health.nsw.gov.au/news/Pages/20200406_00.aspx","Source")</f>
        <v>Source</v>
      </c>
      <c r="J6" s="49"/>
      <c r="K6" s="28"/>
      <c r="L6" s="39">
        <v>2734.0</v>
      </c>
      <c r="M6" s="39">
        <v>21.0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ht="30.0" customHeight="1">
      <c r="A7" s="36" t="s">
        <v>20</v>
      </c>
      <c r="B7" s="39">
        <v>1228.0</v>
      </c>
      <c r="C7" s="35">
        <f t="shared" si="1"/>
        <v>16</v>
      </c>
      <c r="D7" s="53">
        <v>12.0</v>
      </c>
      <c r="E7" s="55">
        <f t="shared" si="2"/>
        <v>0</v>
      </c>
      <c r="F7" s="57">
        <f t="shared" si="3"/>
        <v>0.009771986971</v>
      </c>
      <c r="G7" s="46">
        <v>11.0</v>
      </c>
      <c r="H7" s="46">
        <v>736.0</v>
      </c>
      <c r="I7" s="48" t="str">
        <f>HYPERLINK("https://www.dhhs.vic.gov.au/coronavirus-update-victoria-6-april-2020","Source")</f>
        <v>Source</v>
      </c>
      <c r="J7" s="49"/>
      <c r="K7" s="28"/>
      <c r="L7" s="39">
        <v>1212.0</v>
      </c>
      <c r="M7" s="53">
        <v>12.0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ht="30.0" customHeight="1">
      <c r="A8" s="30" t="s">
        <v>22</v>
      </c>
      <c r="B8" s="32">
        <v>953.0</v>
      </c>
      <c r="C8" s="35">
        <f t="shared" si="1"/>
        <v>10</v>
      </c>
      <c r="D8" s="61">
        <v>4.0</v>
      </c>
      <c r="E8" s="55">
        <f t="shared" si="2"/>
        <v>0</v>
      </c>
      <c r="F8" s="41">
        <f t="shared" si="3"/>
        <v>0.004197271773</v>
      </c>
      <c r="G8" s="46" t="s">
        <v>24</v>
      </c>
      <c r="H8" s="64">
        <v>345.0</v>
      </c>
      <c r="I8" s="45" t="str">
        <f>HYPERLINK("https://www.health.qld.gov.au/news-events/doh-media-releases/releases/queensland-novel-coronavirus-covid-19-update-2020-04-06","Source")</f>
        <v>Source</v>
      </c>
      <c r="J8" s="49"/>
      <c r="K8" s="28"/>
      <c r="L8" s="32">
        <v>943.0</v>
      </c>
      <c r="M8" s="61">
        <v>4.0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ht="30.0" customHeight="1">
      <c r="A9" s="36" t="s">
        <v>25</v>
      </c>
      <c r="B9" s="39">
        <v>495.0</v>
      </c>
      <c r="C9" s="35">
        <f t="shared" si="1"/>
        <v>14</v>
      </c>
      <c r="D9" s="53">
        <v>6.0</v>
      </c>
      <c r="E9" s="55">
        <f t="shared" si="2"/>
        <v>0</v>
      </c>
      <c r="F9" s="41">
        <f t="shared" si="3"/>
        <v>0.01212121212</v>
      </c>
      <c r="G9" s="46">
        <v>18.0</v>
      </c>
      <c r="H9" s="46">
        <v>170.0</v>
      </c>
      <c r="I9" s="48" t="str">
        <f>HYPERLINK("https://ww2.health.wa.gov.au/Media-releases/2020/COVID19-update-6-April-2020","Source")</f>
        <v>Source</v>
      </c>
      <c r="J9" s="49"/>
      <c r="K9" s="28"/>
      <c r="L9" s="39">
        <v>481.0</v>
      </c>
      <c r="M9" s="53">
        <v>6.0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ht="30.0" customHeight="1">
      <c r="A10" s="36" t="s">
        <v>29</v>
      </c>
      <c r="B10" s="39">
        <v>420.0</v>
      </c>
      <c r="C10" s="35">
        <f t="shared" si="1"/>
        <v>5</v>
      </c>
      <c r="D10" s="53">
        <v>3.0</v>
      </c>
      <c r="E10" s="55">
        <f t="shared" si="2"/>
        <v>1</v>
      </c>
      <c r="F10" s="57">
        <f t="shared" si="3"/>
        <v>0.007142857143</v>
      </c>
      <c r="G10" s="46">
        <v>10.0</v>
      </c>
      <c r="H10" s="46">
        <v>120.0</v>
      </c>
      <c r="I10" s="48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49"/>
      <c r="K10" s="28"/>
      <c r="L10" s="39">
        <v>415.0</v>
      </c>
      <c r="M10" s="53">
        <v>2.0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ht="30.0" customHeight="1">
      <c r="A11" s="36" t="s">
        <v>33</v>
      </c>
      <c r="B11" s="39">
        <v>111.0</v>
      </c>
      <c r="C11" s="35">
        <f t="shared" si="1"/>
        <v>4</v>
      </c>
      <c r="D11" s="53">
        <v>3.0</v>
      </c>
      <c r="E11" s="55">
        <f t="shared" si="2"/>
        <v>0</v>
      </c>
      <c r="F11" s="41">
        <f t="shared" si="3"/>
        <v>0.02702702703</v>
      </c>
      <c r="G11" s="46" t="s">
        <v>24</v>
      </c>
      <c r="H11" s="46">
        <v>48.0</v>
      </c>
      <c r="I11" s="48" t="str">
        <f>HYPERLINK("https://twitter.com/abchobart/status/1248184081776627713","Source")</f>
        <v>Source</v>
      </c>
      <c r="J11" s="49"/>
      <c r="K11" s="28"/>
      <c r="L11" s="39">
        <v>107.0</v>
      </c>
      <c r="M11" s="53">
        <v>3.0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ht="30.0" customHeight="1">
      <c r="A12" s="36" t="s">
        <v>36</v>
      </c>
      <c r="B12" s="39">
        <v>100.0</v>
      </c>
      <c r="C12" s="35">
        <f t="shared" si="1"/>
        <v>1</v>
      </c>
      <c r="D12" s="53">
        <v>2.0</v>
      </c>
      <c r="E12" s="55">
        <f t="shared" si="2"/>
        <v>0</v>
      </c>
      <c r="F12" s="57">
        <f t="shared" si="3"/>
        <v>0.02</v>
      </c>
      <c r="G12" s="46" t="s">
        <v>24</v>
      </c>
      <c r="H12" s="46">
        <v>47.0</v>
      </c>
      <c r="I12" s="48" t="str">
        <f>HYPERLINK("https://www.covid19.act.gov.au/news-articles/covid-19-update-6-april-0-new-cases","Source")</f>
        <v>Source</v>
      </c>
      <c r="J12" s="49"/>
      <c r="K12" s="28"/>
      <c r="L12" s="39">
        <v>99.0</v>
      </c>
      <c r="M12" s="53">
        <v>2.0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ht="30.0" customHeight="1">
      <c r="A13" s="36" t="s">
        <v>39</v>
      </c>
      <c r="B13" s="39">
        <v>28.0</v>
      </c>
      <c r="C13" s="35">
        <f t="shared" si="1"/>
        <v>0</v>
      </c>
      <c r="D13" s="53">
        <v>0.0</v>
      </c>
      <c r="E13" s="55">
        <f t="shared" si="2"/>
        <v>0</v>
      </c>
      <c r="F13" s="57">
        <f t="shared" si="3"/>
        <v>0</v>
      </c>
      <c r="G13" s="46" t="s">
        <v>24</v>
      </c>
      <c r="H13" s="46">
        <v>2.0</v>
      </c>
      <c r="I13" s="48" t="str">
        <f>HYPERLINK("http://mediareleases.nt.gov.au/mediaRelease/33157","Source")</f>
        <v>Source</v>
      </c>
      <c r="J13" s="49"/>
      <c r="K13" s="28"/>
      <c r="L13" s="39">
        <v>28.0</v>
      </c>
      <c r="M13" s="53">
        <v>0.0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ht="30.0" customHeight="1">
      <c r="A14" s="36" t="s">
        <v>42</v>
      </c>
      <c r="B14" s="39">
        <v>0.0</v>
      </c>
      <c r="C14" s="35">
        <f t="shared" si="1"/>
        <v>0</v>
      </c>
      <c r="D14" s="53">
        <v>0.0</v>
      </c>
      <c r="E14" s="38">
        <f t="shared" ref="E14:E15" si="4">MINUS(D14,L14)</f>
        <v>0</v>
      </c>
      <c r="F14" s="73" t="s">
        <v>45</v>
      </c>
      <c r="G14" s="46">
        <v>0.0</v>
      </c>
      <c r="H14" s="46">
        <v>0.0</v>
      </c>
      <c r="I14" s="75"/>
      <c r="J14" s="28"/>
      <c r="K14" s="28"/>
      <c r="L14" s="39">
        <v>0.0</v>
      </c>
      <c r="M14" s="53">
        <v>0.0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ht="30.0" customHeight="1">
      <c r="A15" s="36" t="s">
        <v>47</v>
      </c>
      <c r="B15" s="39">
        <v>0.0</v>
      </c>
      <c r="C15" s="35">
        <f t="shared" si="1"/>
        <v>0</v>
      </c>
      <c r="D15" s="53">
        <v>0.0</v>
      </c>
      <c r="E15" s="38">
        <f t="shared" si="4"/>
        <v>0</v>
      </c>
      <c r="F15" s="77" t="s">
        <v>45</v>
      </c>
      <c r="G15" s="46">
        <v>0.0</v>
      </c>
      <c r="H15" s="46">
        <v>0.0</v>
      </c>
      <c r="I15" s="75"/>
      <c r="J15" s="28"/>
      <c r="K15" s="28"/>
      <c r="L15" s="39">
        <v>0.0</v>
      </c>
      <c r="M15" s="53">
        <v>0.0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ht="12.75" customHeight="1">
      <c r="A16" s="78"/>
      <c r="B16" s="79"/>
      <c r="C16" s="78"/>
      <c r="D16" s="80"/>
      <c r="E16" s="78"/>
      <c r="F16" s="81"/>
      <c r="G16" s="81"/>
      <c r="H16" s="81"/>
      <c r="I16" s="82"/>
      <c r="J16" s="28"/>
      <c r="K16" s="28"/>
      <c r="L16" s="79"/>
      <c r="M16" s="80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ht="30.0" customHeight="1">
      <c r="A17" s="83" t="s">
        <v>52</v>
      </c>
      <c r="B17" s="84">
        <f>SUM(B6:B15)</f>
        <v>6108</v>
      </c>
      <c r="C17" s="35">
        <f>MINUS(B17,L17)</f>
        <v>89</v>
      </c>
      <c r="D17" s="84">
        <f>SUM(D6:D15)</f>
        <v>51</v>
      </c>
      <c r="E17" s="38">
        <f>MINUS(D17,M17)</f>
        <v>1</v>
      </c>
      <c r="F17" s="41">
        <f>DIVIDE(D17, B17)</f>
        <v>0.008349705305</v>
      </c>
      <c r="G17" s="84">
        <f t="shared" ref="G17:H17" si="5">SUM(G6:G15)</f>
        <v>79</v>
      </c>
      <c r="H17" s="84">
        <f t="shared" si="5"/>
        <v>1472</v>
      </c>
      <c r="I17" s="86"/>
      <c r="J17" s="28"/>
      <c r="K17" s="28"/>
      <c r="L17" s="84">
        <f t="shared" ref="L17:M17" si="6">SUM(L6:L15)</f>
        <v>6019</v>
      </c>
      <c r="M17" s="84">
        <f t="shared" si="6"/>
        <v>50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>
      <c r="A18" s="87"/>
      <c r="B18" s="88"/>
      <c r="C18" s="88"/>
      <c r="D18" s="88"/>
      <c r="E18" s="88"/>
      <c r="F18" s="89"/>
      <c r="G18" s="89"/>
      <c r="H18" s="88"/>
      <c r="I18" s="90"/>
      <c r="J18" s="6"/>
      <c r="K18" s="6"/>
      <c r="L18" s="88"/>
      <c r="M18" s="8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91"/>
      <c r="B19" s="92"/>
      <c r="C19" s="92"/>
      <c r="D19" s="10"/>
      <c r="E19" s="10"/>
      <c r="F19" s="10"/>
      <c r="G19" s="10"/>
      <c r="H19" s="10"/>
      <c r="I19" s="4"/>
      <c r="J19" s="6"/>
      <c r="K19" s="6"/>
      <c r="L19" s="92"/>
      <c r="M19" s="1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93"/>
      <c r="B20" s="10"/>
      <c r="C20" s="10"/>
      <c r="D20" s="10"/>
      <c r="E20" s="10"/>
      <c r="F20" s="10"/>
      <c r="G20" s="10"/>
      <c r="H20" s="10"/>
      <c r="I20" s="4"/>
      <c r="J20" s="4"/>
      <c r="K20" s="4"/>
      <c r="L20" s="10"/>
      <c r="M20" s="10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93"/>
      <c r="B21" s="10"/>
      <c r="C21" s="10"/>
      <c r="D21" s="10"/>
      <c r="E21" s="10"/>
      <c r="F21" s="10"/>
      <c r="G21" s="10"/>
      <c r="H21" s="10"/>
      <c r="I21" s="4"/>
      <c r="J21" s="4"/>
      <c r="K21" s="4"/>
      <c r="L21" s="10"/>
      <c r="M21" s="1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4"/>
      <c r="K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2</v>
      </c>
      <c r="B2" s="3" t="s">
        <v>3</v>
      </c>
      <c r="C2" s="5" t="s">
        <v>4</v>
      </c>
      <c r="D2" s="3"/>
      <c r="E2" s="7" t="s">
        <v>5</v>
      </c>
      <c r="I2" s="9"/>
      <c r="J2" s="6"/>
      <c r="K2" s="4"/>
      <c r="L2" s="3" t="s">
        <v>3</v>
      </c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>
        <f>SUM(B20, B21)</f>
        <v>20765</v>
      </c>
      <c r="B3" s="12">
        <f>SUM(D20, D21)</f>
        <v>509</v>
      </c>
      <c r="C3" s="14">
        <f>SUM(H20, H21)</f>
        <v>5311</v>
      </c>
      <c r="D3" s="12"/>
      <c r="E3" s="15">
        <f>MINUS(A3,B3 + C3)</f>
        <v>14945</v>
      </c>
      <c r="F3" s="15"/>
      <c r="G3" s="15"/>
      <c r="H3" s="5"/>
      <c r="I3" s="9"/>
      <c r="J3" s="6"/>
      <c r="K3" s="4"/>
      <c r="L3" s="12">
        <f>SUM(N20, N21)</f>
        <v>0</v>
      </c>
      <c r="M3" s="1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7"/>
      <c r="B4" s="9"/>
      <c r="C4" s="9"/>
      <c r="D4" s="9"/>
      <c r="E4" s="9"/>
      <c r="F4" s="8"/>
      <c r="G4" s="8"/>
      <c r="H4" s="8"/>
      <c r="I4" s="9"/>
      <c r="J4" s="6"/>
      <c r="K4" s="4"/>
      <c r="L4" s="9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19" t="s">
        <v>79</v>
      </c>
      <c r="B5" s="21" t="s">
        <v>8</v>
      </c>
      <c r="C5" s="23" t="s">
        <v>9</v>
      </c>
      <c r="D5" s="21" t="s">
        <v>10</v>
      </c>
      <c r="E5" s="24" t="s">
        <v>11</v>
      </c>
      <c r="F5" s="24" t="s">
        <v>13</v>
      </c>
      <c r="G5" s="26" t="s">
        <v>14</v>
      </c>
      <c r="H5" s="26" t="s">
        <v>15</v>
      </c>
      <c r="I5" s="21" t="s">
        <v>16</v>
      </c>
      <c r="J5" s="28"/>
      <c r="K5" s="28"/>
      <c r="L5" s="21" t="s">
        <v>8</v>
      </c>
      <c r="M5" s="21" t="s">
        <v>10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30.0" customHeight="1">
      <c r="A6" s="36" t="s">
        <v>81</v>
      </c>
      <c r="B6" s="39">
        <v>10912.0</v>
      </c>
      <c r="C6" s="35">
        <f t="shared" ref="C6:C20" si="1">MINUS(B6,L6)</f>
        <v>881</v>
      </c>
      <c r="D6" s="53">
        <v>216.0</v>
      </c>
      <c r="E6" s="55">
        <f t="shared" ref="E6:E20" si="2">MINUS(D6,M6)</f>
        <v>41</v>
      </c>
      <c r="F6" s="41">
        <f t="shared" ref="F6:F18" si="3">DIVIDE(D6, B6)</f>
        <v>0.01979472141</v>
      </c>
      <c r="G6" s="46" t="s">
        <v>24</v>
      </c>
      <c r="H6" s="44">
        <v>1112.0</v>
      </c>
      <c r="I6" s="48" t="str">
        <f>HYPERLINK("https://twitter.com/sante_qc/status/1247936307629785088","Source")</f>
        <v>Source</v>
      </c>
      <c r="J6" s="28"/>
      <c r="K6" s="28"/>
      <c r="L6" s="39">
        <v>10031.0</v>
      </c>
      <c r="M6" s="53">
        <v>175.0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30.0" customHeight="1">
      <c r="A7" s="30" t="s">
        <v>85</v>
      </c>
      <c r="B7" s="32">
        <v>5759.0</v>
      </c>
      <c r="C7" s="35">
        <f t="shared" si="1"/>
        <v>483</v>
      </c>
      <c r="D7" s="61">
        <v>200.0</v>
      </c>
      <c r="E7" s="55">
        <f t="shared" si="2"/>
        <v>26</v>
      </c>
      <c r="F7" s="63">
        <f t="shared" si="3"/>
        <v>0.03472825143</v>
      </c>
      <c r="G7" s="46">
        <v>233.0</v>
      </c>
      <c r="H7" s="42">
        <v>2305.0</v>
      </c>
      <c r="I7" s="45" t="str">
        <f>HYPERLINK("https://www.ontario.ca/page/2019-novel-coronavirus","Source")</f>
        <v>Source</v>
      </c>
      <c r="J7" s="51"/>
      <c r="K7" s="28"/>
      <c r="L7" s="32">
        <v>5276.0</v>
      </c>
      <c r="M7" s="61">
        <v>174.0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30.0" customHeight="1">
      <c r="A8" s="36" t="s">
        <v>89</v>
      </c>
      <c r="B8" s="39">
        <v>1451.0</v>
      </c>
      <c r="C8" s="35">
        <f t="shared" si="1"/>
        <v>28</v>
      </c>
      <c r="D8" s="53">
        <v>32.0</v>
      </c>
      <c r="E8" s="55">
        <f t="shared" si="2"/>
        <v>3</v>
      </c>
      <c r="F8" s="63">
        <f t="shared" si="3"/>
        <v>0.02205375603</v>
      </c>
      <c r="G8" s="46">
        <v>14.0</v>
      </c>
      <c r="H8" s="46">
        <v>592.0</v>
      </c>
      <c r="I8" s="48" t="str">
        <f>HYPERLINK("https://www.alberta.ca/coronavirus-info-for-albertans.aspx","Source")</f>
        <v>Source</v>
      </c>
      <c r="J8" s="28"/>
      <c r="K8" s="28"/>
      <c r="L8" s="39">
        <v>1423.0</v>
      </c>
      <c r="M8" s="53">
        <v>29.0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30.0" customHeight="1">
      <c r="A9" s="36" t="s">
        <v>92</v>
      </c>
      <c r="B9" s="39">
        <v>1370.0</v>
      </c>
      <c r="C9" s="35">
        <f t="shared" si="1"/>
        <v>34</v>
      </c>
      <c r="D9" s="39">
        <v>50.0</v>
      </c>
      <c r="E9" s="38">
        <f t="shared" si="2"/>
        <v>2</v>
      </c>
      <c r="F9" s="41">
        <f t="shared" si="3"/>
        <v>0.03649635036</v>
      </c>
      <c r="G9" s="44">
        <v>72.0</v>
      </c>
      <c r="H9" s="46">
        <v>858.0</v>
      </c>
      <c r="I9" s="48" t="str">
        <f>HYPERLINK("https://twitter.com/richardzussman/status/1247263630543835137","Source")</f>
        <v>Source</v>
      </c>
      <c r="J9" s="28"/>
      <c r="K9" s="28"/>
      <c r="L9" s="39">
        <v>1336.0</v>
      </c>
      <c r="M9" s="39">
        <v>48.0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30.0" customHeight="1">
      <c r="A10" s="36" t="s">
        <v>95</v>
      </c>
      <c r="B10" s="39">
        <v>373.0</v>
      </c>
      <c r="C10" s="35">
        <f t="shared" si="1"/>
        <v>31</v>
      </c>
      <c r="D10" s="53">
        <v>3.0</v>
      </c>
      <c r="E10" s="55">
        <f t="shared" si="2"/>
        <v>2</v>
      </c>
      <c r="F10" s="41">
        <f t="shared" si="3"/>
        <v>0.008042895442</v>
      </c>
      <c r="G10" s="46" t="s">
        <v>24</v>
      </c>
      <c r="H10" s="46">
        <v>82.0</v>
      </c>
      <c r="I10" s="48" t="str">
        <f>HYPERLINK("https://novascotia.ca/coronavirus/#alerts","Source")</f>
        <v>Source</v>
      </c>
      <c r="J10" s="28"/>
      <c r="K10" s="28"/>
      <c r="L10" s="39">
        <v>342.0</v>
      </c>
      <c r="M10" s="53">
        <v>1.0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30.0" customHeight="1">
      <c r="A11" s="36" t="s">
        <v>99</v>
      </c>
      <c r="B11" s="39">
        <v>278.0</v>
      </c>
      <c r="C11" s="35">
        <f t="shared" si="1"/>
        <v>7</v>
      </c>
      <c r="D11" s="53">
        <v>3.0</v>
      </c>
      <c r="E11" s="55">
        <f t="shared" si="2"/>
        <v>0</v>
      </c>
      <c r="F11" s="41">
        <f t="shared" si="3"/>
        <v>0.01079136691</v>
      </c>
      <c r="G11" s="46">
        <v>4.0</v>
      </c>
      <c r="H11" s="46">
        <v>115.0</v>
      </c>
      <c r="I11" s="48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1" s="28"/>
      <c r="K11" s="28"/>
      <c r="L11" s="39">
        <v>271.0</v>
      </c>
      <c r="M11" s="53">
        <v>3.0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30.0" customHeight="1">
      <c r="A12" s="36" t="s">
        <v>102</v>
      </c>
      <c r="B12" s="39">
        <v>236.0</v>
      </c>
      <c r="C12" s="35">
        <f t="shared" si="1"/>
        <v>4</v>
      </c>
      <c r="D12" s="53">
        <v>2.0</v>
      </c>
      <c r="E12" s="55">
        <f t="shared" si="2"/>
        <v>0</v>
      </c>
      <c r="F12" s="63">
        <f t="shared" si="3"/>
        <v>0.008474576271</v>
      </c>
      <c r="G12" s="46">
        <v>4.0</v>
      </c>
      <c r="H12" s="46">
        <v>96.0</v>
      </c>
      <c r="I12" s="48" t="str">
        <f>HYPERLINK("https://www.cbc.ca/news/canada/newfoundland-labrador/newfoundland-labrador-covid-april-6-1.5523014","Source")</f>
        <v>Source</v>
      </c>
      <c r="J12" s="28"/>
      <c r="K12" s="96"/>
      <c r="L12" s="39">
        <v>232.0</v>
      </c>
      <c r="M12" s="53">
        <v>2.0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30.0" customHeight="1">
      <c r="A13" s="36" t="s">
        <v>107</v>
      </c>
      <c r="B13" s="39">
        <v>224.0</v>
      </c>
      <c r="C13" s="35">
        <f t="shared" si="1"/>
        <v>3</v>
      </c>
      <c r="D13" s="53">
        <v>3.0</v>
      </c>
      <c r="E13" s="55">
        <f t="shared" si="2"/>
        <v>0</v>
      </c>
      <c r="F13" s="41">
        <f t="shared" si="3"/>
        <v>0.01339285714</v>
      </c>
      <c r="G13" s="46">
        <v>6.0</v>
      </c>
      <c r="H13" s="46">
        <v>76.0</v>
      </c>
      <c r="I13" s="48" t="str">
        <f>HYPERLINK("https://www.gov.mb.ca/covid19/updates/index.html","Source")</f>
        <v>Source</v>
      </c>
      <c r="J13" s="28"/>
      <c r="K13" s="28"/>
      <c r="L13" s="39">
        <v>221.0</v>
      </c>
      <c r="M13" s="53">
        <v>3.0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30.0" customHeight="1">
      <c r="A14" s="36" t="s">
        <v>110</v>
      </c>
      <c r="B14" s="39">
        <v>111.0</v>
      </c>
      <c r="C14" s="35">
        <f t="shared" si="1"/>
        <v>6</v>
      </c>
      <c r="D14" s="53">
        <v>0.0</v>
      </c>
      <c r="E14" s="55">
        <f t="shared" si="2"/>
        <v>0</v>
      </c>
      <c r="F14" s="63">
        <f t="shared" si="3"/>
        <v>0</v>
      </c>
      <c r="G14" s="46" t="s">
        <v>24</v>
      </c>
      <c r="H14" s="46">
        <v>53.0</v>
      </c>
      <c r="I14" s="48" t="str">
        <f>HYPERLINK("https://www2.gnb.ca/content/gnb/en/departments/ocmoh/cdc/content/respiratory_diseases/coronavirus.html","Source")</f>
        <v>Source</v>
      </c>
      <c r="J14" s="28"/>
      <c r="K14" s="28"/>
      <c r="L14" s="39">
        <v>105.0</v>
      </c>
      <c r="M14" s="53">
        <v>0.0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30.0" customHeight="1">
      <c r="A15" s="36" t="s">
        <v>114</v>
      </c>
      <c r="B15" s="39">
        <v>25.0</v>
      </c>
      <c r="C15" s="35">
        <f t="shared" si="1"/>
        <v>0</v>
      </c>
      <c r="D15" s="53">
        <v>0.0</v>
      </c>
      <c r="E15" s="55">
        <f t="shared" si="2"/>
        <v>0</v>
      </c>
      <c r="F15" s="41">
        <f t="shared" si="3"/>
        <v>0</v>
      </c>
      <c r="G15" s="46" t="s">
        <v>24</v>
      </c>
      <c r="H15" s="46">
        <v>17.0</v>
      </c>
      <c r="I15" s="48" t="str">
        <f>HYPERLINK("https://www.princeedwardisland.ca/en/topic/covid-19","Source")</f>
        <v>Source</v>
      </c>
      <c r="J15" s="28"/>
      <c r="K15" s="28"/>
      <c r="L15" s="39">
        <v>25.0</v>
      </c>
      <c r="M15" s="53">
        <v>0.0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30.0" customHeight="1">
      <c r="A16" s="36" t="s">
        <v>118</v>
      </c>
      <c r="B16" s="39">
        <v>13.0</v>
      </c>
      <c r="C16" s="35">
        <f t="shared" si="1"/>
        <v>0</v>
      </c>
      <c r="D16" s="53">
        <v>0.0</v>
      </c>
      <c r="E16" s="55">
        <f t="shared" si="2"/>
        <v>0</v>
      </c>
      <c r="F16" s="63">
        <f t="shared" si="3"/>
        <v>0</v>
      </c>
      <c r="G16" s="46" t="s">
        <v>24</v>
      </c>
      <c r="H16" s="46" t="s">
        <v>24</v>
      </c>
      <c r="I16" s="48" t="str">
        <f>HYPERLINK("https://www.canada.ca/en/public-health/services/diseases/2019-novel-coronavirus-infection.html#a1","Source")</f>
        <v>Source</v>
      </c>
      <c r="J16" s="28"/>
      <c r="K16" s="28"/>
      <c r="L16" s="39">
        <v>13.0</v>
      </c>
      <c r="M16" s="53">
        <v>0.0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30.0" customHeight="1">
      <c r="A17" s="36" t="s">
        <v>122</v>
      </c>
      <c r="B17" s="39">
        <v>8.0</v>
      </c>
      <c r="C17" s="35">
        <f t="shared" si="1"/>
        <v>1</v>
      </c>
      <c r="D17" s="53">
        <v>0.0</v>
      </c>
      <c r="E17" s="55">
        <f t="shared" si="2"/>
        <v>0</v>
      </c>
      <c r="F17" s="63">
        <f t="shared" si="3"/>
        <v>0</v>
      </c>
      <c r="G17" s="46" t="s">
        <v>24</v>
      </c>
      <c r="H17" s="46">
        <v>4.0</v>
      </c>
      <c r="I17" s="48" t="str">
        <f>HYPERLINK("https://yukon.ca/covid-19","Source")</f>
        <v>Source</v>
      </c>
      <c r="J17" s="28"/>
      <c r="K17" s="28"/>
      <c r="L17" s="39">
        <v>7.0</v>
      </c>
      <c r="M17" s="53">
        <v>0.0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30.0" customHeight="1">
      <c r="A18" s="36" t="s">
        <v>125</v>
      </c>
      <c r="B18" s="39">
        <v>5.0</v>
      </c>
      <c r="C18" s="35">
        <f t="shared" si="1"/>
        <v>0</v>
      </c>
      <c r="D18" s="53">
        <v>0.0</v>
      </c>
      <c r="E18" s="55">
        <f t="shared" si="2"/>
        <v>0</v>
      </c>
      <c r="F18" s="41">
        <f t="shared" si="3"/>
        <v>0</v>
      </c>
      <c r="G18" s="46" t="s">
        <v>24</v>
      </c>
      <c r="H18" s="46">
        <v>1.0</v>
      </c>
      <c r="I18" s="48" t="str">
        <f>HYPERLINK("https://www.cbc.ca/news/canada/north/nwt-first-case-covid19-1.5505701","Source")</f>
        <v>Source</v>
      </c>
      <c r="J18" s="28"/>
      <c r="K18" s="28"/>
      <c r="L18" s="39">
        <v>5.0</v>
      </c>
      <c r="M18" s="53">
        <v>0.0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30.0" customHeight="1">
      <c r="A19" s="36" t="s">
        <v>128</v>
      </c>
      <c r="B19" s="39">
        <v>0.0</v>
      </c>
      <c r="C19" s="35">
        <f t="shared" si="1"/>
        <v>0</v>
      </c>
      <c r="D19" s="53">
        <v>0.0</v>
      </c>
      <c r="E19" s="55">
        <f t="shared" si="2"/>
        <v>0</v>
      </c>
      <c r="F19" s="97" t="s">
        <v>45</v>
      </c>
      <c r="G19" s="46" t="s">
        <v>45</v>
      </c>
      <c r="H19" s="46" t="s">
        <v>45</v>
      </c>
      <c r="I19" s="48" t="str">
        <f>HYPERLINK("https://www.gov.nu.ca/health/information/covid-19-novel-coronavirus","Source")</f>
        <v>Source</v>
      </c>
      <c r="J19" s="28"/>
      <c r="K19" s="28"/>
      <c r="L19" s="39">
        <v>0.0</v>
      </c>
      <c r="M19" s="53">
        <v>0.0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30.0" customHeight="1">
      <c r="A20" s="83" t="s">
        <v>52</v>
      </c>
      <c r="B20" s="84">
        <f>SUM(B6:B19)</f>
        <v>20765</v>
      </c>
      <c r="C20" s="35">
        <f t="shared" si="1"/>
        <v>1478</v>
      </c>
      <c r="D20" s="84">
        <f>SUM(D6:D19)</f>
        <v>509</v>
      </c>
      <c r="E20" s="38">
        <f t="shared" si="2"/>
        <v>74</v>
      </c>
      <c r="F20" s="41">
        <f>DIVIDE(D20, B20)</f>
        <v>0.02451240067</v>
      </c>
      <c r="G20" s="84">
        <f t="shared" ref="G20:H20" si="4">SUM(G6:G19)</f>
        <v>333</v>
      </c>
      <c r="H20" s="84">
        <f t="shared" si="4"/>
        <v>5311</v>
      </c>
      <c r="I20" s="86"/>
      <c r="J20" s="28"/>
      <c r="K20" s="28"/>
      <c r="L20" s="84">
        <f t="shared" ref="L20:M20" si="5">SUM(L6:L19)</f>
        <v>19287</v>
      </c>
      <c r="M20" s="84">
        <f t="shared" si="5"/>
        <v>435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93"/>
      <c r="B21" s="10"/>
      <c r="C21" s="10"/>
      <c r="D21" s="10"/>
      <c r="E21" s="10"/>
      <c r="F21" s="10"/>
      <c r="G21" s="10"/>
      <c r="H21" s="10"/>
      <c r="I21" s="4"/>
      <c r="J21" s="6"/>
      <c r="K21" s="6"/>
      <c r="L21" s="10"/>
      <c r="M21" s="1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1"/>
      <c r="B22" s="92"/>
      <c r="C22" s="92"/>
      <c r="D22" s="10"/>
      <c r="E22" s="10"/>
      <c r="F22" s="10"/>
      <c r="G22" s="10"/>
      <c r="H22" s="10"/>
      <c r="I22" s="4"/>
      <c r="J22" s="6"/>
      <c r="K22" s="6"/>
      <c r="L22" s="92"/>
      <c r="M22" s="10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3"/>
      <c r="B23" s="10"/>
      <c r="C23" s="10"/>
      <c r="D23" s="10"/>
      <c r="E23" s="10"/>
      <c r="F23" s="10"/>
      <c r="G23" s="10"/>
      <c r="H23" s="10"/>
      <c r="I23" s="4"/>
      <c r="J23" s="6"/>
      <c r="K23" s="6"/>
      <c r="L23" s="10"/>
      <c r="M23" s="1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3"/>
      <c r="B24" s="10"/>
      <c r="C24" s="10"/>
      <c r="D24" s="10"/>
      <c r="E24" s="10"/>
      <c r="F24" s="10"/>
      <c r="G24" s="10"/>
      <c r="H24" s="10"/>
      <c r="I24" s="4"/>
      <c r="J24" s="6"/>
      <c r="K24" s="4"/>
      <c r="L24" s="10"/>
      <c r="M24" s="10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4"/>
      <c r="I1" s="4"/>
    </row>
    <row r="2">
      <c r="A2" s="3" t="s">
        <v>2</v>
      </c>
      <c r="B2" s="3" t="s">
        <v>3</v>
      </c>
      <c r="D2" s="5" t="s">
        <v>4</v>
      </c>
      <c r="F2" s="7" t="s">
        <v>147</v>
      </c>
      <c r="I2" s="4"/>
    </row>
    <row r="3">
      <c r="A3" s="12">
        <f t="shared" ref="A3:B3" si="1">SUM(B15, B16)</f>
        <v>83887</v>
      </c>
      <c r="B3" s="12">
        <f t="shared" si="1"/>
        <v>3335</v>
      </c>
      <c r="D3" s="14">
        <f>SUM(F15, F16)</f>
        <v>77780</v>
      </c>
      <c r="F3" s="15">
        <f>MINUS(A3,B3 + D3)</f>
        <v>2772</v>
      </c>
      <c r="G3" s="15"/>
      <c r="H3" s="5"/>
      <c r="I3" s="4"/>
    </row>
    <row r="4">
      <c r="A4" s="17"/>
      <c r="B4" s="9"/>
      <c r="C4" s="9"/>
      <c r="D4" s="8"/>
      <c r="E4" s="8"/>
      <c r="F4" s="8"/>
      <c r="G4" s="9"/>
      <c r="H4" s="6"/>
      <c r="I4" s="6"/>
    </row>
    <row r="5" ht="30.0" customHeight="1">
      <c r="A5" s="98" t="s">
        <v>150</v>
      </c>
      <c r="B5" s="99" t="s">
        <v>8</v>
      </c>
      <c r="C5" s="99" t="s">
        <v>10</v>
      </c>
      <c r="D5" s="100" t="s">
        <v>152</v>
      </c>
      <c r="E5" s="100" t="s">
        <v>153</v>
      </c>
      <c r="F5" s="100" t="s">
        <v>15</v>
      </c>
      <c r="G5" s="99"/>
      <c r="H5" s="28"/>
      <c r="I5" s="28"/>
    </row>
    <row r="6" ht="30.0" customHeight="1">
      <c r="A6" s="78" t="s">
        <v>154</v>
      </c>
      <c r="B6" s="79">
        <v>67803.0</v>
      </c>
      <c r="C6" s="79">
        <v>3215.0</v>
      </c>
      <c r="D6" s="101">
        <v>137.0</v>
      </c>
      <c r="E6" s="81" t="s">
        <v>24</v>
      </c>
      <c r="F6" s="101">
        <v>64187.0</v>
      </c>
      <c r="G6" s="102" t="str">
        <f>HYPERLINK("http://www.nhc.gov.cn/yjb/s7860/202004/fa7bb40a7fbf4b2c8f3989d512fe5b77.shtml","Source")</f>
        <v>Source</v>
      </c>
      <c r="H6" s="94"/>
      <c r="I6" s="28"/>
    </row>
    <row r="7" ht="30.0" customHeight="1">
      <c r="A7" s="103" t="s">
        <v>157</v>
      </c>
      <c r="B7" s="104">
        <v>1453.0</v>
      </c>
      <c r="C7" s="105">
        <v>8.0</v>
      </c>
      <c r="D7" s="106">
        <v>2.0</v>
      </c>
      <c r="E7" s="106">
        <v>4.0</v>
      </c>
      <c r="F7" s="107">
        <v>1357.0</v>
      </c>
      <c r="G7" s="108" t="str">
        <f>HYPERLINK("http://wsjkw.gd.gov.cn/zwyw_yqxx/content/post_2963066.html","Source")</f>
        <v>Source</v>
      </c>
      <c r="H7" s="28"/>
      <c r="I7" s="28"/>
    </row>
    <row r="8" ht="30.0" customHeight="1">
      <c r="A8" s="78" t="s">
        <v>160</v>
      </c>
      <c r="B8" s="79">
        <v>1276.0</v>
      </c>
      <c r="C8" s="80">
        <v>22.0</v>
      </c>
      <c r="D8" s="81">
        <v>0.0</v>
      </c>
      <c r="E8" s="81">
        <v>0.0</v>
      </c>
      <c r="F8" s="101">
        <v>1251.0</v>
      </c>
      <c r="G8" s="102" t="str">
        <f>HYPERLINK("https://m.weibo.cn/detail/4488452735550800","Source")</f>
        <v>Source</v>
      </c>
      <c r="H8" s="94"/>
      <c r="I8" s="28"/>
    </row>
    <row r="9" ht="30.0" customHeight="1">
      <c r="A9" s="78" t="s">
        <v>161</v>
      </c>
      <c r="B9" s="79">
        <v>1257.0</v>
      </c>
      <c r="C9" s="80">
        <v>1.0</v>
      </c>
      <c r="D9" s="81" t="s">
        <v>24</v>
      </c>
      <c r="E9" s="81" t="s">
        <v>24</v>
      </c>
      <c r="F9" s="101">
        <v>1226.0</v>
      </c>
      <c r="G9" s="109" t="str">
        <f>HYPERLINK("http://www.bjnews.com.cn/feature/2020/03/31/711060.html","Source")</f>
        <v>Source</v>
      </c>
      <c r="H9" s="28"/>
      <c r="I9" s="28"/>
    </row>
    <row r="10" ht="30.0" customHeight="1">
      <c r="A10" s="78" t="s">
        <v>164</v>
      </c>
      <c r="B10" s="79">
        <v>1018.0</v>
      </c>
      <c r="C10" s="80">
        <v>4.0</v>
      </c>
      <c r="D10" s="81">
        <v>0.0</v>
      </c>
      <c r="E10" s="81">
        <v>0.0</v>
      </c>
      <c r="F10" s="101">
        <v>1014.0</v>
      </c>
      <c r="G10" s="102" t="str">
        <f>HYPERLINK("http://wjw.hunan.gov.cn/wjw/xxgk/gzdt/zyxw_1/202003/t20200331_11867420.html","Source")</f>
        <v>Source</v>
      </c>
      <c r="H10" s="28"/>
      <c r="I10" s="28"/>
    </row>
    <row r="11" ht="30.0" customHeight="1">
      <c r="A11" s="78" t="s">
        <v>165</v>
      </c>
      <c r="B11" s="79">
        <v>580.0</v>
      </c>
      <c r="C11" s="80">
        <v>8.0</v>
      </c>
      <c r="D11" s="81" t="s">
        <v>24</v>
      </c>
      <c r="E11" s="81" t="s">
        <v>24</v>
      </c>
      <c r="F11" s="81">
        <v>418.0</v>
      </c>
      <c r="G11" s="109" t="str">
        <f>HYPERLINK("http://wjw.beijing.gov.cn/xwzx_20031/wnxw/202004/t20200401_1771919.html","Source")</f>
        <v>Source</v>
      </c>
      <c r="H11" s="28"/>
      <c r="I11" s="28"/>
    </row>
    <row r="12" ht="30.0" customHeight="1">
      <c r="A12" s="78" t="s">
        <v>169</v>
      </c>
      <c r="B12" s="79">
        <v>516.0</v>
      </c>
      <c r="C12" s="80">
        <v>7.0</v>
      </c>
      <c r="D12" s="81">
        <v>0.0</v>
      </c>
      <c r="E12" s="81">
        <v>5.0</v>
      </c>
      <c r="F12" s="81">
        <v>341.0</v>
      </c>
      <c r="G12" s="102" t="str">
        <f>HYPERLINK("http://wsjkw.sh.gov.cn/xwfb/20200401/50133c67b43d4c91a884d6de41dfce23.html","Source")</f>
        <v>Source</v>
      </c>
      <c r="H12" s="28"/>
      <c r="I12" s="28"/>
    </row>
    <row r="13" ht="30.0" customHeight="1">
      <c r="A13" s="78" t="s">
        <v>170</v>
      </c>
      <c r="B13" s="79">
        <v>7962.0</v>
      </c>
      <c r="C13" s="80">
        <v>70.0</v>
      </c>
      <c r="D13" s="81" t="s">
        <v>171</v>
      </c>
      <c r="E13" s="81" t="s">
        <v>24</v>
      </c>
      <c r="F13" s="101">
        <v>7576.0</v>
      </c>
      <c r="G13" s="102" t="str">
        <f>HYPERLINK("http://www.nhc.gov.cn/yjb/s7860/202004/fa7bb40a7fbf4b2c8f3989d512fe5b77.shtml","Source")</f>
        <v>Source</v>
      </c>
      <c r="H13" s="94"/>
      <c r="I13" s="28"/>
    </row>
    <row r="14" ht="30.0" customHeight="1">
      <c r="A14" s="78" t="s">
        <v>173</v>
      </c>
      <c r="B14" s="79">
        <v>2022.0</v>
      </c>
      <c r="C14" s="80">
        <v>0.0</v>
      </c>
      <c r="D14" s="81">
        <v>0.0</v>
      </c>
      <c r="E14" s="81">
        <v>0.0</v>
      </c>
      <c r="F14" s="101">
        <v>410.0</v>
      </c>
      <c r="G14" s="82"/>
      <c r="H14" s="94"/>
      <c r="I14" s="28"/>
    </row>
    <row r="15" ht="30.0" customHeight="1">
      <c r="A15" s="87" t="s">
        <v>52</v>
      </c>
      <c r="B15" s="110">
        <f t="shared" ref="B15:C15" si="2">SUM(B6:B14)</f>
        <v>83887</v>
      </c>
      <c r="C15" s="110">
        <f t="shared" si="2"/>
        <v>3335</v>
      </c>
      <c r="D15" s="110">
        <v>176.0</v>
      </c>
      <c r="E15" s="110"/>
      <c r="F15" s="110">
        <f>SUM(F6:F14)</f>
        <v>77780</v>
      </c>
      <c r="G15" s="90"/>
      <c r="H15" s="28"/>
      <c r="I15" s="28"/>
    </row>
    <row r="16">
      <c r="A16" s="87"/>
      <c r="B16" s="88"/>
      <c r="C16" s="88"/>
      <c r="D16" s="89"/>
      <c r="E16" s="111"/>
      <c r="F16" s="88"/>
      <c r="G16" s="90"/>
      <c r="H16" s="6"/>
      <c r="I16" s="6"/>
    </row>
    <row r="17">
      <c r="A17" s="91"/>
      <c r="B17" s="92"/>
      <c r="C17" s="10"/>
      <c r="D17" s="10"/>
      <c r="E17" s="10"/>
      <c r="F17" s="10"/>
      <c r="G17" s="4"/>
      <c r="H17" s="4"/>
      <c r="I17" s="4"/>
    </row>
    <row r="18">
      <c r="A18" s="93"/>
      <c r="B18" s="10"/>
      <c r="C18" s="10"/>
      <c r="D18" s="10"/>
      <c r="E18" s="10"/>
      <c r="F18" s="10"/>
      <c r="G18" s="4"/>
      <c r="H18" s="4"/>
      <c r="I18" s="4"/>
    </row>
    <row r="19">
      <c r="A19" s="93"/>
      <c r="B19" s="10"/>
      <c r="C19" s="10"/>
      <c r="D19" s="10"/>
      <c r="E19" s="10"/>
      <c r="F19" s="10"/>
      <c r="G19" s="4"/>
      <c r="H19" s="4"/>
      <c r="I19" s="4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7.57"/>
  </cols>
  <sheetData>
    <row r="1">
      <c r="A1" s="113" t="s">
        <v>184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>
      <c r="A2" s="34" t="s">
        <v>185</v>
      </c>
      <c r="B2" s="33"/>
      <c r="C2" s="114">
        <v>5.0</v>
      </c>
      <c r="D2" s="115" t="str">
        <f>HYPERLINK("https://tass.com/world/1141003","Source")</f>
        <v>Source</v>
      </c>
      <c r="E2" s="116"/>
      <c r="F2" s="117" t="s">
        <v>55</v>
      </c>
      <c r="G2" s="118" t="s">
        <v>8</v>
      </c>
      <c r="H2" s="118" t="s">
        <v>10</v>
      </c>
      <c r="I2" s="118" t="s">
        <v>15</v>
      </c>
      <c r="J2" s="117"/>
      <c r="K2" s="117"/>
    </row>
    <row r="3">
      <c r="A3" s="34" t="s">
        <v>189</v>
      </c>
      <c r="B3" s="33"/>
      <c r="C3" s="114">
        <v>4.0</v>
      </c>
      <c r="D3" s="115" t="str">
        <f>HYPERLINK("https://ria.ru/20200405/1569597185.html","Source")</f>
        <v>Source</v>
      </c>
      <c r="E3" s="116"/>
      <c r="F3" s="117" t="s">
        <v>191</v>
      </c>
      <c r="G3" s="119">
        <v>1848.0</v>
      </c>
      <c r="H3" s="119">
        <v>64.0</v>
      </c>
      <c r="I3" s="120">
        <v>998.0</v>
      </c>
      <c r="J3" s="121" t="str">
        <f>HYPERLINK("https://www.snohd.org/499/COVID-19-Case-Count-Info","Source")</f>
        <v>Source</v>
      </c>
      <c r="K3" s="122"/>
    </row>
    <row r="4">
      <c r="A4" s="34" t="s">
        <v>193</v>
      </c>
      <c r="B4" s="33"/>
      <c r="C4" s="114">
        <v>1.0</v>
      </c>
      <c r="D4" s="115" t="str">
        <f>HYPERLINK("https://tass.com/world/1141457","Source")</f>
        <v>Source</v>
      </c>
      <c r="E4" s="116"/>
      <c r="F4" s="123" t="s">
        <v>196</v>
      </c>
      <c r="G4" s="124">
        <v>838.0</v>
      </c>
      <c r="H4" s="124">
        <v>17.0</v>
      </c>
      <c r="I4" s="125" t="s">
        <v>24</v>
      </c>
      <c r="J4" s="126" t="str">
        <f>HYPERLINK("https://twitter.com/TPCHD","Source")</f>
        <v>Source</v>
      </c>
      <c r="K4" s="126" t="str">
        <f>HYPERLINK("https://www.tpchd.org/healthy-people/diseases/covid-19-pierce-county-cases","Source")</f>
        <v>Source</v>
      </c>
    </row>
    <row r="5">
      <c r="A5" s="127" t="s">
        <v>199</v>
      </c>
      <c r="B5" s="33"/>
      <c r="C5" s="114">
        <v>1.0</v>
      </c>
      <c r="D5" s="115" t="str">
        <f>HYPERLINK("https://news.trust.org/item/20200407130156-nbeye","Source")</f>
        <v>Source</v>
      </c>
      <c r="E5" s="116"/>
      <c r="F5" s="123" t="s">
        <v>200</v>
      </c>
      <c r="G5" s="124">
        <v>13.0</v>
      </c>
      <c r="H5" s="124">
        <v>1.0</v>
      </c>
      <c r="I5" s="124">
        <v>8.0</v>
      </c>
      <c r="J5" s="126" t="str">
        <f>HYPERLINK("https://kimatv.com/news/local/12-total-cases-of-covid-19-confirmed-in-kittitas-county","Source")</f>
        <v>Source</v>
      </c>
      <c r="K5" s="129" t="str">
        <f>HYPERLINK("https://kitcogis.maps.arcgis.com/apps/opsdashboard/index.html#/8d4896b6fe7b4805a7251a1284b051fb","Source")</f>
        <v>Source</v>
      </c>
    </row>
    <row r="6">
      <c r="A6" s="113" t="s">
        <v>52</v>
      </c>
      <c r="B6" s="33"/>
      <c r="C6" s="130">
        <f>SUM(C2:C5)</f>
        <v>11</v>
      </c>
      <c r="D6" s="33"/>
      <c r="E6" s="33"/>
      <c r="F6" s="123" t="s">
        <v>203</v>
      </c>
      <c r="G6" s="124">
        <v>115.0</v>
      </c>
      <c r="H6" s="125">
        <v>2.0</v>
      </c>
      <c r="I6" s="125">
        <v>14.0</v>
      </c>
      <c r="J6" s="126" t="str">
        <f>HYPERLINK("http://granthealth.org/updates-for-covid-19-in-grant-county/","Source")</f>
        <v>Source</v>
      </c>
      <c r="K6" s="131"/>
    </row>
    <row r="7">
      <c r="A7" s="33"/>
      <c r="B7" s="33"/>
      <c r="C7" s="33"/>
      <c r="D7" s="33"/>
      <c r="E7" s="33"/>
      <c r="F7" s="123" t="s">
        <v>205</v>
      </c>
      <c r="G7" s="124">
        <v>447.0</v>
      </c>
      <c r="H7" s="124">
        <v>19.0</v>
      </c>
      <c r="I7" s="125" t="s">
        <v>24</v>
      </c>
      <c r="J7" s="126" t="str">
        <f>HYPERLINK("https://www.yakimacounty.us/2323/COVID-19","Source")</f>
        <v>Source</v>
      </c>
      <c r="K7" s="96"/>
    </row>
    <row r="8">
      <c r="A8" s="113" t="s">
        <v>207</v>
      </c>
      <c r="B8" s="33"/>
      <c r="C8" s="33"/>
      <c r="D8" s="33"/>
      <c r="E8" s="33"/>
      <c r="F8" s="123" t="s">
        <v>208</v>
      </c>
      <c r="G8" s="124">
        <v>243.0</v>
      </c>
      <c r="H8" s="124">
        <v>21.0</v>
      </c>
      <c r="I8" s="125" t="s">
        <v>24</v>
      </c>
      <c r="J8" s="126" t="str">
        <f>HYPERLINK("https://www.whatcomcounty.us/3329/Novel-Coronavirus-COVID-19#case","Source")</f>
        <v>Source</v>
      </c>
      <c r="K8" s="131"/>
    </row>
    <row r="9">
      <c r="A9" s="34" t="s">
        <v>209</v>
      </c>
      <c r="B9" s="115" t="str">
        <f>HYPERLINK("https://en.wikipedia.org/wiki/2020_coronavirus_pandemic_in_R%C3%A9union","Link")</f>
        <v>Link</v>
      </c>
      <c r="C9" s="115" t="str">
        <f>HYPERLINK("http://www.reunion.gouv.fr/point-de-situation-du-06-04-2020-5-nouveaux-cas-a6489.html","Link")</f>
        <v>Link</v>
      </c>
      <c r="D9" s="33"/>
      <c r="E9" s="33"/>
      <c r="F9" s="123" t="s">
        <v>211</v>
      </c>
      <c r="G9" s="138">
        <v>246.0</v>
      </c>
      <c r="H9" s="124">
        <v>14.0</v>
      </c>
      <c r="I9" s="125" t="s">
        <v>24</v>
      </c>
      <c r="J9" s="126" t="str">
        <f>HYPERLINK("https://srhd.org/covid19","Source")</f>
        <v>Source</v>
      </c>
      <c r="K9" s="125"/>
    </row>
    <row r="10">
      <c r="A10" s="127" t="s">
        <v>213</v>
      </c>
      <c r="B10" s="115" t="str">
        <f>HYPERLINK("https://en.wikipedia.org/wiki/2020_coronavirus_pandemic_in_Saint_Pierre_and_Miquelon","Link")</f>
        <v>Link</v>
      </c>
      <c r="C10" s="34"/>
      <c r="D10" s="33"/>
      <c r="E10" s="33"/>
      <c r="F10" s="123" t="s">
        <v>214</v>
      </c>
      <c r="G10" s="138">
        <v>3886.0</v>
      </c>
      <c r="H10" s="124">
        <v>258.0</v>
      </c>
      <c r="I10" s="125" t="s">
        <v>24</v>
      </c>
      <c r="J10" s="126" t="str">
        <f>HYPERLINK("https://kingcounty.gov/depts/health/communicable-diseases/disease-control/novel-coronavirus.aspx","Source")</f>
        <v>Source</v>
      </c>
      <c r="K10" s="125"/>
    </row>
    <row r="11">
      <c r="A11" s="34" t="s">
        <v>216</v>
      </c>
      <c r="B11" s="115" t="str">
        <f>HYPERLINK("https://en.wikipedia.org/wiki/2020_coronavirus_pandemic_in_the_Guantanamo_Bay_Naval_Base","Link")</f>
        <v>Link</v>
      </c>
      <c r="C11" s="115" t="str">
        <f>HYPERLINK("https://www.navy.mil/submit/display.asp?story_id=112454","Link")</f>
        <v>Link</v>
      </c>
      <c r="D11" s="33"/>
      <c r="E11" s="33"/>
      <c r="F11" s="123" t="s">
        <v>217</v>
      </c>
      <c r="G11" s="138">
        <v>155.0</v>
      </c>
      <c r="H11" s="124">
        <v>7.0</v>
      </c>
      <c r="I11" s="125" t="s">
        <v>24</v>
      </c>
      <c r="J11" s="126" t="str">
        <f>HYPERLINK("https://www.islandcountywa.gov/Health/Pages/COVID-19.aspx","Source")</f>
        <v>Source</v>
      </c>
      <c r="K11" s="125"/>
    </row>
    <row r="12">
      <c r="A12" s="34" t="s">
        <v>218</v>
      </c>
      <c r="B12" s="115" t="str">
        <f>HYPERLINK("https://en.wikipedia.org/wiki/2020_coronavirus_pandemic_in_Sint_Eustatius","Link")</f>
        <v>Link</v>
      </c>
      <c r="C12" s="33"/>
      <c r="D12" s="33"/>
      <c r="E12" s="33"/>
      <c r="F12" s="123" t="s">
        <v>220</v>
      </c>
      <c r="G12" s="138">
        <v>125.0</v>
      </c>
      <c r="H12" s="125">
        <v>2.0</v>
      </c>
      <c r="I12" s="125" t="s">
        <v>24</v>
      </c>
      <c r="J12" s="126" t="str">
        <f t="shared" ref="J12:J13" si="1">HYPERLINK("https://www.bfhd.wa.gov/cms/One.aspx?portalId=10766056&amp;pageId=16584954","Source")</f>
        <v>Source</v>
      </c>
      <c r="K12" s="125"/>
    </row>
    <row r="13">
      <c r="A13" s="34" t="s">
        <v>221</v>
      </c>
      <c r="B13" s="115" t="str">
        <f>HYPERLINK("https://en.wikipedia.org/wiki/2020_coronavirus_pandemic_in_Somaliland","Link")</f>
        <v>Link</v>
      </c>
      <c r="C13" s="33"/>
      <c r="D13" s="33"/>
      <c r="E13" s="33"/>
      <c r="F13" s="123" t="s">
        <v>222</v>
      </c>
      <c r="G13" s="138">
        <v>283.0</v>
      </c>
      <c r="H13" s="124">
        <v>25.0</v>
      </c>
      <c r="I13" s="125" t="s">
        <v>24</v>
      </c>
      <c r="J13" s="126" t="str">
        <f t="shared" si="1"/>
        <v>Source</v>
      </c>
      <c r="K13" s="11"/>
    </row>
    <row r="14">
      <c r="A14" s="127" t="s">
        <v>223</v>
      </c>
      <c r="B14" s="115" t="str">
        <f>HYPERLINK("https://en.wikipedia.org/wiki/2020_coronavirus_pandemic_in_S%C3%A3o_Tom%C3%A9_and_Pr%C3%ADncipe","Link")</f>
        <v>Link</v>
      </c>
      <c r="C14" s="33"/>
      <c r="D14" s="33"/>
      <c r="E14" s="33"/>
      <c r="F14" s="123" t="s">
        <v>224</v>
      </c>
      <c r="G14" s="138">
        <v>1746.0</v>
      </c>
      <c r="H14" s="124">
        <v>26.0</v>
      </c>
      <c r="I14" s="125" t="s">
        <v>24</v>
      </c>
      <c r="J14" s="126" t="str">
        <f>HYPERLINK("https://www.doh.wa.gov/Emergencies/Coronavirus","Source")</f>
        <v>Source</v>
      </c>
      <c r="K14" s="131"/>
    </row>
    <row r="15">
      <c r="A15" s="34" t="s">
        <v>225</v>
      </c>
      <c r="B15" s="115" t="str">
        <f>HYPERLINK("https://en.wikipedia.org/wiki/2020_coronavirus_pandemic_in_the_%C3%85land_Islands","Link")</f>
        <v>Link</v>
      </c>
      <c r="C15" s="33"/>
      <c r="D15" s="33"/>
      <c r="E15" s="33"/>
      <c r="F15" s="123" t="s">
        <v>227</v>
      </c>
      <c r="G15" s="151">
        <f t="shared" ref="G15:I15" si="2">SUM(G3:G14)</f>
        <v>9945</v>
      </c>
      <c r="H15" s="151">
        <f t="shared" si="2"/>
        <v>456</v>
      </c>
      <c r="I15" s="152">
        <f t="shared" si="2"/>
        <v>1020</v>
      </c>
      <c r="J15" s="125"/>
      <c r="K15" s="125"/>
    </row>
    <row r="16">
      <c r="A16" s="127" t="s">
        <v>230</v>
      </c>
      <c r="B16" s="115" t="str">
        <f>HYPERLINK("https://en.wikipedia.org/wiki/2020_coronavirus_pandemic_in_Akrotiri_and_Dhekelia","Link")</f>
        <v>Link</v>
      </c>
      <c r="C16" s="33"/>
      <c r="D16" s="33"/>
      <c r="E16" s="33"/>
      <c r="F16" s="33"/>
      <c r="G16" s="33"/>
      <c r="H16" s="33"/>
      <c r="I16" s="33"/>
      <c r="J16" s="33"/>
      <c r="K16" s="33"/>
    </row>
    <row r="17">
      <c r="A17" s="34" t="s">
        <v>231</v>
      </c>
      <c r="B17" s="115" t="str">
        <f>HYPERLINK("https://en.wikipedia.org/wiki/2020_coronavirus_pandemic_in_the_Collectivity_of_Saint_Martin","Link")</f>
        <v>Link</v>
      </c>
      <c r="C17" s="33"/>
      <c r="D17" s="33"/>
      <c r="E17" s="33"/>
      <c r="F17" s="33"/>
      <c r="G17" s="33"/>
      <c r="H17" s="33"/>
      <c r="I17" s="33"/>
      <c r="J17" s="33"/>
      <c r="K17" s="33"/>
    </row>
    <row r="18">
      <c r="A18" s="34" t="s">
        <v>232</v>
      </c>
      <c r="B18" s="115" t="str">
        <f>HYPERLINK("https://en.wikipedia.org/wiki/2020_coronavirus_pandemic_in_French_Guiana","Link")</f>
        <v>Link</v>
      </c>
      <c r="C18" s="115" t="str">
        <f>HYPERLINK("http://www.guyane.gouv.fr/Politiques-publiques/Sante/Coronavirus-Covid-19/COVID-INFO","Link")</f>
        <v>Link</v>
      </c>
      <c r="D18" s="33"/>
      <c r="E18" s="33"/>
      <c r="F18" s="33"/>
      <c r="G18" s="33"/>
      <c r="H18" s="33"/>
      <c r="I18" s="33"/>
      <c r="J18" s="33"/>
      <c r="K18" s="33"/>
    </row>
    <row r="19">
      <c r="A19" s="34" t="s">
        <v>234</v>
      </c>
      <c r="B19" s="115" t="str">
        <f>HYPERLINK("https://en.wikipedia.org/wiki/2020_coronavirus_pandemic_in_Guadeloupe","Link")</f>
        <v>Link</v>
      </c>
      <c r="C19" s="33"/>
      <c r="D19" s="33"/>
      <c r="E19" s="33"/>
      <c r="F19" s="33"/>
      <c r="G19" s="33"/>
      <c r="H19" s="33"/>
      <c r="I19" s="33"/>
      <c r="J19" s="33"/>
      <c r="K19" s="33"/>
    </row>
    <row r="20">
      <c r="A20" s="34" t="s">
        <v>235</v>
      </c>
      <c r="B20" s="115" t="str">
        <f>HYPERLINK("https://en.wikipedia.org/wiki/2020_coronavirus_pandemic_in_Martinique","Link")</f>
        <v>Link</v>
      </c>
      <c r="C20" s="33"/>
      <c r="D20" s="33"/>
      <c r="E20" s="33"/>
      <c r="F20" s="33"/>
      <c r="G20" s="33"/>
      <c r="H20" s="33"/>
      <c r="I20" s="33"/>
      <c r="J20" s="33"/>
      <c r="K20" s="33"/>
    </row>
    <row r="21">
      <c r="A21" s="34" t="s">
        <v>237</v>
      </c>
      <c r="B21" s="115" t="str">
        <f>HYPERLINK("https://en.wikipedia.org/wiki/2020_coronavirus_pandemic_in_Mayotte","Link")</f>
        <v>Link</v>
      </c>
      <c r="C21" s="33"/>
      <c r="D21" s="33"/>
      <c r="E21" s="33"/>
      <c r="F21" s="33"/>
      <c r="G21" s="33"/>
      <c r="H21" s="33"/>
      <c r="I21" s="33"/>
      <c r="J21" s="33"/>
      <c r="K21" s="33"/>
    </row>
    <row r="23">
      <c r="A23" s="113" t="s">
        <v>238</v>
      </c>
      <c r="B23" s="153" t="s">
        <v>239</v>
      </c>
    </row>
    <row r="24">
      <c r="A24" s="153" t="s">
        <v>56</v>
      </c>
    </row>
    <row r="25">
      <c r="A25" s="153" t="s">
        <v>44</v>
      </c>
      <c r="B25" s="154" t="str">
        <f>HYPERLINK("https://twitter.com/DHSCgovuk","Link")</f>
        <v>Link</v>
      </c>
    </row>
    <row r="26">
      <c r="A26" s="153" t="s">
        <v>21</v>
      </c>
      <c r="B26" s="155"/>
    </row>
    <row r="27">
      <c r="A27" s="153" t="s">
        <v>28</v>
      </c>
      <c r="B27" s="155"/>
    </row>
    <row r="28">
      <c r="A28" s="153" t="s">
        <v>31</v>
      </c>
      <c r="B28" s="155"/>
    </row>
    <row r="29">
      <c r="A29" s="153" t="s">
        <v>40</v>
      </c>
      <c r="B29" s="155"/>
    </row>
    <row r="30">
      <c r="A30" s="153" t="s">
        <v>35</v>
      </c>
      <c r="B30" s="155"/>
    </row>
    <row r="31">
      <c r="A31" s="153" t="s">
        <v>38</v>
      </c>
      <c r="B31" s="155"/>
    </row>
    <row r="32">
      <c r="A32" s="153" t="s">
        <v>43</v>
      </c>
      <c r="B32" s="155"/>
    </row>
    <row r="33">
      <c r="A33" s="153" t="s">
        <v>241</v>
      </c>
      <c r="B33" s="156" t="s">
        <v>242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264</v>
      </c>
      <c r="F1" s="4"/>
      <c r="G1" s="4"/>
      <c r="H1" s="4"/>
    </row>
    <row r="2">
      <c r="A2" s="3" t="s">
        <v>266</v>
      </c>
      <c r="B2" s="3" t="s">
        <v>267</v>
      </c>
      <c r="D2" s="5" t="s">
        <v>268</v>
      </c>
      <c r="E2" s="8"/>
      <c r="F2" s="4"/>
      <c r="G2" s="4"/>
      <c r="H2" s="4"/>
    </row>
    <row r="3">
      <c r="A3" s="12">
        <f t="shared" ref="A3:B3" si="1">SUM(B24, B25)</f>
        <v>3196</v>
      </c>
      <c r="B3" s="12">
        <f t="shared" si="1"/>
        <v>33</v>
      </c>
      <c r="D3" s="14">
        <f>SUM(E24, E25)</f>
        <v>9</v>
      </c>
      <c r="E3" s="8"/>
      <c r="F3" s="4"/>
      <c r="G3" s="4"/>
      <c r="H3" s="4"/>
    </row>
    <row r="4">
      <c r="A4" s="17"/>
      <c r="B4" s="9"/>
      <c r="C4" s="9"/>
      <c r="D4" s="8"/>
      <c r="E4" s="8"/>
      <c r="F4" s="4"/>
      <c r="G4" s="4"/>
      <c r="H4" s="4"/>
    </row>
    <row r="5" ht="30.0" customHeight="1">
      <c r="A5" s="98" t="s">
        <v>270</v>
      </c>
      <c r="B5" s="99" t="s">
        <v>271</v>
      </c>
      <c r="C5" s="99" t="s">
        <v>272</v>
      </c>
      <c r="D5" s="100" t="s">
        <v>273</v>
      </c>
      <c r="E5" s="100" t="s">
        <v>274</v>
      </c>
      <c r="F5" s="33"/>
      <c r="G5" s="33"/>
      <c r="H5" s="33"/>
    </row>
    <row r="6" ht="30.0" customHeight="1">
      <c r="A6" s="78" t="s">
        <v>275</v>
      </c>
      <c r="B6" s="79">
        <v>977.0</v>
      </c>
      <c r="C6" s="80">
        <v>11.0</v>
      </c>
      <c r="D6" s="81"/>
      <c r="E6" s="81">
        <v>1.0</v>
      </c>
      <c r="F6" s="33"/>
      <c r="G6" s="33"/>
      <c r="H6" s="33"/>
    </row>
    <row r="7" ht="30.0" customHeight="1">
      <c r="A7" s="78" t="s">
        <v>86</v>
      </c>
      <c r="B7" s="79">
        <v>434.0</v>
      </c>
      <c r="C7" s="80">
        <v>0.0</v>
      </c>
      <c r="D7" s="81"/>
      <c r="E7" s="157"/>
      <c r="F7" s="33"/>
      <c r="G7" s="33"/>
      <c r="H7" s="33"/>
    </row>
    <row r="8" ht="30.0" customHeight="1">
      <c r="A8" s="78" t="s">
        <v>109</v>
      </c>
      <c r="B8" s="79">
        <v>426.0</v>
      </c>
      <c r="C8" s="79">
        <v>7.0</v>
      </c>
      <c r="D8" s="101">
        <v>6.0</v>
      </c>
      <c r="E8" s="81">
        <v>3.0</v>
      </c>
      <c r="F8" s="33"/>
      <c r="G8" s="33"/>
      <c r="H8" s="33"/>
    </row>
    <row r="9" ht="30.0" customHeight="1">
      <c r="A9" s="78" t="s">
        <v>98</v>
      </c>
      <c r="B9" s="79">
        <v>263.0</v>
      </c>
      <c r="C9" s="80">
        <v>3.0</v>
      </c>
      <c r="D9" s="81">
        <v>16.0</v>
      </c>
      <c r="E9" s="81">
        <v>2.0</v>
      </c>
      <c r="F9" s="33"/>
      <c r="G9" s="33"/>
      <c r="H9" s="33"/>
    </row>
    <row r="10" ht="30.0" customHeight="1">
      <c r="A10" s="78" t="s">
        <v>278</v>
      </c>
      <c r="B10" s="79">
        <v>203.0</v>
      </c>
      <c r="C10" s="80">
        <v>2.0</v>
      </c>
      <c r="D10" s="81">
        <v>3.0</v>
      </c>
      <c r="E10" s="81">
        <v>3.0</v>
      </c>
      <c r="F10" s="33"/>
      <c r="G10" s="33"/>
      <c r="H10" s="33"/>
    </row>
    <row r="11" ht="30.0" customHeight="1">
      <c r="A11" s="78" t="s">
        <v>279</v>
      </c>
      <c r="B11" s="79">
        <v>200.0</v>
      </c>
      <c r="C11" s="80">
        <v>1.0</v>
      </c>
      <c r="D11" s="81">
        <v>8.0</v>
      </c>
      <c r="E11" s="157"/>
      <c r="F11" s="33"/>
      <c r="G11" s="33"/>
      <c r="H11" s="33"/>
    </row>
    <row r="12" ht="30.0" customHeight="1">
      <c r="A12" s="78" t="s">
        <v>168</v>
      </c>
      <c r="B12" s="79">
        <v>158.0</v>
      </c>
      <c r="C12" s="80">
        <v>3.0</v>
      </c>
      <c r="D12" s="81"/>
      <c r="E12" s="157"/>
      <c r="F12" s="33"/>
      <c r="G12" s="33"/>
      <c r="H12" s="33"/>
    </row>
    <row r="13" ht="30.0" customHeight="1">
      <c r="A13" s="78" t="s">
        <v>148</v>
      </c>
      <c r="B13" s="79">
        <v>158.0</v>
      </c>
      <c r="C13" s="80">
        <v>0.0</v>
      </c>
      <c r="D13" s="81"/>
      <c r="E13" s="157"/>
      <c r="F13" s="33"/>
      <c r="G13" s="33"/>
      <c r="H13" s="33"/>
    </row>
    <row r="14" ht="30.0" customHeight="1">
      <c r="A14" s="78" t="s">
        <v>254</v>
      </c>
      <c r="B14" s="79">
        <v>113.0</v>
      </c>
      <c r="C14" s="80">
        <v>2.0</v>
      </c>
      <c r="D14" s="81"/>
      <c r="E14" s="157"/>
      <c r="F14" s="33"/>
      <c r="G14" s="33"/>
      <c r="H14" s="33"/>
    </row>
    <row r="15" ht="30.0" customHeight="1">
      <c r="A15" s="78" t="s">
        <v>259</v>
      </c>
      <c r="B15" s="79">
        <v>110.0</v>
      </c>
      <c r="C15" s="80"/>
      <c r="D15" s="81"/>
      <c r="E15" s="157"/>
      <c r="F15" s="33"/>
      <c r="G15" s="33"/>
      <c r="H15" s="33"/>
    </row>
    <row r="16" ht="30.0" customHeight="1">
      <c r="A16" s="78" t="s">
        <v>281</v>
      </c>
      <c r="B16" s="79">
        <v>72.0</v>
      </c>
      <c r="C16" s="80">
        <v>2.0</v>
      </c>
      <c r="D16" s="81"/>
      <c r="E16" s="157"/>
      <c r="F16" s="33"/>
      <c r="G16" s="33"/>
      <c r="H16" s="33"/>
    </row>
    <row r="17" ht="30.0" customHeight="1">
      <c r="A17" s="78" t="s">
        <v>265</v>
      </c>
      <c r="B17" s="79">
        <v>24.0</v>
      </c>
      <c r="C17" s="80">
        <v>0.0</v>
      </c>
      <c r="D17" s="81"/>
      <c r="E17" s="157"/>
      <c r="F17" s="33"/>
      <c r="G17" s="33"/>
      <c r="H17" s="33"/>
    </row>
    <row r="18" ht="30.0" customHeight="1">
      <c r="A18" s="78" t="s">
        <v>257</v>
      </c>
      <c r="B18" s="79">
        <v>21.0</v>
      </c>
      <c r="C18" s="80">
        <v>1.0</v>
      </c>
      <c r="D18" s="81"/>
      <c r="E18" s="157"/>
      <c r="F18" s="33"/>
      <c r="G18" s="33"/>
      <c r="H18" s="33"/>
    </row>
    <row r="19" ht="30.0" customHeight="1">
      <c r="A19" s="78" t="s">
        <v>282</v>
      </c>
      <c r="B19" s="79">
        <v>19.0</v>
      </c>
      <c r="C19" s="80">
        <v>0.0</v>
      </c>
      <c r="D19" s="81"/>
      <c r="E19" s="157"/>
      <c r="F19" s="33"/>
      <c r="G19" s="33"/>
      <c r="H19" s="33"/>
    </row>
    <row r="20" ht="30.0" customHeight="1">
      <c r="A20" s="78" t="s">
        <v>283</v>
      </c>
      <c r="B20" s="79">
        <v>18.0</v>
      </c>
      <c r="C20" s="80">
        <v>1.0</v>
      </c>
      <c r="D20" s="81"/>
      <c r="E20" s="157"/>
      <c r="F20" s="33"/>
      <c r="G20" s="33"/>
      <c r="H20" s="33"/>
    </row>
    <row r="21" ht="30.0" customHeight="1">
      <c r="A21" s="78" t="s">
        <v>284</v>
      </c>
      <c r="B21" s="79">
        <v>13.0</v>
      </c>
      <c r="C21" s="80">
        <v>1.0</v>
      </c>
      <c r="D21" s="81"/>
      <c r="E21" s="157"/>
      <c r="F21" s="33"/>
      <c r="G21" s="33"/>
      <c r="H21" s="33"/>
    </row>
    <row r="22" ht="30.0" customHeight="1">
      <c r="A22" s="78" t="s">
        <v>285</v>
      </c>
      <c r="B22" s="79">
        <v>3.0</v>
      </c>
      <c r="C22" s="80"/>
      <c r="D22" s="81"/>
      <c r="E22" s="157"/>
      <c r="F22" s="33"/>
      <c r="G22" s="33"/>
      <c r="H22" s="33"/>
    </row>
    <row r="23" ht="30.0" customHeight="1">
      <c r="A23" s="78" t="s">
        <v>287</v>
      </c>
      <c r="B23" s="79">
        <v>2.0</v>
      </c>
      <c r="C23" s="80"/>
      <c r="D23" s="81"/>
      <c r="E23" s="157"/>
      <c r="F23" s="33"/>
      <c r="G23" s="33"/>
      <c r="H23" s="33"/>
    </row>
    <row r="24" ht="30.0" customHeight="1">
      <c r="A24" s="87" t="s">
        <v>52</v>
      </c>
      <c r="B24" s="110">
        <f t="shared" ref="B24:C24" si="2">SUM(B6:B20)</f>
        <v>3196</v>
      </c>
      <c r="C24" s="110">
        <f t="shared" si="2"/>
        <v>33</v>
      </c>
      <c r="D24" s="110">
        <f t="shared" ref="D24:E24" si="3">SUM(D6:D16)</f>
        <v>33</v>
      </c>
      <c r="E24" s="110">
        <f t="shared" si="3"/>
        <v>9</v>
      </c>
      <c r="F24" s="33"/>
      <c r="G24" s="33"/>
      <c r="H24" s="33"/>
    </row>
    <row r="25">
      <c r="A25" s="93"/>
      <c r="B25" s="10"/>
      <c r="C25" s="10"/>
      <c r="D25" s="10"/>
      <c r="E25" s="10"/>
      <c r="F25" s="4"/>
      <c r="G25" s="4"/>
      <c r="H25" s="4"/>
    </row>
    <row r="26">
      <c r="A26" s="91"/>
      <c r="B26" s="92"/>
      <c r="C26" s="10"/>
      <c r="D26" s="10"/>
      <c r="E26" s="10"/>
      <c r="F26" s="4"/>
      <c r="G26" s="4"/>
      <c r="H26" s="4"/>
    </row>
    <row r="27">
      <c r="A27" s="93"/>
      <c r="B27" s="10"/>
      <c r="C27" s="10"/>
      <c r="D27" s="10"/>
      <c r="E27" s="10"/>
      <c r="F27" s="4"/>
      <c r="G27" s="4"/>
      <c r="H27" s="4"/>
    </row>
    <row r="28">
      <c r="A28" s="93"/>
      <c r="B28" s="10"/>
      <c r="C28" s="10"/>
      <c r="D28" s="10"/>
      <c r="E28" s="10"/>
      <c r="F28" s="4"/>
      <c r="G28" s="4"/>
      <c r="H28" s="4"/>
    </row>
  </sheetData>
  <mergeCells count="3">
    <mergeCell ref="A1:E1"/>
    <mergeCell ref="B2:C2"/>
    <mergeCell ref="B3:C3"/>
  </mergeCells>
  <drawing r:id="rId1"/>
  <tableParts count="1">
    <tablePart r:id="rId3"/>
  </tableParts>
</worksheet>
</file>