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occl0-my.sharepoint.com/personal/ja_meza_profesor_duoc_cl/Documents/MDY7101/Actividades/"/>
    </mc:Choice>
  </mc:AlternateContent>
  <xr:revisionPtr revIDLastSave="511" documentId="8_{F496F7DF-AFED-8041-A000-190E7A3FACA2}" xr6:coauthVersionLast="46" xr6:coauthVersionMax="46" xr10:uidLastSave="{388EB8FB-276F-4349-8B91-475608D9619E}"/>
  <bookViews>
    <workbookView xWindow="2960" yWindow="2100" windowWidth="28800" windowHeight="16720" xr2:uid="{F10F58CC-2F09-F449-9DC1-02BF4388F1FC}"/>
  </bookViews>
  <sheets>
    <sheet name="Actividad-1-2-2" sheetId="3" r:id="rId1"/>
    <sheet name="Actividad-1.3.1" sheetId="1" r:id="rId2"/>
    <sheet name="Actividad-Analitica predictiv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9" i="3" l="1"/>
  <c r="T4" i="3"/>
  <c r="T5" i="3"/>
  <c r="T6" i="3"/>
  <c r="T7" i="3"/>
  <c r="T8" i="3"/>
  <c r="T3" i="3"/>
  <c r="Q12" i="3"/>
  <c r="Q11" i="3"/>
  <c r="Q10" i="3"/>
  <c r="Q5" i="3"/>
  <c r="Q4" i="3"/>
  <c r="Q3" i="3"/>
  <c r="N17" i="3"/>
  <c r="N16" i="3"/>
  <c r="N4" i="3"/>
  <c r="N5" i="3"/>
  <c r="N6" i="3"/>
  <c r="N3" i="3"/>
  <c r="N12" i="3"/>
  <c r="N11" i="3"/>
  <c r="N10" i="3"/>
  <c r="Q16" i="3" l="1"/>
  <c r="D3" i="3"/>
  <c r="D4" i="3"/>
  <c r="D5" i="3"/>
  <c r="D6" i="3"/>
  <c r="D7" i="3"/>
  <c r="D8" i="3"/>
  <c r="D9" i="3"/>
  <c r="D10" i="3"/>
  <c r="D2" i="3"/>
  <c r="V2" i="2"/>
  <c r="V1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2" i="2"/>
  <c r="H3" i="2"/>
  <c r="H4" i="2"/>
  <c r="H2" i="2"/>
  <c r="G3" i="2"/>
  <c r="G4" i="2"/>
  <c r="G5" i="2"/>
  <c r="G6" i="2"/>
  <c r="G7" i="2"/>
  <c r="G8" i="2"/>
  <c r="G9" i="2"/>
  <c r="G10" i="2"/>
  <c r="G11" i="2"/>
  <c r="G12" i="2"/>
  <c r="G13" i="2"/>
  <c r="G2" i="2"/>
  <c r="F3" i="2"/>
  <c r="F4" i="2"/>
  <c r="F5" i="2"/>
  <c r="F6" i="2"/>
  <c r="F7" i="2"/>
  <c r="F8" i="2"/>
  <c r="F9" i="2"/>
  <c r="F10" i="2"/>
  <c r="F11" i="2"/>
  <c r="F12" i="2"/>
  <c r="F13" i="2"/>
  <c r="F2" i="2"/>
  <c r="V12" i="1"/>
  <c r="U12" i="1"/>
  <c r="V11" i="1"/>
  <c r="U11" i="1"/>
  <c r="V10" i="1"/>
  <c r="U10" i="1"/>
  <c r="V9" i="1"/>
  <c r="U9" i="1"/>
  <c r="V8" i="1"/>
  <c r="U8" i="1"/>
  <c r="V7" i="1"/>
  <c r="U7" i="1"/>
  <c r="V6" i="1"/>
  <c r="U6" i="1"/>
  <c r="V5" i="1"/>
  <c r="V14" i="1" s="1"/>
  <c r="U5" i="1"/>
  <c r="U14" i="1" s="1"/>
  <c r="V4" i="1"/>
  <c r="V3" i="1"/>
  <c r="U3" i="1"/>
  <c r="V2" i="1"/>
  <c r="U2" i="1"/>
  <c r="H15" i="3" l="1"/>
  <c r="H17" i="3"/>
  <c r="F2" i="3"/>
  <c r="F3" i="3" s="1"/>
  <c r="F4" i="3" s="1"/>
  <c r="F5" i="3" s="1"/>
  <c r="F6" i="3" s="1"/>
  <c r="F7" i="3" s="1"/>
  <c r="F8" i="3" s="1"/>
  <c r="F9" i="3" s="1"/>
  <c r="F10" i="3" s="1"/>
  <c r="H13" i="3"/>
  <c r="D11" i="3"/>
  <c r="E3" i="3" s="1"/>
  <c r="F16" i="2"/>
  <c r="J11" i="2" s="1"/>
  <c r="H15" i="2"/>
  <c r="J10" i="2"/>
  <c r="F15" i="2"/>
  <c r="G16" i="2"/>
  <c r="K7" i="2" s="1"/>
  <c r="J3" i="2"/>
  <c r="G15" i="2"/>
  <c r="H16" i="2"/>
  <c r="L2" i="2" s="1"/>
  <c r="H14" i="3" l="1"/>
  <c r="E5" i="3"/>
  <c r="E8" i="3"/>
  <c r="H16" i="3"/>
  <c r="E7" i="3"/>
  <c r="E2" i="3"/>
  <c r="G2" i="3" s="1"/>
  <c r="G3" i="3" s="1"/>
  <c r="E9" i="3"/>
  <c r="E10" i="3"/>
  <c r="E4" i="3"/>
  <c r="E6" i="3"/>
  <c r="J8" i="2"/>
  <c r="J13" i="2"/>
  <c r="J12" i="2"/>
  <c r="J4" i="2"/>
  <c r="J6" i="2"/>
  <c r="M6" i="2" s="1"/>
  <c r="J2" i="2"/>
  <c r="J7" i="2"/>
  <c r="M7" i="2" s="1"/>
  <c r="J9" i="2"/>
  <c r="M9" i="2" s="1"/>
  <c r="J5" i="2"/>
  <c r="K3" i="2"/>
  <c r="K4" i="2"/>
  <c r="K12" i="2"/>
  <c r="K13" i="2"/>
  <c r="M13" i="2"/>
  <c r="K10" i="2"/>
  <c r="M10" i="2" s="1"/>
  <c r="K11" i="2"/>
  <c r="M11" i="2" s="1"/>
  <c r="K2" i="2"/>
  <c r="K5" i="2"/>
  <c r="M5" i="2" s="1"/>
  <c r="K6" i="2"/>
  <c r="K8" i="2"/>
  <c r="M8" i="2" s="1"/>
  <c r="K9" i="2"/>
  <c r="L3" i="2"/>
  <c r="L4" i="2"/>
  <c r="M4" i="2" s="1"/>
  <c r="G4" i="3" l="1"/>
  <c r="G5" i="3" s="1"/>
  <c r="G6" i="3" s="1"/>
  <c r="G7" i="3" s="1"/>
  <c r="G8" i="3" s="1"/>
  <c r="G9" i="3" s="1"/>
  <c r="G10" i="3" s="1"/>
  <c r="R30" i="2"/>
  <c r="S30" i="2" s="1"/>
  <c r="R18" i="2"/>
  <c r="S18" i="2" s="1"/>
  <c r="R6" i="2"/>
  <c r="S6" i="2" s="1"/>
  <c r="R11" i="2"/>
  <c r="S11" i="2" s="1"/>
  <c r="R23" i="2"/>
  <c r="S23" i="2" s="1"/>
  <c r="R31" i="2"/>
  <c r="S31" i="2" s="1"/>
  <c r="R19" i="2"/>
  <c r="S19" i="2" s="1"/>
  <c r="R7" i="2"/>
  <c r="S7" i="2" s="1"/>
  <c r="R16" i="2"/>
  <c r="S16" i="2" s="1"/>
  <c r="R4" i="2"/>
  <c r="S4" i="2" s="1"/>
  <c r="R28" i="2"/>
  <c r="S28" i="2" s="1"/>
  <c r="R10" i="2"/>
  <c r="S10" i="2" s="1"/>
  <c r="R22" i="2"/>
  <c r="S22" i="2" s="1"/>
  <c r="R25" i="2"/>
  <c r="S25" i="2" s="1"/>
  <c r="R13" i="2"/>
  <c r="S13" i="2" s="1"/>
  <c r="R8" i="2"/>
  <c r="S8" i="2" s="1"/>
  <c r="R20" i="2"/>
  <c r="S20" i="2" s="1"/>
  <c r="R9" i="2"/>
  <c r="S9" i="2" s="1"/>
  <c r="R21" i="2"/>
  <c r="S21" i="2" s="1"/>
  <c r="R29" i="2"/>
  <c r="S29" i="2" s="1"/>
  <c r="R17" i="2"/>
  <c r="S17" i="2" s="1"/>
  <c r="R5" i="2"/>
  <c r="S5" i="2" s="1"/>
  <c r="M2" i="2"/>
  <c r="Q9" i="2"/>
  <c r="Q21" i="2"/>
  <c r="Q7" i="2"/>
  <c r="Q19" i="2"/>
  <c r="Q5" i="2"/>
  <c r="Q17" i="2"/>
  <c r="Q6" i="2"/>
  <c r="Q18" i="2"/>
  <c r="M12" i="2"/>
  <c r="Q8" i="2"/>
  <c r="Q20" i="2"/>
  <c r="Q2" i="2"/>
  <c r="Q11" i="2"/>
  <c r="Q23" i="2"/>
  <c r="M3" i="2"/>
  <c r="Q13" i="2"/>
  <c r="Q25" i="2"/>
  <c r="Q4" i="2"/>
  <c r="Q28" i="2"/>
  <c r="Q16" i="2"/>
  <c r="Q10" i="2"/>
  <c r="Q22" i="2"/>
  <c r="R3" i="2" l="1"/>
  <c r="S3" i="2" s="1"/>
  <c r="R27" i="2"/>
  <c r="S27" i="2" s="1"/>
  <c r="R15" i="2"/>
  <c r="S15" i="2" s="1"/>
  <c r="R14" i="2"/>
  <c r="S14" i="2" s="1"/>
  <c r="R26" i="2"/>
  <c r="S26" i="2" s="1"/>
  <c r="R2" i="2"/>
  <c r="S2" i="2" s="1"/>
  <c r="R24" i="2"/>
  <c r="S24" i="2" s="1"/>
  <c r="R12" i="2"/>
  <c r="S12" i="2" s="1"/>
  <c r="Q14" i="2"/>
  <c r="Q26" i="2"/>
  <c r="Q3" i="2"/>
  <c r="Q27" i="2"/>
  <c r="Q15" i="2"/>
  <c r="Q12" i="2"/>
  <c r="Q24" i="2"/>
</calcChain>
</file>

<file path=xl/sharedStrings.xml><?xml version="1.0" encoding="utf-8"?>
<sst xmlns="http://schemas.openxmlformats.org/spreadsheetml/2006/main" count="80" uniqueCount="62">
  <si>
    <t>AÑO</t>
  </si>
  <si>
    <t>ALTURA</t>
  </si>
  <si>
    <t>MEDIA</t>
  </si>
  <si>
    <t>MEDIANA</t>
  </si>
  <si>
    <t>MODA</t>
  </si>
  <si>
    <t>SD</t>
  </si>
  <si>
    <t>VARIANZA</t>
  </si>
  <si>
    <t>CURTOSIS</t>
  </si>
  <si>
    <t>COEFICIENTE DE ASIMETRIA</t>
  </si>
  <si>
    <t>MÍNIMO</t>
  </si>
  <si>
    <t>MÁXIMO</t>
  </si>
  <si>
    <t>SUMA</t>
  </si>
  <si>
    <t>CUENTA</t>
  </si>
  <si>
    <t>INTERVALO DE CONFIANZA</t>
  </si>
  <si>
    <t>ALPHA</t>
  </si>
  <si>
    <t>PÁGINAS VISTAS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</si>
  <si>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</si>
  <si>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</si>
  <si>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</si>
  <si>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</si>
  <si>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</si>
  <si>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</si>
  <si>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</si>
  <si>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</si>
  <si>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</si>
  <si>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</si>
  <si>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</si>
  <si>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</si>
  <si>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 ANUAL</t>
  </si>
  <si>
    <t>MEDIA ANUAL</t>
  </si>
  <si>
    <t>PROMEDIO</t>
  </si>
  <si>
    <t>VALOR AJUSTADO</t>
  </si>
  <si>
    <t>MES</t>
  </si>
  <si>
    <t>VALOR ESTIMADO</t>
  </si>
  <si>
    <t>COEFICIENTE</t>
  </si>
  <si>
    <t>INDEPENDIENTE</t>
  </si>
  <si>
    <t>PROMEDIO INDICE</t>
  </si>
  <si>
    <t>OBSERVACIONES</t>
  </si>
  <si>
    <t>FRECUENCIA ABSOLUTA</t>
  </si>
  <si>
    <t>FRECUENCIA RELATIVA</t>
  </si>
  <si>
    <t>FRECUENCIA ABSOLUTA ACUMULADA</t>
  </si>
  <si>
    <t>FRECUENCIA RELATIVA ACUMULADA</t>
  </si>
  <si>
    <t>¿Cuántos empleados tienen 1 o 2 cargas?</t>
  </si>
  <si>
    <t># CARGAS</t>
  </si>
  <si>
    <t>PREGUNTA</t>
  </si>
  <si>
    <t>RESPUESTA</t>
  </si>
  <si>
    <t>¿Qué porcentaje representa?</t>
  </si>
  <si>
    <t>¿Cuántos empleados tienen a lo más 6 cargas?</t>
  </si>
  <si>
    <t>¿Cuántos empleados tienen más de 4 cargas?</t>
  </si>
  <si>
    <t># OBS</t>
  </si>
  <si>
    <t>TIEMPO</t>
  </si>
  <si>
    <t>MEDIDAS DE POSICIÓN</t>
  </si>
  <si>
    <t>MEDIDA</t>
  </si>
  <si>
    <t>VALOR</t>
  </si>
  <si>
    <t>PERCENTIL</t>
  </si>
  <si>
    <t>CUANTIL</t>
  </si>
  <si>
    <t>DECILES</t>
  </si>
  <si>
    <t>CENTRALIZACIÓN</t>
  </si>
  <si>
    <t>RANGO MUESTRAL</t>
  </si>
  <si>
    <t>DISPERSIÓN</t>
  </si>
  <si>
    <t>COEF.VAR. PEARSON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</si>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</sst>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17" fontId="0" fillId="0" borderId="0" xfId="0" applyNumberFormat="1"/>
    <xf numFmtId="2" fontId="0" fillId="0" borderId="0" xfId="0" applyNumberFormat="1"/>
    <xf numFmtId="41" fontId="0" fillId="0" borderId="0" xfId="1" applyFont="1"/>
    <xf numFmtId="43" fontId="0" fillId="0" borderId="0" xfId="0" applyNumberFormat="1"/>
    <xf numFmtId="164" fontId="0" fillId="0" borderId="0" xfId="0" applyNumberFormat="1"/>
    <xf numFmtId="0" fontId="2" fillId="0" borderId="0" xfId="0" applyFont="1"/>
    <xf numFmtId="41" fontId="0" fillId="0" borderId="0" xfId="0" applyNumberFormat="1"/>
    <xf numFmtId="17" fontId="0" fillId="2" borderId="0" xfId="0" applyNumberFormat="1" applyFill="1"/>
    <xf numFmtId="41" fontId="0" fillId="2" borderId="0" xfId="1" applyFont="1" applyFill="1"/>
    <xf numFmtId="0" fontId="0" fillId="2" borderId="0" xfId="0" applyFill="1"/>
    <xf numFmtId="43" fontId="0" fillId="2" borderId="0" xfId="0" applyNumberFormat="1" applyFill="1"/>
    <xf numFmtId="0" fontId="2" fillId="0" borderId="1" xfId="0" applyFont="1" applyBorder="1"/>
    <xf numFmtId="9" fontId="0" fillId="0" borderId="1" xfId="2" applyFont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/>
    <xf numFmtId="0" fontId="0" fillId="0" borderId="2" xfId="0" applyBorder="1"/>
    <xf numFmtId="2" fontId="0" fillId="0" borderId="2" xfId="0" applyNumberFormat="1" applyBorder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TOTAL DE HIJOS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CANTIDAD CARGAS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'Actividad-1-2-2'!$D$2:$D$10</c:f>
              <c:numCache>
                <c:formatCode>General</c:formatCode>
                <c:ptCount val="9"/>
                <c:pt idx="0">
                  <c:v>6</c:v>
                </c:pt>
                <c:pt idx="1">
                  <c:v>9</c:v>
                </c:pt>
                <c:pt idx="2">
                  <c:v>10</c:v>
                </c:pt>
                <c:pt idx="3">
                  <c:v>6</c:v>
                </c:pt>
                <c:pt idx="4">
                  <c:v>6</c:v>
                </c:pt>
                <c:pt idx="5">
                  <c:v>2</c:v>
                </c:pt>
                <c:pt idx="6">
                  <c:v>6</c:v>
                </c:pt>
                <c:pt idx="7">
                  <c:v>2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1B-1044-8CE3-4A1F039EF47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5559984"/>
        <c:axId val="186554960"/>
      </c:barChart>
      <c:catAx>
        <c:axId val="155559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6554960"/>
        <c:crosses val="autoZero"/>
        <c:auto val="1"/>
        <c:lblAlgn val="ctr"/>
        <c:lblOffset val="100"/>
        <c:noMultiLvlLbl val="0"/>
      </c:catAx>
      <c:valAx>
        <c:axId val="18655496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555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CANTIDAD DE NIÑOS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'Actividad-1-2-2'!$T$3:$T$8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45-D04D-BD52-B66330EBA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993648"/>
        <c:axId val="253064768"/>
      </c:barChart>
      <c:catAx>
        <c:axId val="155993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53064768"/>
        <c:crosses val="autoZero"/>
        <c:auto val="1"/>
        <c:lblAlgn val="ctr"/>
        <c:lblOffset val="100"/>
        <c:noMultiLvlLbl val="0"/>
      </c:catAx>
      <c:valAx>
        <c:axId val="25306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599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PÁGINAS VISTAS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'Actividad-Analitica predictiva'!$P$1</c:f>
              <c:strCache>
                <c:ptCount val="1"/>
                <c:pt idx="0">
                  <c:v>PÁGINAS VISTAS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'Actividad-Analitica predictiva'!$O$2:$O$31</c:f>
              <c:numCache>
                <c:formatCode>mmm\-yy</c:formatCode>
                <c:ptCount val="30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</c:numCache>
            </c:numRef>
          </c:cat>
          <c:val>
            <c:numRef>
              <c:f>'Actividad-Analitica predictiva'!$P$2:$P$31</c:f>
              <c:numCache>
                <c:formatCode>_(* #,##0_);_(* \(#,##0\);_(* "-"_);_(@_)</c:formatCode>
                <c:ptCount val="30"/>
                <c:pt idx="0">
                  <c:v>22336</c:v>
                </c:pt>
                <c:pt idx="1">
                  <c:v>13605</c:v>
                </c:pt>
                <c:pt idx="2">
                  <c:v>11714</c:v>
                </c:pt>
                <c:pt idx="3">
                  <c:v>9644</c:v>
                </c:pt>
                <c:pt idx="4">
                  <c:v>7900</c:v>
                </c:pt>
                <c:pt idx="5">
                  <c:v>5513</c:v>
                </c:pt>
                <c:pt idx="6">
                  <c:v>5944</c:v>
                </c:pt>
                <c:pt idx="7">
                  <c:v>8155</c:v>
                </c:pt>
                <c:pt idx="8">
                  <c:v>7584</c:v>
                </c:pt>
                <c:pt idx="9">
                  <c:v>7414</c:v>
                </c:pt>
                <c:pt idx="10">
                  <c:v>22363</c:v>
                </c:pt>
                <c:pt idx="11">
                  <c:v>11030</c:v>
                </c:pt>
                <c:pt idx="12">
                  <c:v>11793</c:v>
                </c:pt>
                <c:pt idx="13">
                  <c:v>7313</c:v>
                </c:pt>
                <c:pt idx="14">
                  <c:v>6561</c:v>
                </c:pt>
                <c:pt idx="15">
                  <c:v>9170</c:v>
                </c:pt>
                <c:pt idx="16">
                  <c:v>7783</c:v>
                </c:pt>
                <c:pt idx="17">
                  <c:v>5264</c:v>
                </c:pt>
                <c:pt idx="18">
                  <c:v>7163</c:v>
                </c:pt>
                <c:pt idx="19">
                  <c:v>11496</c:v>
                </c:pt>
                <c:pt idx="20">
                  <c:v>3250</c:v>
                </c:pt>
                <c:pt idx="21">
                  <c:v>2073</c:v>
                </c:pt>
                <c:pt idx="22">
                  <c:v>1818</c:v>
                </c:pt>
                <c:pt idx="23">
                  <c:v>1166</c:v>
                </c:pt>
                <c:pt idx="24">
                  <c:v>1513</c:v>
                </c:pt>
                <c:pt idx="25">
                  <c:v>2470</c:v>
                </c:pt>
                <c:pt idx="26">
                  <c:v>3323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1-FD48-AC02-96F927E5F127}"/>
            </c:ext>
          </c:extLst>
        </c:ser>
        <c:ser>
          <c:idx val="1"/>
          <c:order val="1"/>
          <c:tx>
            <c:strRef>
              <c:f>'Actividad-Analitica predictiva'!$Q$1</c:f>
              <c:strCache>
                <c:ptCount val="1"/>
                <c:pt idx="0">
                  <c:v>VALOR AJUSTADO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8831802274715662E-2"/>
                  <c:y val="-0.454476159230096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cat>
            <c:numRef>
              <c:f>'Actividad-Analitica predictiva'!$O$2:$O$31</c:f>
              <c:numCache>
                <c:formatCode>mmm\-yy</c:formatCode>
                <c:ptCount val="30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</c:numCache>
            </c:numRef>
          </c:cat>
          <c:val>
            <c:numRef>
              <c:f>'Actividad-Analitica predictiva'!$Q$2:$Q$31</c:f>
              <c:numCache>
                <c:formatCode>_-* #,##0_-;\-* #,##0_-;_-* "-"??_-;_-@_-</c:formatCode>
                <c:ptCount val="30"/>
                <c:pt idx="0">
                  <c:v>14811</c:v>
                </c:pt>
                <c:pt idx="1">
                  <c:v>11961</c:v>
                </c:pt>
                <c:pt idx="2">
                  <c:v>10123</c:v>
                </c:pt>
                <c:pt idx="3">
                  <c:v>8246</c:v>
                </c:pt>
                <c:pt idx="4">
                  <c:v>8063</c:v>
                </c:pt>
                <c:pt idx="5">
                  <c:v>8225</c:v>
                </c:pt>
                <c:pt idx="6">
                  <c:v>7060</c:v>
                </c:pt>
                <c:pt idx="7">
                  <c:v>6327</c:v>
                </c:pt>
                <c:pt idx="8">
                  <c:v>12595</c:v>
                </c:pt>
                <c:pt idx="9">
                  <c:v>14824</c:v>
                </c:pt>
                <c:pt idx="10">
                  <c:v>19395</c:v>
                </c:pt>
                <c:pt idx="11">
                  <c:v>18685</c:v>
                </c:pt>
                <c:pt idx="12">
                  <c:v>7820</c:v>
                </c:pt>
                <c:pt idx="13">
                  <c:v>6429</c:v>
                </c:pt>
                <c:pt idx="14">
                  <c:v>5670</c:v>
                </c:pt>
                <c:pt idx="15">
                  <c:v>7841</c:v>
                </c:pt>
                <c:pt idx="16">
                  <c:v>7944</c:v>
                </c:pt>
                <c:pt idx="17">
                  <c:v>7853</c:v>
                </c:pt>
                <c:pt idx="18">
                  <c:v>8508</c:v>
                </c:pt>
                <c:pt idx="19">
                  <c:v>8920</c:v>
                </c:pt>
                <c:pt idx="20">
                  <c:v>5397</c:v>
                </c:pt>
                <c:pt idx="21">
                  <c:v>4145</c:v>
                </c:pt>
                <c:pt idx="22">
                  <c:v>1577</c:v>
                </c:pt>
                <c:pt idx="23">
                  <c:v>1975</c:v>
                </c:pt>
                <c:pt idx="24">
                  <c:v>1003</c:v>
                </c:pt>
                <c:pt idx="25">
                  <c:v>2172</c:v>
                </c:pt>
                <c:pt idx="26">
                  <c:v>2872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21-FD48-AC02-96F927E5F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9304399"/>
        <c:axId val="2079287631"/>
      </c:lineChart>
      <c:dateAx>
        <c:axId val="207930439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79287631"/>
        <c:crosses val="autoZero"/>
        <c:auto val="1"/>
        <c:lblOffset val="100"/>
        <c:baseTimeUnit val="months"/>
      </c:dateAx>
      <c:valAx>
        <c:axId val="207928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7930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755650</xdr:colOff>
      <xdr:row>12</xdr:row>
      <xdr:rowOff>19050</xdr:rowOff>
    </xdr:from>
    <xdr:to>
      <xdr:col>5</xdr:col>
      <xdr:colOff>742950</xdr:colOff>
      <xdr:row>25</xdr:row>
      <xdr:rowOff>120650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064D0B-3620-BE4B-83D8-90F2C055D8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82550</xdr:colOff>
      <xdr:row>11</xdr:row>
      <xdr:rowOff>31750</xdr:rowOff>
    </xdr:from>
    <xdr:to>
      <xdr:col>23</xdr:col>
      <xdr:colOff>768350</xdr:colOff>
      <xdr:row>24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9DE76FA-C05D-0946-8437-6EE7F72A6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793750</xdr:colOff>
      <xdr:row>17</xdr:row>
      <xdr:rowOff>171450</xdr:rowOff>
    </xdr:from>
    <xdr:to>
      <xdr:col>13</xdr:col>
      <xdr:colOff>381000</xdr:colOff>
      <xdr:row>35</xdr:row>
      <xdr:rowOff>139700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AE5583-07AA-2841-AC11-31A67FFB5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463C-20F6-E547-A83D-C2706EDCE13F}">
  <dimension ref="A1:T51"/>
  <sheetViews>
    <sheetView showGridLines="0" tabSelected="1" topLeftCell="H1" workbookViewId="0">
      <selection activeCell="O27" sqref="O27"/>
    </sheetView>
  </sheetViews>
  <sheetFormatPr baseColWidth="10" defaultRowHeight="16" x14ac:dyDescent="0.2"/>
  <cols>
    <col min="1" max="1" width="15.33203125" bestFit="1" customWidth="1"/>
    <col min="3" max="3" width="7.5" bestFit="1" customWidth="1"/>
    <col min="4" max="4" width="21.5" bestFit="1" customWidth="1"/>
    <col min="5" max="5" width="20.33203125" bestFit="1" customWidth="1"/>
    <col min="6" max="6" width="33.1640625" bestFit="1" customWidth="1"/>
    <col min="7" max="7" width="39.83203125" bestFit="1" customWidth="1"/>
    <col min="10" max="10" width="6.1640625" bestFit="1" customWidth="1"/>
    <col min="11" max="11" width="7.6640625" bestFit="1" customWidth="1"/>
    <col min="13" max="13" width="10" bestFit="1" customWidth="1"/>
    <col min="16" max="16" width="18.6640625" bestFit="1" customWidth="1"/>
    <col min="19" max="19" width="7.6640625" bestFit="1" customWidth="1"/>
  </cols>
  <sheetData>
    <row r="1" spans="1:20" x14ac:dyDescent="0.2">
      <c r="A1" s="9" t="s">
        <v>37</v>
      </c>
      <c r="C1" s="15" t="s">
        <v>43</v>
      </c>
      <c r="D1" s="15" t="s">
        <v>38</v>
      </c>
      <c r="E1" s="15" t="s">
        <v>39</v>
      </c>
      <c r="F1" s="15" t="s">
        <v>40</v>
      </c>
      <c r="G1" s="15" t="s">
        <v>41</v>
      </c>
      <c r="J1" s="17" t="s">
        <v>49</v>
      </c>
      <c r="K1" s="1" t="s">
        <v>50</v>
      </c>
      <c r="M1" s="23" t="s">
        <v>51</v>
      </c>
      <c r="N1" s="23"/>
      <c r="P1" s="22" t="s">
        <v>57</v>
      </c>
      <c r="Q1" s="22"/>
    </row>
    <row r="2" spans="1:20" x14ac:dyDescent="0.2">
      <c r="A2">
        <v>1</v>
      </c>
      <c r="C2" s="1">
        <v>1</v>
      </c>
      <c r="D2" s="1">
        <f>COUNTIF($A$2:$A$51,C2)</f>
        <v>6</v>
      </c>
      <c r="E2" s="1">
        <f>D2/$D$11</f>
        <v>0.12</v>
      </c>
      <c r="F2" s="1">
        <f>D2</f>
        <v>6</v>
      </c>
      <c r="G2" s="1">
        <f>E2</f>
        <v>0.12</v>
      </c>
      <c r="J2" s="1">
        <v>1</v>
      </c>
      <c r="K2" s="1">
        <v>6</v>
      </c>
      <c r="M2" s="18" t="s">
        <v>54</v>
      </c>
      <c r="N2" s="18" t="s">
        <v>53</v>
      </c>
      <c r="P2" s="18" t="s">
        <v>52</v>
      </c>
      <c r="Q2" s="18" t="s">
        <v>53</v>
      </c>
      <c r="S2" s="18" t="s">
        <v>50</v>
      </c>
      <c r="T2" s="18" t="s">
        <v>61</v>
      </c>
    </row>
    <row r="3" spans="1:20" x14ac:dyDescent="0.2">
      <c r="A3">
        <v>1</v>
      </c>
      <c r="C3" s="1">
        <v>2</v>
      </c>
      <c r="D3" s="1">
        <f t="shared" ref="D3:D10" si="0">COUNTIF($A$2:$A$51,C3)</f>
        <v>9</v>
      </c>
      <c r="E3" s="1">
        <f t="shared" ref="E3:E10" si="1">D3/$D$11</f>
        <v>0.18</v>
      </c>
      <c r="F3" s="1">
        <f>D3+F2</f>
        <v>15</v>
      </c>
      <c r="G3" s="1">
        <f>G2+E3</f>
        <v>0.3</v>
      </c>
      <c r="J3" s="1">
        <v>2</v>
      </c>
      <c r="K3" s="1">
        <v>7</v>
      </c>
      <c r="M3" s="1">
        <v>0.05</v>
      </c>
      <c r="N3" s="1">
        <f>_xlfn.PERCENTILE.EXC($K$2:$K$21,M3)</f>
        <v>6.05</v>
      </c>
      <c r="P3" s="1" t="s">
        <v>3</v>
      </c>
      <c r="Q3" s="1">
        <f>MEDIAN(K2:K21)</f>
        <v>9</v>
      </c>
      <c r="S3" s="1">
        <v>6</v>
      </c>
      <c r="T3" s="1">
        <f>COUNTIF($K$2:$K$21,S3)</f>
        <v>1</v>
      </c>
    </row>
    <row r="4" spans="1:20" x14ac:dyDescent="0.2">
      <c r="A4">
        <v>3</v>
      </c>
      <c r="C4" s="1">
        <v>3</v>
      </c>
      <c r="D4" s="1">
        <f t="shared" si="0"/>
        <v>10</v>
      </c>
      <c r="E4" s="1">
        <f t="shared" si="1"/>
        <v>0.2</v>
      </c>
      <c r="F4" s="1">
        <f t="shared" ref="F4:F10" si="2">D4+F3</f>
        <v>25</v>
      </c>
      <c r="G4" s="1">
        <f t="shared" ref="G4:G10" si="3">G3+E4</f>
        <v>0.5</v>
      </c>
      <c r="J4" s="1">
        <v>3</v>
      </c>
      <c r="K4" s="1">
        <v>7</v>
      </c>
      <c r="M4" s="1">
        <v>0.25</v>
      </c>
      <c r="N4" s="1">
        <f t="shared" ref="N4:N6" si="4">_xlfn.PERCENTILE.EXC($K$2:$K$21,M4)</f>
        <v>8</v>
      </c>
      <c r="P4" s="1" t="s">
        <v>2</v>
      </c>
      <c r="Q4" s="1">
        <f>AVERAGE(K2:K21)</f>
        <v>8.8000000000000007</v>
      </c>
      <c r="S4" s="1">
        <v>7</v>
      </c>
      <c r="T4" s="1">
        <f t="shared" ref="T4:T8" si="5">COUNTIF($K$2:$K$21,S4)</f>
        <v>2</v>
      </c>
    </row>
    <row r="5" spans="1:20" x14ac:dyDescent="0.2">
      <c r="A5">
        <v>7</v>
      </c>
      <c r="C5" s="1">
        <v>4</v>
      </c>
      <c r="D5" s="1">
        <f t="shared" si="0"/>
        <v>6</v>
      </c>
      <c r="E5" s="1">
        <f t="shared" si="1"/>
        <v>0.12</v>
      </c>
      <c r="F5" s="1">
        <f t="shared" si="2"/>
        <v>31</v>
      </c>
      <c r="G5" s="1">
        <f t="shared" si="3"/>
        <v>0.62</v>
      </c>
      <c r="J5" s="1">
        <v>4</v>
      </c>
      <c r="K5" s="1">
        <v>8</v>
      </c>
      <c r="M5" s="1">
        <v>0.5</v>
      </c>
      <c r="N5" s="1">
        <f t="shared" si="4"/>
        <v>9</v>
      </c>
      <c r="P5" s="1" t="s">
        <v>4</v>
      </c>
      <c r="Q5" s="1">
        <f>MODE(K2:K21)</f>
        <v>9</v>
      </c>
      <c r="S5" s="1">
        <v>8</v>
      </c>
      <c r="T5" s="1">
        <f t="shared" si="5"/>
        <v>4</v>
      </c>
    </row>
    <row r="6" spans="1:20" x14ac:dyDescent="0.2">
      <c r="A6">
        <v>2</v>
      </c>
      <c r="C6" s="1">
        <v>5</v>
      </c>
      <c r="D6" s="1">
        <f t="shared" si="0"/>
        <v>6</v>
      </c>
      <c r="E6" s="1">
        <f t="shared" si="1"/>
        <v>0.12</v>
      </c>
      <c r="F6" s="1">
        <f t="shared" si="2"/>
        <v>37</v>
      </c>
      <c r="G6" s="1">
        <f t="shared" si="3"/>
        <v>0.74</v>
      </c>
      <c r="J6" s="1">
        <v>5</v>
      </c>
      <c r="K6" s="1">
        <v>8</v>
      </c>
      <c r="M6" s="1">
        <v>0.8</v>
      </c>
      <c r="N6" s="1">
        <f t="shared" si="4"/>
        <v>10</v>
      </c>
      <c r="S6" s="1">
        <v>9</v>
      </c>
      <c r="T6" s="1">
        <f t="shared" si="5"/>
        <v>7</v>
      </c>
    </row>
    <row r="7" spans="1:20" x14ac:dyDescent="0.2">
      <c r="A7">
        <v>9</v>
      </c>
      <c r="C7" s="1">
        <v>6</v>
      </c>
      <c r="D7" s="1">
        <f t="shared" si="0"/>
        <v>2</v>
      </c>
      <c r="E7" s="1">
        <f t="shared" si="1"/>
        <v>0.04</v>
      </c>
      <c r="F7" s="1">
        <f t="shared" si="2"/>
        <v>39</v>
      </c>
      <c r="G7" s="1">
        <f t="shared" si="3"/>
        <v>0.78</v>
      </c>
      <c r="J7" s="1">
        <v>6</v>
      </c>
      <c r="K7" s="1">
        <v>8</v>
      </c>
      <c r="M7" s="20"/>
      <c r="N7" s="20"/>
      <c r="S7" s="1">
        <v>10</v>
      </c>
      <c r="T7" s="1">
        <f t="shared" si="5"/>
        <v>5</v>
      </c>
    </row>
    <row r="8" spans="1:20" x14ac:dyDescent="0.2">
      <c r="A8">
        <v>4</v>
      </c>
      <c r="C8" s="1">
        <v>7</v>
      </c>
      <c r="D8" s="1">
        <f t="shared" si="0"/>
        <v>6</v>
      </c>
      <c r="E8" s="1">
        <f t="shared" si="1"/>
        <v>0.12</v>
      </c>
      <c r="F8" s="1">
        <f t="shared" si="2"/>
        <v>45</v>
      </c>
      <c r="G8" s="1">
        <f t="shared" si="3"/>
        <v>0.9</v>
      </c>
      <c r="J8" s="1">
        <v>7</v>
      </c>
      <c r="K8" s="1">
        <v>8</v>
      </c>
      <c r="P8" s="22" t="s">
        <v>59</v>
      </c>
      <c r="Q8" s="22"/>
      <c r="S8" s="1">
        <v>11</v>
      </c>
      <c r="T8" s="1">
        <f t="shared" si="5"/>
        <v>1</v>
      </c>
    </row>
    <row r="9" spans="1:20" x14ac:dyDescent="0.2">
      <c r="A9">
        <v>5</v>
      </c>
      <c r="C9" s="1">
        <v>8</v>
      </c>
      <c r="D9" s="1">
        <f t="shared" si="0"/>
        <v>2</v>
      </c>
      <c r="E9" s="1">
        <f t="shared" si="1"/>
        <v>0.04</v>
      </c>
      <c r="F9" s="1">
        <f t="shared" si="2"/>
        <v>47</v>
      </c>
      <c r="G9" s="1">
        <f t="shared" si="3"/>
        <v>0.94000000000000006</v>
      </c>
      <c r="J9" s="1">
        <v>8</v>
      </c>
      <c r="K9" s="1">
        <v>9</v>
      </c>
      <c r="M9" s="18" t="s">
        <v>55</v>
      </c>
      <c r="N9" s="18" t="s">
        <v>53</v>
      </c>
      <c r="P9" s="18" t="s">
        <v>52</v>
      </c>
      <c r="Q9" s="18" t="s">
        <v>53</v>
      </c>
      <c r="T9" s="9">
        <f>SUM(T3:T8)</f>
        <v>20</v>
      </c>
    </row>
    <row r="10" spans="1:20" x14ac:dyDescent="0.2">
      <c r="A10">
        <v>2</v>
      </c>
      <c r="C10" s="1">
        <v>9</v>
      </c>
      <c r="D10" s="1">
        <f t="shared" si="0"/>
        <v>3</v>
      </c>
      <c r="E10" s="1">
        <f t="shared" si="1"/>
        <v>0.06</v>
      </c>
      <c r="F10" s="1">
        <f t="shared" si="2"/>
        <v>50</v>
      </c>
      <c r="G10" s="1">
        <f t="shared" si="3"/>
        <v>1</v>
      </c>
      <c r="J10" s="1">
        <v>9</v>
      </c>
      <c r="K10" s="1">
        <v>9</v>
      </c>
      <c r="M10" s="1">
        <v>1</v>
      </c>
      <c r="N10" s="19">
        <f>_xlfn.QUARTILE.EXC($K$2:$K$21,M10)</f>
        <v>8</v>
      </c>
      <c r="P10" s="1" t="s">
        <v>6</v>
      </c>
      <c r="Q10" s="1">
        <f>_xlfn.VAR.S(K2:K21)</f>
        <v>1.5368421052631602</v>
      </c>
    </row>
    <row r="11" spans="1:20" x14ac:dyDescent="0.2">
      <c r="A11">
        <v>3</v>
      </c>
      <c r="D11">
        <f>SUM(D2:D10)</f>
        <v>50</v>
      </c>
      <c r="J11" s="1">
        <v>10</v>
      </c>
      <c r="K11" s="1">
        <v>9</v>
      </c>
      <c r="M11" s="1">
        <v>2</v>
      </c>
      <c r="N11" s="19">
        <f t="shared" ref="N11:N12" si="6">_xlfn.QUARTILE.EXC($K$2:$K$21,M11)</f>
        <v>9</v>
      </c>
      <c r="P11" s="1" t="s">
        <v>5</v>
      </c>
      <c r="Q11" s="1">
        <f>STDEV(K2:K21)</f>
        <v>1.2396943596157726</v>
      </c>
    </row>
    <row r="12" spans="1:20" x14ac:dyDescent="0.2">
      <c r="A12">
        <v>2</v>
      </c>
      <c r="G12" s="15" t="s">
        <v>44</v>
      </c>
      <c r="H12" s="15" t="s">
        <v>45</v>
      </c>
      <c r="J12" s="1">
        <v>11</v>
      </c>
      <c r="K12" s="1">
        <v>9</v>
      </c>
      <c r="M12" s="1">
        <v>3</v>
      </c>
      <c r="N12" s="19">
        <f t="shared" si="6"/>
        <v>10</v>
      </c>
      <c r="P12" s="1" t="s">
        <v>58</v>
      </c>
      <c r="Q12" s="1">
        <f>MAX(K2:K21)-MIN(K2:K21)</f>
        <v>5</v>
      </c>
    </row>
    <row r="13" spans="1:20" x14ac:dyDescent="0.2">
      <c r="A13">
        <v>3</v>
      </c>
      <c r="G13" s="1" t="s">
        <v>42</v>
      </c>
      <c r="H13" s="1">
        <f>SUMIF(C2:C10,"&lt;=2",D2:D10)</f>
        <v>15</v>
      </c>
      <c r="J13" s="1">
        <v>12</v>
      </c>
      <c r="K13" s="1">
        <v>9</v>
      </c>
    </row>
    <row r="14" spans="1:20" x14ac:dyDescent="0.2">
      <c r="A14">
        <v>4</v>
      </c>
      <c r="G14" s="1" t="s">
        <v>46</v>
      </c>
      <c r="H14" s="16">
        <f>H13/D11</f>
        <v>0.3</v>
      </c>
      <c r="J14" s="1">
        <v>13</v>
      </c>
      <c r="K14" s="1">
        <v>9</v>
      </c>
      <c r="P14" s="22" t="s">
        <v>59</v>
      </c>
      <c r="Q14" s="22"/>
    </row>
    <row r="15" spans="1:20" x14ac:dyDescent="0.2">
      <c r="A15">
        <v>3</v>
      </c>
      <c r="G15" s="1" t="s">
        <v>47</v>
      </c>
      <c r="H15" s="1">
        <f>SUMIF(C2:C10,"&lt;=6",D2:D10)</f>
        <v>39</v>
      </c>
      <c r="J15" s="1">
        <v>14</v>
      </c>
      <c r="K15" s="1">
        <v>9</v>
      </c>
      <c r="M15" s="18" t="s">
        <v>56</v>
      </c>
      <c r="N15" s="18" t="s">
        <v>53</v>
      </c>
      <c r="P15" s="18" t="s">
        <v>52</v>
      </c>
      <c r="Q15" s="18" t="s">
        <v>53</v>
      </c>
    </row>
    <row r="16" spans="1:20" x14ac:dyDescent="0.2">
      <c r="A16">
        <v>7</v>
      </c>
      <c r="G16" s="1" t="s">
        <v>46</v>
      </c>
      <c r="H16" s="16">
        <f>H15/D11</f>
        <v>0.78</v>
      </c>
      <c r="J16" s="1">
        <v>15</v>
      </c>
      <c r="K16" s="1">
        <v>10</v>
      </c>
      <c r="M16" s="1">
        <v>0.5</v>
      </c>
      <c r="N16" s="19">
        <f>_xlfn.PERCENTILE.EXC($K$2:$K$21,M16)</f>
        <v>9</v>
      </c>
      <c r="P16" s="1" t="s">
        <v>60</v>
      </c>
      <c r="Q16" s="1">
        <f>Q11/Q4</f>
        <v>0.14087435904724688</v>
      </c>
    </row>
    <row r="17" spans="1:14" x14ac:dyDescent="0.2">
      <c r="A17">
        <v>7</v>
      </c>
      <c r="G17" s="1" t="s">
        <v>48</v>
      </c>
      <c r="H17" s="1">
        <f>SUMIF(C2:C10,"&gt;=4",D2:D10)</f>
        <v>25</v>
      </c>
      <c r="J17" s="1">
        <v>16</v>
      </c>
      <c r="K17" s="1">
        <v>10</v>
      </c>
      <c r="M17" s="1">
        <v>0.8</v>
      </c>
      <c r="N17" s="19">
        <f t="shared" ref="N17" si="7">_xlfn.PERCENTILE.EXC($K$2:$K$21,M17)</f>
        <v>10</v>
      </c>
    </row>
    <row r="18" spans="1:14" x14ac:dyDescent="0.2">
      <c r="A18">
        <v>2</v>
      </c>
      <c r="J18" s="1">
        <v>17</v>
      </c>
      <c r="K18" s="1">
        <v>10</v>
      </c>
      <c r="M18" s="20"/>
      <c r="N18" s="21"/>
    </row>
    <row r="19" spans="1:14" x14ac:dyDescent="0.2">
      <c r="A19">
        <v>9</v>
      </c>
      <c r="J19" s="1">
        <v>18</v>
      </c>
      <c r="K19" s="3">
        <v>10</v>
      </c>
    </row>
    <row r="20" spans="1:14" x14ac:dyDescent="0.2">
      <c r="A20">
        <v>8</v>
      </c>
      <c r="J20" s="1">
        <v>19</v>
      </c>
      <c r="K20" s="3">
        <v>10</v>
      </c>
    </row>
    <row r="21" spans="1:14" x14ac:dyDescent="0.2">
      <c r="A21">
        <v>4</v>
      </c>
      <c r="J21" s="1">
        <v>20</v>
      </c>
      <c r="K21" s="3">
        <v>11</v>
      </c>
    </row>
    <row r="22" spans="1:14" x14ac:dyDescent="0.2">
      <c r="A22">
        <v>3</v>
      </c>
    </row>
    <row r="23" spans="1:14" x14ac:dyDescent="0.2">
      <c r="A23">
        <v>7</v>
      </c>
    </row>
    <row r="24" spans="1:14" x14ac:dyDescent="0.2">
      <c r="A24">
        <v>4</v>
      </c>
    </row>
    <row r="25" spans="1:14" x14ac:dyDescent="0.2">
      <c r="A25">
        <v>1</v>
      </c>
    </row>
    <row r="26" spans="1:14" x14ac:dyDescent="0.2">
      <c r="A26">
        <v>2</v>
      </c>
    </row>
    <row r="27" spans="1:14" x14ac:dyDescent="0.2">
      <c r="A27">
        <v>4</v>
      </c>
    </row>
    <row r="28" spans="1:14" x14ac:dyDescent="0.2">
      <c r="A28">
        <v>5</v>
      </c>
    </row>
    <row r="29" spans="1:14" x14ac:dyDescent="0.2">
      <c r="A29">
        <v>5</v>
      </c>
    </row>
    <row r="30" spans="1:14" x14ac:dyDescent="0.2">
      <c r="A30">
        <v>1</v>
      </c>
    </row>
    <row r="31" spans="1:14" x14ac:dyDescent="0.2">
      <c r="A31">
        <v>2</v>
      </c>
    </row>
    <row r="32" spans="1:14" x14ac:dyDescent="0.2">
      <c r="A32">
        <v>3</v>
      </c>
    </row>
    <row r="33" spans="1:1" x14ac:dyDescent="0.2">
      <c r="A33">
        <v>3</v>
      </c>
    </row>
    <row r="34" spans="1:1" x14ac:dyDescent="0.2">
      <c r="A34">
        <v>4</v>
      </c>
    </row>
    <row r="35" spans="1:1" x14ac:dyDescent="0.2">
      <c r="A35">
        <v>5</v>
      </c>
    </row>
    <row r="36" spans="1:1" x14ac:dyDescent="0.2">
      <c r="A36">
        <v>7</v>
      </c>
    </row>
    <row r="37" spans="1:1" x14ac:dyDescent="0.2">
      <c r="A37">
        <v>9</v>
      </c>
    </row>
    <row r="38" spans="1:1" x14ac:dyDescent="0.2">
      <c r="A38">
        <v>8</v>
      </c>
    </row>
    <row r="39" spans="1:1" x14ac:dyDescent="0.2">
      <c r="A39">
        <v>7</v>
      </c>
    </row>
    <row r="40" spans="1:1" x14ac:dyDescent="0.2">
      <c r="A40">
        <v>5</v>
      </c>
    </row>
    <row r="41" spans="1:1" x14ac:dyDescent="0.2">
      <c r="A41">
        <v>3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1</v>
      </c>
    </row>
    <row r="45" spans="1:1" x14ac:dyDescent="0.2">
      <c r="A45">
        <v>3</v>
      </c>
    </row>
    <row r="46" spans="1:1" x14ac:dyDescent="0.2">
      <c r="A46">
        <v>5</v>
      </c>
    </row>
    <row r="47" spans="1:1" x14ac:dyDescent="0.2">
      <c r="A47">
        <v>6</v>
      </c>
    </row>
    <row r="48" spans="1:1" x14ac:dyDescent="0.2">
      <c r="A48">
        <v>6</v>
      </c>
    </row>
    <row r="49" spans="1:1" x14ac:dyDescent="0.2">
      <c r="A49">
        <v>2</v>
      </c>
    </row>
    <row r="50" spans="1:1" x14ac:dyDescent="0.2">
      <c r="A50">
        <v>1</v>
      </c>
    </row>
    <row r="51" spans="1:1" x14ac:dyDescent="0.2">
      <c r="A51">
        <v>3</v>
      </c>
    </row>
  </sheetData>
  <mergeCells count="4">
    <mergeCell ref="M1:N1"/>
    <mergeCell ref="P1:Q1"/>
    <mergeCell ref="P8:Q8"/>
    <mergeCell ref="P14:Q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A197-999A-8C47-B9BD-9606D237AF52}">
  <dimension ref="A1:V14"/>
  <sheetViews>
    <sheetView showGridLines="0" workbookViewId="0">
      <selection activeCell="T13" sqref="T13"/>
    </sheetView>
  </sheetViews>
  <sheetFormatPr baseColWidth="10" defaultRowHeight="16" x14ac:dyDescent="0.2"/>
  <cols>
    <col min="1" max="1" width="7.83203125" bestFit="1" customWidth="1"/>
    <col min="2" max="18" width="5.1640625" bestFit="1" customWidth="1"/>
    <col min="20" max="20" width="24.5" bestFit="1" customWidth="1"/>
    <col min="21" max="21" width="12.1640625" bestFit="1" customWidth="1"/>
  </cols>
  <sheetData>
    <row r="1" spans="1:22" x14ac:dyDescent="0.2">
      <c r="A1" s="1" t="s">
        <v>0</v>
      </c>
      <c r="B1" s="1">
        <v>1896</v>
      </c>
      <c r="C1" s="1">
        <v>1904</v>
      </c>
      <c r="D1" s="1">
        <v>1908</v>
      </c>
      <c r="E1" s="1">
        <v>1912</v>
      </c>
      <c r="F1" s="1">
        <v>1920</v>
      </c>
      <c r="G1" s="1">
        <v>1928</v>
      </c>
      <c r="H1" s="1">
        <v>1932</v>
      </c>
      <c r="I1" s="1">
        <v>1936</v>
      </c>
      <c r="J1" s="1">
        <v>1948</v>
      </c>
      <c r="K1" s="1">
        <v>1952</v>
      </c>
      <c r="L1" s="1">
        <v>1956</v>
      </c>
      <c r="M1" s="1">
        <v>1960</v>
      </c>
      <c r="N1" s="1">
        <v>1964</v>
      </c>
      <c r="O1" s="1">
        <v>1968</v>
      </c>
      <c r="P1" s="1">
        <v>1972</v>
      </c>
      <c r="Q1" s="1">
        <v>1976</v>
      </c>
      <c r="R1" s="1">
        <v>1980</v>
      </c>
      <c r="U1" s="2" t="s">
        <v>0</v>
      </c>
      <c r="V1" s="2" t="s">
        <v>1</v>
      </c>
    </row>
    <row r="2" spans="1:22" x14ac:dyDescent="0.2">
      <c r="A2" s="1" t="s">
        <v>1</v>
      </c>
      <c r="B2" s="1">
        <v>190</v>
      </c>
      <c r="C2" s="1">
        <v>180</v>
      </c>
      <c r="D2" s="1">
        <v>191</v>
      </c>
      <c r="E2" s="1">
        <v>193</v>
      </c>
      <c r="F2" s="1">
        <v>193</v>
      </c>
      <c r="G2" s="1">
        <v>194</v>
      </c>
      <c r="H2" s="1">
        <v>197</v>
      </c>
      <c r="I2" s="1">
        <v>203</v>
      </c>
      <c r="J2" s="1">
        <v>198</v>
      </c>
      <c r="K2" s="1">
        <v>204</v>
      </c>
      <c r="L2" s="1">
        <v>212</v>
      </c>
      <c r="M2" s="1">
        <v>216</v>
      </c>
      <c r="N2" s="1">
        <v>218</v>
      </c>
      <c r="O2" s="1">
        <v>224</v>
      </c>
      <c r="P2" s="1">
        <v>223</v>
      </c>
      <c r="Q2" s="1">
        <v>225</v>
      </c>
      <c r="R2" s="1">
        <v>236</v>
      </c>
      <c r="T2" s="1" t="s">
        <v>2</v>
      </c>
      <c r="U2" s="1">
        <f>AVERAGE(B1:R1)</f>
        <v>1941.8823529411766</v>
      </c>
      <c r="V2" s="1">
        <f>AVERAGE(B2:R2)</f>
        <v>205.70588235294119</v>
      </c>
    </row>
    <row r="3" spans="1:22" x14ac:dyDescent="0.2">
      <c r="T3" s="1" t="s">
        <v>3</v>
      </c>
      <c r="U3" s="1">
        <f>MEDIAN(B1:R1)</f>
        <v>1948</v>
      </c>
      <c r="V3" s="1">
        <f>MEDIAN(B2:R2)</f>
        <v>203</v>
      </c>
    </row>
    <row r="4" spans="1:22" x14ac:dyDescent="0.2">
      <c r="T4" s="1" t="s">
        <v>4</v>
      </c>
      <c r="U4" s="1"/>
      <c r="V4" s="1">
        <f>MODE(B2:R2)</f>
        <v>193</v>
      </c>
    </row>
    <row r="5" spans="1:22" x14ac:dyDescent="0.2">
      <c r="T5" s="1" t="s">
        <v>5</v>
      </c>
      <c r="U5" s="1">
        <f>STDEV(B1:R1)</f>
        <v>27.096776452516401</v>
      </c>
      <c r="V5" s="1">
        <f>STDEV(B2:R2)</f>
        <v>15.711320384846529</v>
      </c>
    </row>
    <row r="6" spans="1:22" x14ac:dyDescent="0.2">
      <c r="T6" s="1" t="s">
        <v>6</v>
      </c>
      <c r="U6" s="1">
        <f>VARA(B1:R1)</f>
        <v>734.2352941176473</v>
      </c>
      <c r="V6" s="1">
        <f>VARA(B2:R2)</f>
        <v>246.84558823529409</v>
      </c>
    </row>
    <row r="7" spans="1:22" x14ac:dyDescent="0.2">
      <c r="T7" s="1" t="s">
        <v>7</v>
      </c>
      <c r="U7" s="1">
        <f>KURT(B1:R1)</f>
        <v>-1.2859348134053179</v>
      </c>
      <c r="V7" s="1">
        <f>KURT(B2:R2)</f>
        <v>-0.90342481148851794</v>
      </c>
    </row>
    <row r="8" spans="1:22" x14ac:dyDescent="0.2">
      <c r="T8" s="1" t="s">
        <v>8</v>
      </c>
      <c r="U8" s="1">
        <f>SKEW(B1:R1)</f>
        <v>-0.2484427654716983</v>
      </c>
      <c r="V8" s="1">
        <f>SKEW(B2:R2)</f>
        <v>0.33949983298880893</v>
      </c>
    </row>
    <row r="9" spans="1:22" x14ac:dyDescent="0.2">
      <c r="T9" s="1" t="s">
        <v>9</v>
      </c>
      <c r="U9" s="1">
        <f>MIN(B1:R1)</f>
        <v>1896</v>
      </c>
      <c r="V9" s="1">
        <f>MIN(B2:R2)</f>
        <v>180</v>
      </c>
    </row>
    <row r="10" spans="1:22" x14ac:dyDescent="0.2">
      <c r="T10" s="1" t="s">
        <v>10</v>
      </c>
      <c r="U10" s="1">
        <f>MAX(B1:R1)</f>
        <v>1980</v>
      </c>
      <c r="V10" s="1">
        <f>MAX(B2:R2)</f>
        <v>236</v>
      </c>
    </row>
    <row r="11" spans="1:22" x14ac:dyDescent="0.2">
      <c r="T11" s="1" t="s">
        <v>11</v>
      </c>
      <c r="U11" s="1">
        <f>SUM(B1:R1)</f>
        <v>33012</v>
      </c>
      <c r="V11" s="1">
        <f>SUM(B2:R2)</f>
        <v>3497</v>
      </c>
    </row>
    <row r="12" spans="1:22" x14ac:dyDescent="0.2">
      <c r="T12" s="1" t="s">
        <v>12</v>
      </c>
      <c r="U12" s="1">
        <f>COUNT(B1:R1)</f>
        <v>17</v>
      </c>
      <c r="V12" s="1">
        <f>COUNT(B2:R2)</f>
        <v>17</v>
      </c>
    </row>
    <row r="13" spans="1:22" x14ac:dyDescent="0.2">
      <c r="T13" s="1" t="s">
        <v>14</v>
      </c>
      <c r="U13" s="1">
        <v>0.05</v>
      </c>
      <c r="V13" s="1">
        <v>0.05</v>
      </c>
    </row>
    <row r="14" spans="1:22" x14ac:dyDescent="0.2">
      <c r="T14" s="3" t="s">
        <v>13</v>
      </c>
      <c r="U14" s="1">
        <f>_xlfn.CONFIDENCE.NORM(U13,U5,U12)</f>
        <v>12.880753191014653</v>
      </c>
      <c r="V14" s="1">
        <f>_xlfn.CONFIDENCE.NORM(V13,V5,V12)</f>
        <v>7.4685503840945477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3CCB-9B4B-F847-9426-FB65F64E5D3E}">
  <dimension ref="A1:V37"/>
  <sheetViews>
    <sheetView showGridLines="0" topLeftCell="H1" workbookViewId="0">
      <selection activeCell="V3" sqref="V3"/>
    </sheetView>
  </sheetViews>
  <sheetFormatPr baseColWidth="10" defaultRowHeight="16" x14ac:dyDescent="0.2"/>
  <cols>
    <col min="6" max="6" width="11.6640625" bestFit="1" customWidth="1"/>
    <col min="9" max="9" width="3.5" customWidth="1"/>
    <col min="15" max="15" width="7.33203125" bestFit="1" customWidth="1"/>
    <col min="16" max="16" width="14.5" bestFit="1" customWidth="1"/>
    <col min="17" max="17" width="16.33203125" bestFit="1" customWidth="1"/>
    <col min="18" max="18" width="16.83203125" bestFit="1" customWidth="1"/>
    <col min="19" max="19" width="16.5" bestFit="1" customWidth="1"/>
    <col min="21" max="21" width="14.5" bestFit="1" customWidth="1"/>
  </cols>
  <sheetData>
    <row r="1" spans="1:22" x14ac:dyDescent="0.2">
      <c r="B1" t="s">
        <v>15</v>
      </c>
      <c r="F1">
        <v>2016</v>
      </c>
      <c r="G1">
        <v>2017</v>
      </c>
      <c r="H1">
        <v>2018</v>
      </c>
      <c r="J1">
        <v>2016</v>
      </c>
      <c r="K1">
        <v>2017</v>
      </c>
      <c r="L1">
        <v>2018</v>
      </c>
      <c r="M1" t="s">
        <v>30</v>
      </c>
      <c r="O1" s="9" t="s">
        <v>32</v>
      </c>
      <c r="P1" s="9" t="s">
        <v>15</v>
      </c>
      <c r="Q1" s="9" t="s">
        <v>31</v>
      </c>
      <c r="R1" s="9" t="s">
        <v>36</v>
      </c>
      <c r="S1" s="9" t="s">
        <v>33</v>
      </c>
      <c r="U1" s="9" t="s">
        <v>34</v>
      </c>
      <c r="V1">
        <f>-12.615</f>
        <v>-12.615</v>
      </c>
    </row>
    <row r="2" spans="1:22" x14ac:dyDescent="0.2">
      <c r="A2" s="4">
        <v>42370</v>
      </c>
      <c r="B2">
        <v>22336</v>
      </c>
      <c r="E2" t="s">
        <v>16</v>
      </c>
      <c r="F2" s="6">
        <f>B2</f>
        <v>22336</v>
      </c>
      <c r="G2" s="6">
        <f>B14</f>
        <v>11793</v>
      </c>
      <c r="H2" s="6">
        <f>B26</f>
        <v>1513</v>
      </c>
      <c r="J2" s="5">
        <f>F2/$F$16</f>
        <v>2.0122220387081278</v>
      </c>
      <c r="K2" s="5">
        <f>G2/$G$16</f>
        <v>1.8906613226452906</v>
      </c>
      <c r="L2" s="5">
        <f>H2/$H$16</f>
        <v>0.62127018888584717</v>
      </c>
      <c r="M2" s="5">
        <f>AVERAGE(J2:L2)</f>
        <v>1.5080511834130885</v>
      </c>
      <c r="N2" s="5"/>
      <c r="O2" s="4">
        <v>42370</v>
      </c>
      <c r="P2" s="6">
        <f>B2</f>
        <v>22336</v>
      </c>
      <c r="Q2" s="8">
        <f>ROUND(P2/M2,0)</f>
        <v>14811</v>
      </c>
      <c r="R2" s="7">
        <f>M2</f>
        <v>1.5080511834130885</v>
      </c>
      <c r="S2" s="10">
        <f>(O2*($V$1)+$V$2)*R2</f>
        <v>19840.599992015057</v>
      </c>
      <c r="U2" t="s">
        <v>35</v>
      </c>
      <c r="V2">
        <f>547654</f>
        <v>547654</v>
      </c>
    </row>
    <row r="3" spans="1:22" x14ac:dyDescent="0.2">
      <c r="A3" s="4">
        <v>42401</v>
      </c>
      <c r="B3">
        <v>13605</v>
      </c>
      <c r="E3" t="s">
        <v>17</v>
      </c>
      <c r="F3" s="6">
        <f t="shared" ref="F3:F13" si="0">B3</f>
        <v>13605</v>
      </c>
      <c r="G3" s="6">
        <f t="shared" ref="G3:G13" si="1">B15</f>
        <v>7313</v>
      </c>
      <c r="H3" s="6">
        <f t="shared" ref="H3:H4" si="2">B27</f>
        <v>2470</v>
      </c>
      <c r="J3" s="5">
        <f t="shared" ref="J3:J13" si="3">F3/$F$16</f>
        <v>1.2256572724133272</v>
      </c>
      <c r="K3" s="5">
        <f t="shared" ref="K3:K13" si="4">G3/$G$16</f>
        <v>1.1724248496993988</v>
      </c>
      <c r="L3" s="5">
        <f t="shared" ref="L3:L4" si="5">H3/$H$16</f>
        <v>1.0142348754448398</v>
      </c>
      <c r="M3" s="5">
        <f t="shared" ref="M3:M13" si="6">AVERAGE(J3:L3)</f>
        <v>1.1374389991858551</v>
      </c>
      <c r="N3" s="5"/>
      <c r="O3" s="4">
        <v>42401</v>
      </c>
      <c r="P3" s="6">
        <f t="shared" ref="P3:P31" si="7">B3</f>
        <v>13605</v>
      </c>
      <c r="Q3" s="8">
        <f t="shared" ref="Q3:Q13" si="8">ROUND(F3/M3,0)</f>
        <v>11961</v>
      </c>
      <c r="R3" s="7">
        <f t="shared" ref="R3:R13" si="9">M3</f>
        <v>1.1374389991858551</v>
      </c>
      <c r="S3" s="10">
        <f t="shared" ref="S3:S31" si="10">(O3*($V$1)+$V$2)*R3</f>
        <v>14519.846738622138</v>
      </c>
    </row>
    <row r="4" spans="1:22" x14ac:dyDescent="0.2">
      <c r="A4" s="4">
        <v>42430</v>
      </c>
      <c r="B4">
        <v>11714</v>
      </c>
      <c r="E4" t="s">
        <v>18</v>
      </c>
      <c r="F4" s="6">
        <f t="shared" si="0"/>
        <v>11714</v>
      </c>
      <c r="G4" s="6">
        <f t="shared" si="1"/>
        <v>6561</v>
      </c>
      <c r="H4" s="6">
        <f t="shared" si="2"/>
        <v>3323</v>
      </c>
      <c r="J4" s="5">
        <f t="shared" si="3"/>
        <v>1.0552994699779283</v>
      </c>
      <c r="K4" s="5">
        <f t="shared" si="4"/>
        <v>1.0518637274549099</v>
      </c>
      <c r="L4" s="5">
        <f t="shared" si="5"/>
        <v>1.3644949356693128</v>
      </c>
      <c r="M4" s="5">
        <f t="shared" si="6"/>
        <v>1.1572193777007169</v>
      </c>
      <c r="N4" s="5"/>
      <c r="O4" s="4">
        <v>42430</v>
      </c>
      <c r="P4" s="6">
        <f t="shared" si="7"/>
        <v>11714</v>
      </c>
      <c r="Q4" s="8">
        <f t="shared" si="8"/>
        <v>10123</v>
      </c>
      <c r="R4" s="7">
        <f t="shared" si="9"/>
        <v>1.1572193777007169</v>
      </c>
      <c r="S4" s="10">
        <f t="shared" si="10"/>
        <v>14348.999534768978</v>
      </c>
    </row>
    <row r="5" spans="1:22" x14ac:dyDescent="0.2">
      <c r="A5" s="4">
        <v>42461</v>
      </c>
      <c r="B5">
        <v>9644</v>
      </c>
      <c r="E5" t="s">
        <v>19</v>
      </c>
      <c r="F5" s="6">
        <f t="shared" si="0"/>
        <v>9644</v>
      </c>
      <c r="G5" s="6">
        <f t="shared" si="1"/>
        <v>9170</v>
      </c>
      <c r="H5" s="6"/>
      <c r="J5" s="5">
        <f t="shared" si="3"/>
        <v>0.86881578354679367</v>
      </c>
      <c r="K5" s="5">
        <f t="shared" si="4"/>
        <v>1.4701402805611223</v>
      </c>
      <c r="M5" s="5">
        <f t="shared" si="6"/>
        <v>1.1694780320539579</v>
      </c>
      <c r="N5" s="5"/>
      <c r="O5" s="4">
        <v>42461</v>
      </c>
      <c r="P5" s="6">
        <f t="shared" si="7"/>
        <v>9644</v>
      </c>
      <c r="Q5" s="8">
        <f t="shared" si="8"/>
        <v>8246</v>
      </c>
      <c r="R5" s="7">
        <f t="shared" si="9"/>
        <v>1.1694780320539579</v>
      </c>
      <c r="S5" s="10">
        <f t="shared" si="10"/>
        <v>14043.659405749457</v>
      </c>
    </row>
    <row r="6" spans="1:22" x14ac:dyDescent="0.2">
      <c r="A6" s="4">
        <v>42491</v>
      </c>
      <c r="B6">
        <v>7900</v>
      </c>
      <c r="E6" t="s">
        <v>20</v>
      </c>
      <c r="F6" s="6">
        <f t="shared" si="0"/>
        <v>7900</v>
      </c>
      <c r="G6" s="6">
        <f t="shared" si="1"/>
        <v>7783</v>
      </c>
      <c r="H6" s="6"/>
      <c r="J6" s="5">
        <f t="shared" si="3"/>
        <v>0.71170102551012748</v>
      </c>
      <c r="K6" s="5">
        <f t="shared" si="4"/>
        <v>1.2477755511022044</v>
      </c>
      <c r="M6" s="5">
        <f t="shared" si="6"/>
        <v>0.97973828830616594</v>
      </c>
      <c r="N6" s="5"/>
      <c r="O6" s="4">
        <v>42491</v>
      </c>
      <c r="P6" s="6">
        <f t="shared" si="7"/>
        <v>7900</v>
      </c>
      <c r="Q6" s="8">
        <f t="shared" si="8"/>
        <v>8063</v>
      </c>
      <c r="R6" s="7">
        <f t="shared" si="9"/>
        <v>0.97973828830616594</v>
      </c>
      <c r="S6" s="10">
        <f t="shared" si="10"/>
        <v>11394.390583840832</v>
      </c>
    </row>
    <row r="7" spans="1:22" x14ac:dyDescent="0.2">
      <c r="A7" s="4">
        <v>42522</v>
      </c>
      <c r="B7">
        <v>5513</v>
      </c>
      <c r="E7" t="s">
        <v>21</v>
      </c>
      <c r="F7" s="6">
        <f t="shared" si="0"/>
        <v>5513</v>
      </c>
      <c r="G7" s="6">
        <f t="shared" si="1"/>
        <v>5264</v>
      </c>
      <c r="H7" s="6"/>
      <c r="J7" s="5">
        <f t="shared" si="3"/>
        <v>0.49665920932118141</v>
      </c>
      <c r="K7" s="5">
        <f t="shared" si="4"/>
        <v>0.84392785571142281</v>
      </c>
      <c r="M7" s="5">
        <f t="shared" si="6"/>
        <v>0.67029353251630208</v>
      </c>
      <c r="N7" s="5"/>
      <c r="O7" s="4">
        <v>42522</v>
      </c>
      <c r="P7" s="6">
        <f t="shared" si="7"/>
        <v>5513</v>
      </c>
      <c r="Q7" s="8">
        <f t="shared" si="8"/>
        <v>8225</v>
      </c>
      <c r="R7" s="7">
        <f t="shared" si="9"/>
        <v>0.67029353251630208</v>
      </c>
      <c r="S7" s="10">
        <f t="shared" si="10"/>
        <v>7533.4089031447247</v>
      </c>
    </row>
    <row r="8" spans="1:22" x14ac:dyDescent="0.2">
      <c r="A8" s="4">
        <v>42552</v>
      </c>
      <c r="B8">
        <v>5944</v>
      </c>
      <c r="E8" t="s">
        <v>22</v>
      </c>
      <c r="F8" s="6">
        <f t="shared" si="0"/>
        <v>5944</v>
      </c>
      <c r="G8" s="6">
        <f t="shared" si="1"/>
        <v>7163</v>
      </c>
      <c r="H8" s="6"/>
      <c r="J8" s="5">
        <f t="shared" si="3"/>
        <v>0.53548745514331619</v>
      </c>
      <c r="K8" s="5">
        <f t="shared" si="4"/>
        <v>1.148376753507014</v>
      </c>
      <c r="M8" s="5">
        <f t="shared" si="6"/>
        <v>0.84193210432516508</v>
      </c>
      <c r="N8" s="5"/>
      <c r="O8" s="4">
        <v>42552</v>
      </c>
      <c r="P8" s="6">
        <f t="shared" si="7"/>
        <v>5944</v>
      </c>
      <c r="Q8" s="8">
        <f t="shared" si="8"/>
        <v>7060</v>
      </c>
      <c r="R8" s="7">
        <f t="shared" si="9"/>
        <v>0.84193210432516508</v>
      </c>
      <c r="S8" s="10">
        <f t="shared" si="10"/>
        <v>9143.8204576655571</v>
      </c>
    </row>
    <row r="9" spans="1:22" x14ac:dyDescent="0.2">
      <c r="A9" s="4">
        <v>42583</v>
      </c>
      <c r="B9">
        <v>8155</v>
      </c>
      <c r="E9" t="s">
        <v>23</v>
      </c>
      <c r="F9" s="6">
        <f t="shared" si="0"/>
        <v>8155</v>
      </c>
      <c r="G9" s="6">
        <f t="shared" si="1"/>
        <v>11496</v>
      </c>
      <c r="H9" s="6"/>
      <c r="J9" s="5">
        <f t="shared" si="3"/>
        <v>0.73467365354874559</v>
      </c>
      <c r="K9" s="5">
        <f t="shared" si="4"/>
        <v>1.8430460921843688</v>
      </c>
      <c r="M9" s="5">
        <f t="shared" si="6"/>
        <v>1.2888598728665572</v>
      </c>
      <c r="N9" s="5"/>
      <c r="O9" s="4">
        <v>42583</v>
      </c>
      <c r="P9" s="6">
        <f t="shared" si="7"/>
        <v>8155</v>
      </c>
      <c r="Q9" s="8">
        <f t="shared" si="8"/>
        <v>6327</v>
      </c>
      <c r="R9" s="7">
        <f t="shared" si="9"/>
        <v>1.2888598728665572</v>
      </c>
      <c r="S9" s="10">
        <f t="shared" si="10"/>
        <v>13493.660440282089</v>
      </c>
    </row>
    <row r="10" spans="1:22" x14ac:dyDescent="0.2">
      <c r="A10" s="4">
        <v>42614</v>
      </c>
      <c r="B10">
        <v>7584</v>
      </c>
      <c r="E10" t="s">
        <v>24</v>
      </c>
      <c r="F10" s="6">
        <f t="shared" si="0"/>
        <v>7584</v>
      </c>
      <c r="G10" s="6">
        <f t="shared" si="1"/>
        <v>3250</v>
      </c>
      <c r="H10" s="6"/>
      <c r="J10" s="5">
        <f t="shared" si="3"/>
        <v>0.68323298448972236</v>
      </c>
      <c r="K10" s="5">
        <f t="shared" si="4"/>
        <v>0.52104208416833664</v>
      </c>
      <c r="M10" s="5">
        <f t="shared" si="6"/>
        <v>0.6021375343290295</v>
      </c>
      <c r="N10" s="5"/>
      <c r="O10" s="4">
        <v>42614</v>
      </c>
      <c r="P10" s="6">
        <f t="shared" si="7"/>
        <v>7584</v>
      </c>
      <c r="Q10" s="8">
        <f t="shared" si="8"/>
        <v>12595</v>
      </c>
      <c r="R10" s="7">
        <f t="shared" si="9"/>
        <v>0.6021375343290295</v>
      </c>
      <c r="S10" s="10">
        <f t="shared" si="10"/>
        <v>6068.576904606356</v>
      </c>
    </row>
    <row r="11" spans="1:22" x14ac:dyDescent="0.2">
      <c r="A11" s="4">
        <v>42644</v>
      </c>
      <c r="B11">
        <v>7414</v>
      </c>
      <c r="E11" t="s">
        <v>25</v>
      </c>
      <c r="F11" s="6">
        <f t="shared" si="0"/>
        <v>7414</v>
      </c>
      <c r="G11" s="6">
        <f t="shared" si="1"/>
        <v>2073</v>
      </c>
      <c r="H11" s="6"/>
      <c r="J11" s="5">
        <f t="shared" si="3"/>
        <v>0.6679178991306437</v>
      </c>
      <c r="K11" s="5">
        <f t="shared" si="4"/>
        <v>0.3323446893787575</v>
      </c>
      <c r="M11" s="5">
        <f t="shared" si="6"/>
        <v>0.5001312942547006</v>
      </c>
      <c r="N11" s="5"/>
      <c r="O11" s="4">
        <v>42644</v>
      </c>
      <c r="P11" s="6">
        <f t="shared" si="7"/>
        <v>7414</v>
      </c>
      <c r="Q11" s="8">
        <f t="shared" si="8"/>
        <v>14824</v>
      </c>
      <c r="R11" s="7">
        <f t="shared" si="9"/>
        <v>0.5001312942547006</v>
      </c>
      <c r="S11" s="10">
        <f t="shared" si="10"/>
        <v>4851.2435463929123</v>
      </c>
    </row>
    <row r="12" spans="1:22" x14ac:dyDescent="0.2">
      <c r="A12" s="4">
        <v>42675</v>
      </c>
      <c r="B12">
        <v>22363</v>
      </c>
      <c r="E12" t="s">
        <v>26</v>
      </c>
      <c r="F12" s="6">
        <f t="shared" si="0"/>
        <v>22363</v>
      </c>
      <c r="G12" s="6">
        <f t="shared" si="1"/>
        <v>1818</v>
      </c>
      <c r="H12" s="6"/>
      <c r="J12" s="5">
        <f t="shared" si="3"/>
        <v>2.014654434618099</v>
      </c>
      <c r="K12" s="5">
        <f t="shared" si="4"/>
        <v>0.29146292585170341</v>
      </c>
      <c r="M12" s="5">
        <f t="shared" si="6"/>
        <v>1.1530586802349012</v>
      </c>
      <c r="N12" s="5"/>
      <c r="O12" s="4">
        <v>42675</v>
      </c>
      <c r="P12" s="6">
        <f t="shared" si="7"/>
        <v>22363</v>
      </c>
      <c r="Q12" s="8">
        <f t="shared" si="8"/>
        <v>19395</v>
      </c>
      <c r="R12" s="7">
        <f t="shared" si="9"/>
        <v>1.1530586802349012</v>
      </c>
      <c r="S12" s="10">
        <f t="shared" si="10"/>
        <v>10733.679121971665</v>
      </c>
    </row>
    <row r="13" spans="1:22" x14ac:dyDescent="0.2">
      <c r="A13" s="4">
        <v>42705</v>
      </c>
      <c r="B13">
        <v>11030</v>
      </c>
      <c r="E13" t="s">
        <v>27</v>
      </c>
      <c r="F13" s="6">
        <f t="shared" si="0"/>
        <v>11030</v>
      </c>
      <c r="G13" s="6">
        <f t="shared" si="1"/>
        <v>1166</v>
      </c>
      <c r="H13" s="6"/>
      <c r="J13" s="5">
        <f t="shared" si="3"/>
        <v>0.9936787735919882</v>
      </c>
      <c r="K13" s="5">
        <f t="shared" si="4"/>
        <v>0.18693386773547094</v>
      </c>
      <c r="M13" s="5">
        <f t="shared" si="6"/>
        <v>0.59030632066372957</v>
      </c>
      <c r="N13" s="5"/>
      <c r="O13" s="4">
        <v>42705</v>
      </c>
      <c r="P13" s="6">
        <f t="shared" si="7"/>
        <v>11030</v>
      </c>
      <c r="Q13" s="8">
        <f t="shared" si="8"/>
        <v>18685</v>
      </c>
      <c r="R13" s="7">
        <f t="shared" si="9"/>
        <v>0.59030632066372957</v>
      </c>
      <c r="S13" s="10">
        <f t="shared" si="10"/>
        <v>5271.6863237134148</v>
      </c>
    </row>
    <row r="14" spans="1:22" x14ac:dyDescent="0.2">
      <c r="A14" s="4">
        <v>42736</v>
      </c>
      <c r="B14">
        <v>11793</v>
      </c>
      <c r="O14" s="4">
        <v>42736</v>
      </c>
      <c r="P14" s="6">
        <f t="shared" si="7"/>
        <v>11793</v>
      </c>
      <c r="Q14" s="8">
        <f>ROUND(P14/M2,0)</f>
        <v>7820</v>
      </c>
      <c r="R14" s="7">
        <f>M2</f>
        <v>1.5080511834130885</v>
      </c>
      <c r="S14" s="10">
        <f t="shared" si="10"/>
        <v>12877.791953590371</v>
      </c>
    </row>
    <row r="15" spans="1:22" x14ac:dyDescent="0.2">
      <c r="A15" s="4">
        <v>42767</v>
      </c>
      <c r="B15">
        <v>7313</v>
      </c>
      <c r="E15" t="s">
        <v>28</v>
      </c>
      <c r="F15" s="6">
        <f>SUM(F2:F13)</f>
        <v>133202</v>
      </c>
      <c r="G15" s="6">
        <f>SUM(G2:G13)</f>
        <v>74850</v>
      </c>
      <c r="H15" s="6">
        <f>SUM(H2:H13)</f>
        <v>7306</v>
      </c>
      <c r="O15" s="4">
        <v>42767</v>
      </c>
      <c r="P15" s="6">
        <f t="shared" si="7"/>
        <v>7313</v>
      </c>
      <c r="Q15" s="8">
        <f t="shared" ref="Q15:Q25" si="11">ROUND(P15/M3,0)</f>
        <v>6429</v>
      </c>
      <c r="R15" s="7">
        <f t="shared" ref="R15:R25" si="12">M3</f>
        <v>1.1374389991858551</v>
      </c>
      <c r="S15" s="10">
        <f t="shared" si="10"/>
        <v>9268.1885098711555</v>
      </c>
    </row>
    <row r="16" spans="1:22" x14ac:dyDescent="0.2">
      <c r="A16" s="4">
        <v>42795</v>
      </c>
      <c r="B16">
        <v>6561</v>
      </c>
      <c r="E16" t="s">
        <v>29</v>
      </c>
      <c r="F16" s="6">
        <f>AVERAGE(F2:F13)</f>
        <v>11100.166666666666</v>
      </c>
      <c r="G16" s="6">
        <f>AVERAGE(G2:G13)</f>
        <v>6237.5</v>
      </c>
      <c r="H16" s="6">
        <f>AVERAGE(H2:H13)</f>
        <v>2435.3333333333335</v>
      </c>
      <c r="O16" s="4">
        <v>42795</v>
      </c>
      <c r="P16" s="6">
        <f t="shared" si="7"/>
        <v>6561</v>
      </c>
      <c r="Q16" s="8">
        <f t="shared" si="11"/>
        <v>5670</v>
      </c>
      <c r="R16" s="7">
        <f t="shared" si="12"/>
        <v>1.1572193777007169</v>
      </c>
      <c r="S16" s="10">
        <f t="shared" si="10"/>
        <v>9020.6118406303613</v>
      </c>
    </row>
    <row r="17" spans="1:19" x14ac:dyDescent="0.2">
      <c r="A17" s="4">
        <v>42826</v>
      </c>
      <c r="B17">
        <v>9170</v>
      </c>
      <c r="O17" s="4">
        <v>42826</v>
      </c>
      <c r="P17" s="6">
        <f t="shared" si="7"/>
        <v>9170</v>
      </c>
      <c r="Q17" s="8">
        <f t="shared" si="11"/>
        <v>7841</v>
      </c>
      <c r="R17" s="7">
        <f t="shared" si="12"/>
        <v>1.1694780320539579</v>
      </c>
      <c r="S17" s="10">
        <f t="shared" si="10"/>
        <v>8658.8270441078366</v>
      </c>
    </row>
    <row r="18" spans="1:19" x14ac:dyDescent="0.2">
      <c r="A18" s="4">
        <v>42856</v>
      </c>
      <c r="B18">
        <v>7783</v>
      </c>
      <c r="O18" s="4">
        <v>42856</v>
      </c>
      <c r="P18" s="6">
        <f t="shared" si="7"/>
        <v>7783</v>
      </c>
      <c r="Q18" s="8">
        <f t="shared" si="11"/>
        <v>7944</v>
      </c>
      <c r="R18" s="7">
        <f t="shared" si="12"/>
        <v>0.97973828830616594</v>
      </c>
      <c r="S18" s="10">
        <f t="shared" si="10"/>
        <v>6883.2101287922078</v>
      </c>
    </row>
    <row r="19" spans="1:19" x14ac:dyDescent="0.2">
      <c r="A19" s="4">
        <v>42887</v>
      </c>
      <c r="B19">
        <v>5264</v>
      </c>
      <c r="O19" s="4">
        <v>42887</v>
      </c>
      <c r="P19" s="6">
        <f>B19</f>
        <v>5264</v>
      </c>
      <c r="Q19" s="8">
        <f t="shared" si="11"/>
        <v>7853</v>
      </c>
      <c r="R19" s="7">
        <f t="shared" si="12"/>
        <v>0.67029353251630208</v>
      </c>
      <c r="S19" s="10">
        <f t="shared" si="10"/>
        <v>4447.0590900117404</v>
      </c>
    </row>
    <row r="20" spans="1:19" x14ac:dyDescent="0.2">
      <c r="A20" s="4">
        <v>42917</v>
      </c>
      <c r="B20">
        <v>7163</v>
      </c>
      <c r="O20" s="4">
        <v>42917</v>
      </c>
      <c r="P20" s="6">
        <f t="shared" si="7"/>
        <v>7163</v>
      </c>
      <c r="Q20" s="8">
        <f t="shared" si="11"/>
        <v>8508</v>
      </c>
      <c r="R20" s="7">
        <f t="shared" si="12"/>
        <v>0.84193210432516508</v>
      </c>
      <c r="S20" s="10">
        <f t="shared" si="10"/>
        <v>5267.1651316029629</v>
      </c>
    </row>
    <row r="21" spans="1:19" x14ac:dyDescent="0.2">
      <c r="A21" s="4">
        <v>42948</v>
      </c>
      <c r="B21">
        <v>11496</v>
      </c>
      <c r="O21" s="4">
        <v>42948</v>
      </c>
      <c r="P21" s="6">
        <f t="shared" si="7"/>
        <v>11496</v>
      </c>
      <c r="Q21" s="8">
        <f t="shared" si="11"/>
        <v>8920</v>
      </c>
      <c r="R21" s="7">
        <f t="shared" si="12"/>
        <v>1.2888598728665572</v>
      </c>
      <c r="S21" s="10">
        <f t="shared" si="10"/>
        <v>7559.1373771648769</v>
      </c>
    </row>
    <row r="22" spans="1:19" x14ac:dyDescent="0.2">
      <c r="A22" s="4">
        <v>42979</v>
      </c>
      <c r="B22">
        <v>3250</v>
      </c>
      <c r="O22" s="4">
        <v>42979</v>
      </c>
      <c r="P22" s="6">
        <f t="shared" si="7"/>
        <v>3250</v>
      </c>
      <c r="Q22" s="8">
        <f t="shared" si="11"/>
        <v>5397</v>
      </c>
      <c r="R22" s="7">
        <f t="shared" si="12"/>
        <v>0.6021375343290295</v>
      </c>
      <c r="S22" s="10">
        <f t="shared" si="10"/>
        <v>3296.049681226712</v>
      </c>
    </row>
    <row r="23" spans="1:19" x14ac:dyDescent="0.2">
      <c r="A23" s="4">
        <v>43009</v>
      </c>
      <c r="B23">
        <v>2073</v>
      </c>
      <c r="O23" s="4">
        <v>43009</v>
      </c>
      <c r="P23" s="6">
        <f t="shared" si="7"/>
        <v>2073</v>
      </c>
      <c r="Q23" s="8">
        <f t="shared" si="11"/>
        <v>4145</v>
      </c>
      <c r="R23" s="7">
        <f t="shared" si="12"/>
        <v>0.5001312942547006</v>
      </c>
      <c r="S23" s="10">
        <f t="shared" si="10"/>
        <v>2548.4015052795116</v>
      </c>
    </row>
    <row r="24" spans="1:19" x14ac:dyDescent="0.2">
      <c r="A24" s="4">
        <v>43040</v>
      </c>
      <c r="B24">
        <v>1818</v>
      </c>
      <c r="O24" s="4">
        <v>43040</v>
      </c>
      <c r="P24" s="6">
        <f t="shared" si="7"/>
        <v>1818</v>
      </c>
      <c r="Q24" s="8">
        <f t="shared" si="11"/>
        <v>1577</v>
      </c>
      <c r="R24" s="7">
        <f t="shared" si="12"/>
        <v>1.1530586802349012</v>
      </c>
      <c r="S24" s="10">
        <f t="shared" si="10"/>
        <v>5424.449255297096</v>
      </c>
    </row>
    <row r="25" spans="1:19" x14ac:dyDescent="0.2">
      <c r="A25" s="4">
        <v>43070</v>
      </c>
      <c r="B25">
        <v>1166</v>
      </c>
      <c r="O25" s="4">
        <v>43070</v>
      </c>
      <c r="P25" s="6">
        <f t="shared" si="7"/>
        <v>1166</v>
      </c>
      <c r="Q25" s="8">
        <f t="shared" si="11"/>
        <v>1975</v>
      </c>
      <c r="R25" s="7">
        <f t="shared" si="12"/>
        <v>0.59030632066372957</v>
      </c>
      <c r="S25" s="10">
        <f t="shared" si="10"/>
        <v>2553.6356278752332</v>
      </c>
    </row>
    <row r="26" spans="1:19" x14ac:dyDescent="0.2">
      <c r="A26" s="4">
        <v>43101</v>
      </c>
      <c r="B26">
        <v>1513</v>
      </c>
      <c r="O26" s="4">
        <v>43101</v>
      </c>
      <c r="P26" s="6">
        <f t="shared" si="7"/>
        <v>1513</v>
      </c>
      <c r="Q26" s="8">
        <f>ROUND(P26/M2,0)</f>
        <v>1003</v>
      </c>
      <c r="R26" s="7">
        <f>M2</f>
        <v>1.5080511834130885</v>
      </c>
      <c r="S26" s="10">
        <f t="shared" si="10"/>
        <v>5934.0079808444252</v>
      </c>
    </row>
    <row r="27" spans="1:19" x14ac:dyDescent="0.2">
      <c r="A27" s="4">
        <v>43132</v>
      </c>
      <c r="B27">
        <v>2470</v>
      </c>
      <c r="O27" s="4">
        <v>43132</v>
      </c>
      <c r="P27" s="6">
        <f t="shared" si="7"/>
        <v>2470</v>
      </c>
      <c r="Q27" s="8">
        <f t="shared" ref="Q27:Q28" si="13">ROUND(P27/M3,0)</f>
        <v>2172</v>
      </c>
      <c r="R27" s="7">
        <f t="shared" ref="R27:R31" si="14">M3</f>
        <v>1.1374389991858551</v>
      </c>
      <c r="S27" s="10">
        <f t="shared" si="10"/>
        <v>4030.8790740947588</v>
      </c>
    </row>
    <row r="28" spans="1:19" x14ac:dyDescent="0.2">
      <c r="A28" s="4">
        <v>43160</v>
      </c>
      <c r="B28">
        <v>3323</v>
      </c>
      <c r="O28" s="4">
        <v>43160</v>
      </c>
      <c r="P28" s="6">
        <f t="shared" si="7"/>
        <v>3323</v>
      </c>
      <c r="Q28" s="8">
        <f t="shared" si="13"/>
        <v>2872</v>
      </c>
      <c r="R28" s="7">
        <f t="shared" si="14"/>
        <v>1.1572193777007169</v>
      </c>
      <c r="S28" s="10">
        <f t="shared" si="10"/>
        <v>3692.2241464918807</v>
      </c>
    </row>
    <row r="29" spans="1:19" x14ac:dyDescent="0.2">
      <c r="A29" s="4">
        <v>43191</v>
      </c>
      <c r="O29" s="11">
        <v>43191</v>
      </c>
      <c r="P29" s="12">
        <f t="shared" si="7"/>
        <v>0</v>
      </c>
      <c r="Q29" s="13"/>
      <c r="R29" s="14">
        <f t="shared" si="14"/>
        <v>1.1694780320539579</v>
      </c>
      <c r="S29" s="10">
        <f t="shared" si="10"/>
        <v>3273.9946824662152</v>
      </c>
    </row>
    <row r="30" spans="1:19" x14ac:dyDescent="0.2">
      <c r="A30" s="4">
        <v>43221</v>
      </c>
      <c r="O30" s="11">
        <v>43221</v>
      </c>
      <c r="P30" s="12">
        <f t="shared" si="7"/>
        <v>0</v>
      </c>
      <c r="Q30" s="13"/>
      <c r="R30" s="14">
        <f t="shared" si="14"/>
        <v>0.97973828830616594</v>
      </c>
      <c r="S30" s="10">
        <f t="shared" si="10"/>
        <v>2372.0296737436975</v>
      </c>
    </row>
    <row r="31" spans="1:19" x14ac:dyDescent="0.2">
      <c r="A31" s="4">
        <v>43252</v>
      </c>
      <c r="O31" s="11">
        <v>43252</v>
      </c>
      <c r="P31" s="12">
        <f t="shared" si="7"/>
        <v>0</v>
      </c>
      <c r="Q31" s="13"/>
      <c r="R31" s="14">
        <f t="shared" si="14"/>
        <v>0.67029353251630208</v>
      </c>
      <c r="S31" s="10">
        <f t="shared" si="10"/>
        <v>1360.7092768787561</v>
      </c>
    </row>
    <row r="32" spans="1:19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Actividad-1-2-2</vt:lpstr>
      <vt:lpstr>Actividad-1.3.1</vt:lpstr>
      <vt:lpstr>Actividad-Analitica predictiva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Jazna Meza Hidalgo</dc:creator>
  <cp:lastModifiedBy>Jazna Meza Hidalgo</cp:lastModifiedBy>
  <dcterms:created xsi:type="dcterms:W3CDTF">2021-03-12T18:31:38Z</dcterms:created>
  <dcterms:modified xsi:type="dcterms:W3CDTF">2021-03-13T23:27:30Z</dcterms:modified>
</cp:coreProperties>
</file>