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gif" ContentType="image/gi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radloff/Dropbox/Proyecto Master/"/>
    </mc:Choice>
  </mc:AlternateContent>
  <bookViews>
    <workbookView xWindow="20" yWindow="460" windowWidth="19200" windowHeight="21040" tabRatio="500" firstSheet="2" activeTab="8"/>
  </bookViews>
  <sheets>
    <sheet name="RRHH" sheetId="2" r:id="rId1"/>
    <sheet name="CONSUMOS" sheetId="6" r:id="rId2"/>
    <sheet name="GASTOS" sheetId="7" r:id="rId3"/>
    <sheet name="GASTOS HSK" sheetId="14" r:id="rId4"/>
    <sheet name="Operaciones" sheetId="9" r:id="rId5"/>
    <sheet name="Previsión de Ventas" sheetId="1" r:id="rId6"/>
    <sheet name="Perdidas&amp;Ganancias" sheetId="4" r:id="rId7"/>
    <sheet name="Balance" sheetId="8" r:id="rId8"/>
    <sheet name="Flujo de Caja" sheetId="12" r:id="rId9"/>
    <sheet name="Ocupación" sheetId="17" r:id="rId10"/>
    <sheet name="Gastos 2" sheetId="18" r:id="rId11"/>
    <sheet name="Sheet1" sheetId="15" r:id="rId12"/>
    <sheet name="RENTABILIDAD" sheetId="19" r:id="rId13"/>
  </sheets>
  <externalReferences>
    <externalReference r:id="rId14"/>
  </externalReferences>
  <definedNames>
    <definedName name="CC">[1]List!$I$2:$I$25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3" i="1" l="1"/>
  <c r="C31" i="9"/>
  <c r="D25" i="9"/>
  <c r="C5" i="18"/>
  <c r="D5" i="18"/>
  <c r="E5" i="18"/>
  <c r="F5" i="18"/>
  <c r="G5" i="18"/>
  <c r="D8" i="4"/>
  <c r="C39" i="1"/>
  <c r="D39" i="1"/>
  <c r="E39" i="1"/>
  <c r="F39" i="1"/>
  <c r="G39" i="1"/>
  <c r="H39" i="1"/>
  <c r="I39" i="1"/>
  <c r="J39" i="1"/>
  <c r="K39" i="1"/>
  <c r="L39" i="1"/>
  <c r="M39" i="1"/>
  <c r="N39" i="1"/>
  <c r="C40" i="1"/>
  <c r="D83" i="1"/>
  <c r="D85" i="1"/>
  <c r="B50" i="7"/>
  <c r="E7" i="18"/>
  <c r="Q36" i="1"/>
  <c r="AE36" i="1"/>
  <c r="Q38" i="1"/>
  <c r="AE38" i="1"/>
  <c r="AE39" i="1"/>
  <c r="R36" i="1"/>
  <c r="AF36" i="1"/>
  <c r="R38" i="1"/>
  <c r="AF38" i="1"/>
  <c r="AF39" i="1"/>
  <c r="S36" i="1"/>
  <c r="AG36" i="1"/>
  <c r="S38" i="1"/>
  <c r="AG38" i="1"/>
  <c r="AG39" i="1"/>
  <c r="T36" i="1"/>
  <c r="AH36" i="1"/>
  <c r="T38" i="1"/>
  <c r="AH38" i="1"/>
  <c r="AH39" i="1"/>
  <c r="U36" i="1"/>
  <c r="AI36" i="1"/>
  <c r="U38" i="1"/>
  <c r="AI38" i="1"/>
  <c r="AI39" i="1"/>
  <c r="V36" i="1"/>
  <c r="AJ36" i="1"/>
  <c r="V38" i="1"/>
  <c r="AJ38" i="1"/>
  <c r="AJ39" i="1"/>
  <c r="W36" i="1"/>
  <c r="AK36" i="1"/>
  <c r="W38" i="1"/>
  <c r="AK38" i="1"/>
  <c r="AK39" i="1"/>
  <c r="X36" i="1"/>
  <c r="AL36" i="1"/>
  <c r="X38" i="1"/>
  <c r="AL38" i="1"/>
  <c r="AL39" i="1"/>
  <c r="Y36" i="1"/>
  <c r="AM36" i="1"/>
  <c r="Y38" i="1"/>
  <c r="AM38" i="1"/>
  <c r="AM39" i="1"/>
  <c r="Z36" i="1"/>
  <c r="AN36" i="1"/>
  <c r="Z38" i="1"/>
  <c r="AN38" i="1"/>
  <c r="AN39" i="1"/>
  <c r="AA36" i="1"/>
  <c r="AO36" i="1"/>
  <c r="AA38" i="1"/>
  <c r="AO38" i="1"/>
  <c r="AO39" i="1"/>
  <c r="AB36" i="1"/>
  <c r="AP36" i="1"/>
  <c r="AB38" i="1"/>
  <c r="AP38" i="1"/>
  <c r="AP39" i="1"/>
  <c r="AE40" i="1"/>
  <c r="H83" i="1"/>
  <c r="Q45" i="1"/>
  <c r="AE45" i="1"/>
  <c r="AE48" i="1"/>
  <c r="R45" i="1"/>
  <c r="AF45" i="1"/>
  <c r="AF48" i="1"/>
  <c r="S45" i="1"/>
  <c r="AG45" i="1"/>
  <c r="AG48" i="1"/>
  <c r="T45" i="1"/>
  <c r="AH45" i="1"/>
  <c r="AH48" i="1"/>
  <c r="U45" i="1"/>
  <c r="AI45" i="1"/>
  <c r="AI48" i="1"/>
  <c r="V45" i="1"/>
  <c r="AJ45" i="1"/>
  <c r="AJ48" i="1"/>
  <c r="W45" i="1"/>
  <c r="AK45" i="1"/>
  <c r="AK48" i="1"/>
  <c r="X45" i="1"/>
  <c r="AL45" i="1"/>
  <c r="AL48" i="1"/>
  <c r="Y45" i="1"/>
  <c r="AM45" i="1"/>
  <c r="AM48" i="1"/>
  <c r="Z45" i="1"/>
  <c r="AN45" i="1"/>
  <c r="AN48" i="1"/>
  <c r="AA45" i="1"/>
  <c r="AO45" i="1"/>
  <c r="AO48" i="1"/>
  <c r="AB45" i="1"/>
  <c r="AP45" i="1"/>
  <c r="AP48" i="1"/>
  <c r="AE49" i="1"/>
  <c r="H84" i="1"/>
  <c r="H85" i="1"/>
  <c r="F5" i="4"/>
  <c r="F6" i="4"/>
  <c r="F15" i="4"/>
  <c r="E12" i="18"/>
  <c r="E13" i="18"/>
  <c r="AS36" i="1"/>
  <c r="BG36" i="1"/>
  <c r="AS38" i="1"/>
  <c r="BG38" i="1"/>
  <c r="BG39" i="1"/>
  <c r="AT36" i="1"/>
  <c r="BH36" i="1"/>
  <c r="AT38" i="1"/>
  <c r="BH38" i="1"/>
  <c r="BH39" i="1"/>
  <c r="AU36" i="1"/>
  <c r="BI36" i="1"/>
  <c r="AU38" i="1"/>
  <c r="BI38" i="1"/>
  <c r="BI39" i="1"/>
  <c r="AV36" i="1"/>
  <c r="BJ36" i="1"/>
  <c r="AV38" i="1"/>
  <c r="BJ38" i="1"/>
  <c r="BJ39" i="1"/>
  <c r="AW36" i="1"/>
  <c r="BK36" i="1"/>
  <c r="AW38" i="1"/>
  <c r="BK38" i="1"/>
  <c r="BK39" i="1"/>
  <c r="AX36" i="1"/>
  <c r="BL36" i="1"/>
  <c r="AX38" i="1"/>
  <c r="BL38" i="1"/>
  <c r="BL39" i="1"/>
  <c r="AY36" i="1"/>
  <c r="BM36" i="1"/>
  <c r="AY38" i="1"/>
  <c r="BM38" i="1"/>
  <c r="BM39" i="1"/>
  <c r="AZ36" i="1"/>
  <c r="BN36" i="1"/>
  <c r="AZ38" i="1"/>
  <c r="BN38" i="1"/>
  <c r="BN39" i="1"/>
  <c r="BA36" i="1"/>
  <c r="BO36" i="1"/>
  <c r="BA38" i="1"/>
  <c r="BO38" i="1"/>
  <c r="BO39" i="1"/>
  <c r="BB36" i="1"/>
  <c r="BP36" i="1"/>
  <c r="BB38" i="1"/>
  <c r="BP38" i="1"/>
  <c r="BP39" i="1"/>
  <c r="BC36" i="1"/>
  <c r="BQ36" i="1"/>
  <c r="BC38" i="1"/>
  <c r="BQ38" i="1"/>
  <c r="BQ39" i="1"/>
  <c r="BD36" i="1"/>
  <c r="BR36" i="1"/>
  <c r="BD38" i="1"/>
  <c r="BR38" i="1"/>
  <c r="BR39" i="1"/>
  <c r="BG40" i="1"/>
  <c r="L83" i="1"/>
  <c r="AS45" i="1"/>
  <c r="BG45" i="1"/>
  <c r="BG48" i="1"/>
  <c r="AT45" i="1"/>
  <c r="BH45" i="1"/>
  <c r="BH48" i="1"/>
  <c r="AU45" i="1"/>
  <c r="BI45" i="1"/>
  <c r="BI48" i="1"/>
  <c r="AV45" i="1"/>
  <c r="BJ45" i="1"/>
  <c r="BJ48" i="1"/>
  <c r="AW45" i="1"/>
  <c r="BK45" i="1"/>
  <c r="BK48" i="1"/>
  <c r="AX45" i="1"/>
  <c r="BL45" i="1"/>
  <c r="BL48" i="1"/>
  <c r="AY45" i="1"/>
  <c r="BM45" i="1"/>
  <c r="BM48" i="1"/>
  <c r="AZ45" i="1"/>
  <c r="BN45" i="1"/>
  <c r="BN48" i="1"/>
  <c r="BA45" i="1"/>
  <c r="BO45" i="1"/>
  <c r="BO48" i="1"/>
  <c r="BB45" i="1"/>
  <c r="BP45" i="1"/>
  <c r="BP48" i="1"/>
  <c r="BC45" i="1"/>
  <c r="BQ45" i="1"/>
  <c r="BQ48" i="1"/>
  <c r="BD45" i="1"/>
  <c r="BR45" i="1"/>
  <c r="BR48" i="1"/>
  <c r="BG49" i="1"/>
  <c r="L84" i="1"/>
  <c r="L85" i="1"/>
  <c r="J5" i="4"/>
  <c r="J6" i="4"/>
  <c r="J15" i="4"/>
  <c r="G12" i="18"/>
  <c r="AS39" i="1"/>
  <c r="AT39" i="1"/>
  <c r="AU39" i="1"/>
  <c r="AV39" i="1"/>
  <c r="AW39" i="1"/>
  <c r="AX39" i="1"/>
  <c r="AY39" i="1"/>
  <c r="AZ39" i="1"/>
  <c r="BA39" i="1"/>
  <c r="BB39" i="1"/>
  <c r="BC39" i="1"/>
  <c r="BD39" i="1"/>
  <c r="AS40" i="1"/>
  <c r="J83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AS49" i="1"/>
  <c r="J84" i="1"/>
  <c r="J85" i="1"/>
  <c r="H5" i="4"/>
  <c r="H6" i="4"/>
  <c r="H15" i="4"/>
  <c r="F12" i="18"/>
  <c r="Q39" i="1"/>
  <c r="R39" i="1"/>
  <c r="S39" i="1"/>
  <c r="T39" i="1"/>
  <c r="U39" i="1"/>
  <c r="V39" i="1"/>
  <c r="W39" i="1"/>
  <c r="X39" i="1"/>
  <c r="Y39" i="1"/>
  <c r="Z39" i="1"/>
  <c r="AA39" i="1"/>
  <c r="AB39" i="1"/>
  <c r="Q40" i="1"/>
  <c r="F83" i="1"/>
  <c r="Q48" i="1"/>
  <c r="R48" i="1"/>
  <c r="S48" i="1"/>
  <c r="T48" i="1"/>
  <c r="U48" i="1"/>
  <c r="V48" i="1"/>
  <c r="W48" i="1"/>
  <c r="X48" i="1"/>
  <c r="Y48" i="1"/>
  <c r="Z48" i="1"/>
  <c r="AA48" i="1"/>
  <c r="AB48" i="1"/>
  <c r="Q49" i="1"/>
  <c r="F84" i="1"/>
  <c r="F85" i="1"/>
  <c r="D5" i="4"/>
  <c r="D6" i="4"/>
  <c r="D15" i="4"/>
  <c r="D12" i="18"/>
  <c r="B5" i="4"/>
  <c r="B6" i="4"/>
  <c r="B15" i="4"/>
  <c r="C12" i="18"/>
  <c r="G7" i="18"/>
  <c r="F7" i="18"/>
  <c r="D7" i="18"/>
  <c r="C7" i="18"/>
  <c r="D13" i="18"/>
  <c r="F13" i="18"/>
  <c r="G13" i="18"/>
  <c r="C13" i="18"/>
  <c r="L4" i="17"/>
  <c r="M4" i="17"/>
  <c r="N4" i="17"/>
  <c r="O4" i="17"/>
  <c r="K4" i="17"/>
  <c r="D2" i="4"/>
  <c r="E84" i="1"/>
  <c r="E83" i="1"/>
  <c r="Q47" i="1"/>
  <c r="C83" i="1"/>
  <c r="CA94" i="2"/>
  <c r="BZ78" i="2"/>
  <c r="BZ84" i="2"/>
  <c r="C82" i="1"/>
  <c r="AE47" i="1"/>
  <c r="AS47" i="1"/>
  <c r="I83" i="1"/>
  <c r="BG47" i="1"/>
  <c r="BG53" i="1"/>
  <c r="BZ88" i="2"/>
  <c r="BX91" i="2"/>
  <c r="BX82" i="2"/>
  <c r="L8" i="1"/>
  <c r="H8" i="1"/>
  <c r="I8" i="1"/>
  <c r="C30" i="1"/>
  <c r="BZ82" i="2"/>
  <c r="B47" i="7"/>
  <c r="BX97" i="2"/>
  <c r="BX98" i="2"/>
  <c r="B48" i="7"/>
  <c r="B8" i="4"/>
  <c r="B49" i="7"/>
  <c r="B13" i="4"/>
  <c r="B14" i="4"/>
  <c r="B22" i="14"/>
  <c r="B26" i="14"/>
  <c r="B46" i="14"/>
  <c r="B49" i="14"/>
  <c r="B62" i="14"/>
  <c r="B65" i="14"/>
  <c r="B69" i="14"/>
  <c r="B42" i="7"/>
  <c r="B7" i="4"/>
  <c r="D73" i="1"/>
  <c r="B25" i="6"/>
  <c r="B26" i="6"/>
  <c r="B27" i="6"/>
  <c r="B28" i="6"/>
  <c r="B11" i="4"/>
  <c r="B16" i="4"/>
  <c r="C16" i="4"/>
  <c r="J26" i="4"/>
  <c r="D26" i="4"/>
  <c r="F26" i="4"/>
  <c r="H26" i="4"/>
  <c r="K28" i="4"/>
  <c r="B17" i="4"/>
  <c r="B19" i="4"/>
  <c r="B46" i="7"/>
  <c r="B53" i="7"/>
  <c r="E44" i="9"/>
  <c r="D46" i="9"/>
  <c r="D47" i="9"/>
  <c r="E43" i="9"/>
  <c r="D45" i="9"/>
  <c r="D48" i="9"/>
  <c r="C32" i="9"/>
  <c r="C36" i="9"/>
  <c r="C38" i="9"/>
  <c r="C39" i="9"/>
  <c r="B20" i="4"/>
  <c r="B21" i="4"/>
  <c r="B22" i="4"/>
  <c r="B23" i="4"/>
  <c r="F8" i="4"/>
  <c r="H8" i="4"/>
  <c r="J8" i="4"/>
  <c r="F49" i="7"/>
  <c r="J13" i="4"/>
  <c r="F50" i="7"/>
  <c r="J14" i="4"/>
  <c r="F22" i="14"/>
  <c r="F26" i="14"/>
  <c r="F46" i="14"/>
  <c r="F49" i="14"/>
  <c r="F62" i="14"/>
  <c r="F65" i="14"/>
  <c r="F69" i="14"/>
  <c r="F42" i="7"/>
  <c r="J7" i="4"/>
  <c r="H73" i="1"/>
  <c r="F25" i="6"/>
  <c r="F26" i="6"/>
  <c r="F27" i="6"/>
  <c r="F28" i="6"/>
  <c r="J11" i="4"/>
  <c r="J16" i="4"/>
  <c r="J17" i="4"/>
  <c r="E73" i="1"/>
  <c r="G73" i="1"/>
  <c r="J73" i="1"/>
  <c r="H10" i="1"/>
  <c r="C46" i="1"/>
  <c r="BM32" i="1"/>
  <c r="BJ32" i="1"/>
  <c r="BM23" i="1"/>
  <c r="BJ23" i="1"/>
  <c r="AY23" i="1"/>
  <c r="AV23" i="1"/>
  <c r="AK32" i="1"/>
  <c r="AH32" i="1"/>
  <c r="AK23" i="1"/>
  <c r="AH23" i="1"/>
  <c r="W32" i="1"/>
  <c r="T32" i="1"/>
  <c r="W23" i="1"/>
  <c r="T23" i="1"/>
  <c r="I32" i="1"/>
  <c r="F32" i="1"/>
  <c r="F23" i="1"/>
  <c r="I23" i="1"/>
  <c r="B27" i="7"/>
  <c r="B26" i="7"/>
  <c r="B28" i="7"/>
  <c r="C37" i="9"/>
  <c r="C34" i="9"/>
  <c r="B14" i="14"/>
  <c r="B18" i="14"/>
  <c r="B39" i="14"/>
  <c r="B42" i="14"/>
  <c r="B55" i="14"/>
  <c r="B58" i="14"/>
  <c r="C18" i="12"/>
  <c r="C24" i="12"/>
  <c r="C3" i="12"/>
  <c r="C2" i="12"/>
  <c r="C4" i="12"/>
  <c r="C5" i="12"/>
  <c r="C6" i="12"/>
  <c r="C7" i="12"/>
  <c r="C8" i="12"/>
  <c r="B9" i="8"/>
  <c r="C9" i="8"/>
  <c r="C10" i="8"/>
  <c r="C11" i="8"/>
  <c r="B11" i="8"/>
  <c r="C10" i="12"/>
  <c r="E46" i="9"/>
  <c r="E47" i="9"/>
  <c r="E45" i="9"/>
  <c r="E48" i="9"/>
  <c r="C9" i="12"/>
  <c r="C11" i="12"/>
  <c r="C13" i="12"/>
  <c r="D20" i="4"/>
  <c r="D3" i="12"/>
  <c r="C14" i="14"/>
  <c r="C18" i="14"/>
  <c r="C22" i="14"/>
  <c r="C26" i="14"/>
  <c r="C39" i="14"/>
  <c r="C42" i="14"/>
  <c r="C46" i="14"/>
  <c r="C49" i="14"/>
  <c r="C55" i="14"/>
  <c r="C58" i="14"/>
  <c r="C62" i="14"/>
  <c r="C65" i="14"/>
  <c r="C69" i="14"/>
  <c r="C42" i="7"/>
  <c r="D7" i="4"/>
  <c r="C49" i="7"/>
  <c r="D13" i="4"/>
  <c r="C50" i="7"/>
  <c r="D14" i="4"/>
  <c r="C25" i="6"/>
  <c r="C26" i="6"/>
  <c r="C27" i="6"/>
  <c r="C28" i="6"/>
  <c r="D11" i="4"/>
  <c r="D16" i="4"/>
  <c r="D17" i="4"/>
  <c r="D19" i="4"/>
  <c r="D2" i="12"/>
  <c r="D4" i="12"/>
  <c r="D5" i="12"/>
  <c r="D6" i="12"/>
  <c r="D7" i="12"/>
  <c r="D8" i="12"/>
  <c r="D9" i="8"/>
  <c r="D10" i="8"/>
  <c r="D11" i="8"/>
  <c r="D10" i="12"/>
  <c r="C47" i="7"/>
  <c r="BY97" i="2"/>
  <c r="BY98" i="2"/>
  <c r="C48" i="7"/>
  <c r="C46" i="7"/>
  <c r="C53" i="7"/>
  <c r="F44" i="9"/>
  <c r="F46" i="9"/>
  <c r="F47" i="9"/>
  <c r="F43" i="9"/>
  <c r="F45" i="9"/>
  <c r="F48" i="9"/>
  <c r="D9" i="12"/>
  <c r="D11" i="12"/>
  <c r="D13" i="12"/>
  <c r="F20" i="4"/>
  <c r="E3" i="12"/>
  <c r="D14" i="14"/>
  <c r="D18" i="14"/>
  <c r="D22" i="14"/>
  <c r="D26" i="14"/>
  <c r="D39" i="14"/>
  <c r="D42" i="14"/>
  <c r="D46" i="14"/>
  <c r="D49" i="14"/>
  <c r="D55" i="14"/>
  <c r="D58" i="14"/>
  <c r="D62" i="14"/>
  <c r="D65" i="14"/>
  <c r="D69" i="14"/>
  <c r="D42" i="7"/>
  <c r="F7" i="4"/>
  <c r="D49" i="7"/>
  <c r="F13" i="4"/>
  <c r="D50" i="7"/>
  <c r="F14" i="4"/>
  <c r="D25" i="6"/>
  <c r="D26" i="6"/>
  <c r="D27" i="6"/>
  <c r="D28" i="6"/>
  <c r="F11" i="4"/>
  <c r="F16" i="4"/>
  <c r="F17" i="4"/>
  <c r="F19" i="4"/>
  <c r="E2" i="12"/>
  <c r="E4" i="12"/>
  <c r="E5" i="12"/>
  <c r="E6" i="12"/>
  <c r="E7" i="12"/>
  <c r="E8" i="12"/>
  <c r="E9" i="8"/>
  <c r="E10" i="8"/>
  <c r="E11" i="8"/>
  <c r="E10" i="12"/>
  <c r="D47" i="7"/>
  <c r="BZ97" i="2"/>
  <c r="BZ98" i="2"/>
  <c r="D48" i="7"/>
  <c r="D46" i="7"/>
  <c r="D53" i="7"/>
  <c r="G44" i="9"/>
  <c r="G46" i="9"/>
  <c r="G47" i="9"/>
  <c r="G43" i="9"/>
  <c r="G45" i="9"/>
  <c r="G48" i="9"/>
  <c r="E9" i="12"/>
  <c r="E11" i="12"/>
  <c r="E13" i="12"/>
  <c r="H20" i="4"/>
  <c r="F3" i="12"/>
  <c r="E14" i="14"/>
  <c r="E18" i="14"/>
  <c r="E22" i="14"/>
  <c r="E26" i="14"/>
  <c r="E39" i="14"/>
  <c r="E42" i="14"/>
  <c r="E46" i="14"/>
  <c r="E49" i="14"/>
  <c r="E55" i="14"/>
  <c r="E58" i="14"/>
  <c r="E62" i="14"/>
  <c r="E65" i="14"/>
  <c r="E69" i="14"/>
  <c r="E42" i="7"/>
  <c r="H7" i="4"/>
  <c r="E49" i="7"/>
  <c r="H13" i="4"/>
  <c r="E50" i="7"/>
  <c r="H14" i="4"/>
  <c r="E25" i="6"/>
  <c r="E26" i="6"/>
  <c r="E27" i="6"/>
  <c r="E28" i="6"/>
  <c r="H11" i="4"/>
  <c r="H16" i="4"/>
  <c r="H17" i="4"/>
  <c r="H19" i="4"/>
  <c r="F2" i="12"/>
  <c r="F4" i="12"/>
  <c r="F5" i="12"/>
  <c r="F6" i="12"/>
  <c r="F7" i="12"/>
  <c r="F8" i="12"/>
  <c r="F9" i="8"/>
  <c r="F10" i="8"/>
  <c r="F11" i="8"/>
  <c r="F10" i="12"/>
  <c r="E47" i="7"/>
  <c r="CA97" i="2"/>
  <c r="CA98" i="2"/>
  <c r="E48" i="7"/>
  <c r="E46" i="7"/>
  <c r="E53" i="7"/>
  <c r="H44" i="9"/>
  <c r="H46" i="9"/>
  <c r="H47" i="9"/>
  <c r="H43" i="9"/>
  <c r="H45" i="9"/>
  <c r="H48" i="9"/>
  <c r="F9" i="12"/>
  <c r="F11" i="12"/>
  <c r="F13" i="12"/>
  <c r="J20" i="4"/>
  <c r="G3" i="12"/>
  <c r="F14" i="14"/>
  <c r="F18" i="14"/>
  <c r="F39" i="14"/>
  <c r="F42" i="14"/>
  <c r="F55" i="14"/>
  <c r="F58" i="14"/>
  <c r="J19" i="4"/>
  <c r="G2" i="12"/>
  <c r="G4" i="12"/>
  <c r="G5" i="12"/>
  <c r="G6" i="12"/>
  <c r="G7" i="12"/>
  <c r="G8" i="12"/>
  <c r="G9" i="8"/>
  <c r="G10" i="8"/>
  <c r="G11" i="8"/>
  <c r="G10" i="12"/>
  <c r="F47" i="7"/>
  <c r="CB97" i="2"/>
  <c r="CB98" i="2"/>
  <c r="F48" i="7"/>
  <c r="F46" i="7"/>
  <c r="F53" i="7"/>
  <c r="I44" i="9"/>
  <c r="I46" i="9"/>
  <c r="I47" i="9"/>
  <c r="I43" i="9"/>
  <c r="I45" i="9"/>
  <c r="I48" i="9"/>
  <c r="G9" i="12"/>
  <c r="G11" i="12"/>
  <c r="G12" i="12"/>
  <c r="G13" i="12"/>
  <c r="C16" i="12"/>
  <c r="C25" i="12"/>
  <c r="B9" i="4"/>
  <c r="F10" i="4"/>
  <c r="H12" i="4"/>
  <c r="H12" i="7"/>
  <c r="K16" i="4"/>
  <c r="I37" i="1"/>
  <c r="J37" i="1"/>
  <c r="C37" i="1"/>
  <c r="D37" i="1"/>
  <c r="E37" i="1"/>
  <c r="F37" i="1"/>
  <c r="G37" i="1"/>
  <c r="H37" i="1"/>
  <c r="K37" i="1"/>
  <c r="L37" i="1"/>
  <c r="M37" i="1"/>
  <c r="N37" i="1"/>
  <c r="C41" i="1"/>
  <c r="I9" i="1"/>
  <c r="C19" i="1"/>
  <c r="F2" i="4"/>
  <c r="H2" i="4"/>
  <c r="J2" i="4"/>
  <c r="B32" i="14"/>
  <c r="BY91" i="2"/>
  <c r="BY82" i="2"/>
  <c r="BZ93" i="2"/>
  <c r="Q22" i="2"/>
  <c r="AI22" i="2"/>
  <c r="BJ22" i="2"/>
  <c r="BW22" i="2"/>
  <c r="AJ22" i="2"/>
  <c r="BK22" i="2"/>
  <c r="BX22" i="2"/>
  <c r="AK22" i="2"/>
  <c r="BL22" i="2"/>
  <c r="BY22" i="2"/>
  <c r="AL22" i="2"/>
  <c r="BM22" i="2"/>
  <c r="BZ22" i="2"/>
  <c r="AM22" i="2"/>
  <c r="BN22" i="2"/>
  <c r="CA22" i="2"/>
  <c r="AN22" i="2"/>
  <c r="BO22" i="2"/>
  <c r="CB22" i="2"/>
  <c r="AO22" i="2"/>
  <c r="BP22" i="2"/>
  <c r="CC22" i="2"/>
  <c r="AP22" i="2"/>
  <c r="BQ22" i="2"/>
  <c r="CD22" i="2"/>
  <c r="AQ22" i="2"/>
  <c r="BR22" i="2"/>
  <c r="CE22" i="2"/>
  <c r="AR22" i="2"/>
  <c r="BS22" i="2"/>
  <c r="CF22" i="2"/>
  <c r="AS22" i="2"/>
  <c r="BT22" i="2"/>
  <c r="CG22" i="2"/>
  <c r="AT22" i="2"/>
  <c r="BU22" i="2"/>
  <c r="CH22" i="2"/>
  <c r="BZ92" i="2"/>
  <c r="Q15" i="2"/>
  <c r="AI15" i="2"/>
  <c r="BJ15" i="2"/>
  <c r="BW15" i="2"/>
  <c r="AJ15" i="2"/>
  <c r="BK15" i="2"/>
  <c r="BX15" i="2"/>
  <c r="AK15" i="2"/>
  <c r="BL15" i="2"/>
  <c r="BY15" i="2"/>
  <c r="AL15" i="2"/>
  <c r="BM15" i="2"/>
  <c r="BZ15" i="2"/>
  <c r="AM15" i="2"/>
  <c r="BN15" i="2"/>
  <c r="CA15" i="2"/>
  <c r="AN15" i="2"/>
  <c r="BO15" i="2"/>
  <c r="CB15" i="2"/>
  <c r="AO15" i="2"/>
  <c r="BP15" i="2"/>
  <c r="CC15" i="2"/>
  <c r="AP15" i="2"/>
  <c r="BQ15" i="2"/>
  <c r="CD15" i="2"/>
  <c r="AQ15" i="2"/>
  <c r="BR15" i="2"/>
  <c r="CE15" i="2"/>
  <c r="AR15" i="2"/>
  <c r="BS15" i="2"/>
  <c r="CF15" i="2"/>
  <c r="AS15" i="2"/>
  <c r="BT15" i="2"/>
  <c r="CG15" i="2"/>
  <c r="AT15" i="2"/>
  <c r="BU15" i="2"/>
  <c r="CH15" i="2"/>
  <c r="BZ83" i="2"/>
  <c r="Q16" i="2"/>
  <c r="AI16" i="2"/>
  <c r="BJ16" i="2"/>
  <c r="BW16" i="2"/>
  <c r="AJ16" i="2"/>
  <c r="BK16" i="2"/>
  <c r="BX16" i="2"/>
  <c r="AK16" i="2"/>
  <c r="BL16" i="2"/>
  <c r="BY16" i="2"/>
  <c r="AL16" i="2"/>
  <c r="BM16" i="2"/>
  <c r="BZ16" i="2"/>
  <c r="AM16" i="2"/>
  <c r="BN16" i="2"/>
  <c r="CA16" i="2"/>
  <c r="AN16" i="2"/>
  <c r="BO16" i="2"/>
  <c r="CB16" i="2"/>
  <c r="AO16" i="2"/>
  <c r="BP16" i="2"/>
  <c r="CC16" i="2"/>
  <c r="AP16" i="2"/>
  <c r="BQ16" i="2"/>
  <c r="CD16" i="2"/>
  <c r="AQ16" i="2"/>
  <c r="BR16" i="2"/>
  <c r="CE16" i="2"/>
  <c r="AR16" i="2"/>
  <c r="BS16" i="2"/>
  <c r="CF16" i="2"/>
  <c r="AS16" i="2"/>
  <c r="BT16" i="2"/>
  <c r="CG16" i="2"/>
  <c r="AT16" i="2"/>
  <c r="BU16" i="2"/>
  <c r="CH16" i="2"/>
  <c r="Q17" i="2"/>
  <c r="AI17" i="2"/>
  <c r="BJ17" i="2"/>
  <c r="BW17" i="2"/>
  <c r="AJ17" i="2"/>
  <c r="BK17" i="2"/>
  <c r="BX17" i="2"/>
  <c r="AK17" i="2"/>
  <c r="BL17" i="2"/>
  <c r="BY17" i="2"/>
  <c r="AL17" i="2"/>
  <c r="BM17" i="2"/>
  <c r="BZ17" i="2"/>
  <c r="AM17" i="2"/>
  <c r="BN17" i="2"/>
  <c r="CA17" i="2"/>
  <c r="AN17" i="2"/>
  <c r="BO17" i="2"/>
  <c r="CB17" i="2"/>
  <c r="AO17" i="2"/>
  <c r="BP17" i="2"/>
  <c r="CC17" i="2"/>
  <c r="AP17" i="2"/>
  <c r="BQ17" i="2"/>
  <c r="CD17" i="2"/>
  <c r="AQ17" i="2"/>
  <c r="BR17" i="2"/>
  <c r="CE17" i="2"/>
  <c r="AR17" i="2"/>
  <c r="BS17" i="2"/>
  <c r="CF17" i="2"/>
  <c r="AS17" i="2"/>
  <c r="BT17" i="2"/>
  <c r="CG17" i="2"/>
  <c r="AT17" i="2"/>
  <c r="BU17" i="2"/>
  <c r="CH17" i="2"/>
  <c r="BZ85" i="2"/>
  <c r="Q18" i="2"/>
  <c r="AI18" i="2"/>
  <c r="BJ18" i="2"/>
  <c r="BW18" i="2"/>
  <c r="AJ18" i="2"/>
  <c r="BK18" i="2"/>
  <c r="BX18" i="2"/>
  <c r="AK18" i="2"/>
  <c r="BL18" i="2"/>
  <c r="BY18" i="2"/>
  <c r="AL18" i="2"/>
  <c r="BM18" i="2"/>
  <c r="BZ18" i="2"/>
  <c r="AM18" i="2"/>
  <c r="BN18" i="2"/>
  <c r="CA18" i="2"/>
  <c r="AN18" i="2"/>
  <c r="BO18" i="2"/>
  <c r="CB18" i="2"/>
  <c r="AO18" i="2"/>
  <c r="BP18" i="2"/>
  <c r="CC18" i="2"/>
  <c r="AP18" i="2"/>
  <c r="BQ18" i="2"/>
  <c r="CD18" i="2"/>
  <c r="AQ18" i="2"/>
  <c r="BR18" i="2"/>
  <c r="CE18" i="2"/>
  <c r="AR18" i="2"/>
  <c r="BS18" i="2"/>
  <c r="CF18" i="2"/>
  <c r="AS18" i="2"/>
  <c r="BT18" i="2"/>
  <c r="CG18" i="2"/>
  <c r="AT18" i="2"/>
  <c r="BU18" i="2"/>
  <c r="CH18" i="2"/>
  <c r="BZ86" i="2"/>
  <c r="Q19" i="2"/>
  <c r="AI19" i="2"/>
  <c r="BJ19" i="2"/>
  <c r="BW19" i="2"/>
  <c r="AJ19" i="2"/>
  <c r="BK19" i="2"/>
  <c r="BX19" i="2"/>
  <c r="AK19" i="2"/>
  <c r="BL19" i="2"/>
  <c r="BY19" i="2"/>
  <c r="AL19" i="2"/>
  <c r="BM19" i="2"/>
  <c r="BZ19" i="2"/>
  <c r="AM19" i="2"/>
  <c r="BN19" i="2"/>
  <c r="CA19" i="2"/>
  <c r="AN19" i="2"/>
  <c r="BO19" i="2"/>
  <c r="CB19" i="2"/>
  <c r="AO19" i="2"/>
  <c r="BP19" i="2"/>
  <c r="CC19" i="2"/>
  <c r="AP19" i="2"/>
  <c r="BQ19" i="2"/>
  <c r="CD19" i="2"/>
  <c r="AQ19" i="2"/>
  <c r="BR19" i="2"/>
  <c r="CE19" i="2"/>
  <c r="AR19" i="2"/>
  <c r="BS19" i="2"/>
  <c r="CF19" i="2"/>
  <c r="AS19" i="2"/>
  <c r="BT19" i="2"/>
  <c r="CG19" i="2"/>
  <c r="AT19" i="2"/>
  <c r="BU19" i="2"/>
  <c r="CH19" i="2"/>
  <c r="BZ87" i="2"/>
  <c r="Q20" i="2"/>
  <c r="AI20" i="2"/>
  <c r="BJ20" i="2"/>
  <c r="BW20" i="2"/>
  <c r="AJ20" i="2"/>
  <c r="BK20" i="2"/>
  <c r="BX20" i="2"/>
  <c r="AK20" i="2"/>
  <c r="BL20" i="2"/>
  <c r="BY20" i="2"/>
  <c r="AL20" i="2"/>
  <c r="BM20" i="2"/>
  <c r="BZ20" i="2"/>
  <c r="AM20" i="2"/>
  <c r="BN20" i="2"/>
  <c r="CA20" i="2"/>
  <c r="AN20" i="2"/>
  <c r="BO20" i="2"/>
  <c r="CB20" i="2"/>
  <c r="AO20" i="2"/>
  <c r="BP20" i="2"/>
  <c r="CC20" i="2"/>
  <c r="AP20" i="2"/>
  <c r="BQ20" i="2"/>
  <c r="CD20" i="2"/>
  <c r="AQ20" i="2"/>
  <c r="BR20" i="2"/>
  <c r="CE20" i="2"/>
  <c r="AR20" i="2"/>
  <c r="BS20" i="2"/>
  <c r="CF20" i="2"/>
  <c r="AS20" i="2"/>
  <c r="BT20" i="2"/>
  <c r="CG20" i="2"/>
  <c r="AT20" i="2"/>
  <c r="BU20" i="2"/>
  <c r="CH20" i="2"/>
  <c r="Q21" i="2"/>
  <c r="AI21" i="2"/>
  <c r="BJ21" i="2"/>
  <c r="BW21" i="2"/>
  <c r="AJ21" i="2"/>
  <c r="BK21" i="2"/>
  <c r="BX21" i="2"/>
  <c r="AK21" i="2"/>
  <c r="BL21" i="2"/>
  <c r="BY21" i="2"/>
  <c r="AL21" i="2"/>
  <c r="BM21" i="2"/>
  <c r="BZ21" i="2"/>
  <c r="AM21" i="2"/>
  <c r="BN21" i="2"/>
  <c r="CA21" i="2"/>
  <c r="AN21" i="2"/>
  <c r="BO21" i="2"/>
  <c r="CB21" i="2"/>
  <c r="AO21" i="2"/>
  <c r="BP21" i="2"/>
  <c r="CC21" i="2"/>
  <c r="AP21" i="2"/>
  <c r="BQ21" i="2"/>
  <c r="CD21" i="2"/>
  <c r="AQ21" i="2"/>
  <c r="BR21" i="2"/>
  <c r="CE21" i="2"/>
  <c r="AR21" i="2"/>
  <c r="BS21" i="2"/>
  <c r="CF21" i="2"/>
  <c r="AS21" i="2"/>
  <c r="BT21" i="2"/>
  <c r="CG21" i="2"/>
  <c r="AT21" i="2"/>
  <c r="BU21" i="2"/>
  <c r="CH21" i="2"/>
  <c r="BZ89" i="2"/>
  <c r="BZ90" i="2"/>
  <c r="BZ91" i="2"/>
  <c r="Q10" i="2"/>
  <c r="AI10" i="2"/>
  <c r="BJ10" i="2"/>
  <c r="BW10" i="2"/>
  <c r="AJ10" i="2"/>
  <c r="BK10" i="2"/>
  <c r="BX10" i="2"/>
  <c r="AK10" i="2"/>
  <c r="BL10" i="2"/>
  <c r="BY10" i="2"/>
  <c r="AL10" i="2"/>
  <c r="BM10" i="2"/>
  <c r="BZ10" i="2"/>
  <c r="AM10" i="2"/>
  <c r="BN10" i="2"/>
  <c r="CA10" i="2"/>
  <c r="AN10" i="2"/>
  <c r="BO10" i="2"/>
  <c r="CB10" i="2"/>
  <c r="AO10" i="2"/>
  <c r="BP10" i="2"/>
  <c r="CC10" i="2"/>
  <c r="AP10" i="2"/>
  <c r="BQ10" i="2"/>
  <c r="CD10" i="2"/>
  <c r="AQ10" i="2"/>
  <c r="BR10" i="2"/>
  <c r="CE10" i="2"/>
  <c r="AR10" i="2"/>
  <c r="BS10" i="2"/>
  <c r="CF10" i="2"/>
  <c r="AS10" i="2"/>
  <c r="BT10" i="2"/>
  <c r="CG10" i="2"/>
  <c r="AT10" i="2"/>
  <c r="BU10" i="2"/>
  <c r="CH10" i="2"/>
  <c r="Q11" i="2"/>
  <c r="AI11" i="2"/>
  <c r="BJ11" i="2"/>
  <c r="BW11" i="2"/>
  <c r="AJ11" i="2"/>
  <c r="BK11" i="2"/>
  <c r="BX11" i="2"/>
  <c r="AK11" i="2"/>
  <c r="BL11" i="2"/>
  <c r="BY11" i="2"/>
  <c r="AL11" i="2"/>
  <c r="BM11" i="2"/>
  <c r="BZ11" i="2"/>
  <c r="AM11" i="2"/>
  <c r="BN11" i="2"/>
  <c r="CA11" i="2"/>
  <c r="AN11" i="2"/>
  <c r="BO11" i="2"/>
  <c r="CB11" i="2"/>
  <c r="AO11" i="2"/>
  <c r="BP11" i="2"/>
  <c r="CC11" i="2"/>
  <c r="AP11" i="2"/>
  <c r="BQ11" i="2"/>
  <c r="CD11" i="2"/>
  <c r="AQ11" i="2"/>
  <c r="BR11" i="2"/>
  <c r="CE11" i="2"/>
  <c r="AR11" i="2"/>
  <c r="BS11" i="2"/>
  <c r="CF11" i="2"/>
  <c r="AS11" i="2"/>
  <c r="BT11" i="2"/>
  <c r="CG11" i="2"/>
  <c r="AT11" i="2"/>
  <c r="BU11" i="2"/>
  <c r="CH11" i="2"/>
  <c r="BZ79" i="2"/>
  <c r="Q12" i="2"/>
  <c r="AI12" i="2"/>
  <c r="BJ12" i="2"/>
  <c r="BW12" i="2"/>
  <c r="AJ12" i="2"/>
  <c r="BK12" i="2"/>
  <c r="BX12" i="2"/>
  <c r="AK12" i="2"/>
  <c r="BL12" i="2"/>
  <c r="BY12" i="2"/>
  <c r="AL12" i="2"/>
  <c r="BM12" i="2"/>
  <c r="BZ12" i="2"/>
  <c r="AM12" i="2"/>
  <c r="BN12" i="2"/>
  <c r="CA12" i="2"/>
  <c r="AN12" i="2"/>
  <c r="BO12" i="2"/>
  <c r="CB12" i="2"/>
  <c r="AO12" i="2"/>
  <c r="BP12" i="2"/>
  <c r="CC12" i="2"/>
  <c r="AP12" i="2"/>
  <c r="BQ12" i="2"/>
  <c r="CD12" i="2"/>
  <c r="AQ12" i="2"/>
  <c r="BR12" i="2"/>
  <c r="CE12" i="2"/>
  <c r="AR12" i="2"/>
  <c r="BS12" i="2"/>
  <c r="CF12" i="2"/>
  <c r="AS12" i="2"/>
  <c r="BT12" i="2"/>
  <c r="CG12" i="2"/>
  <c r="AT12" i="2"/>
  <c r="BU12" i="2"/>
  <c r="CH12" i="2"/>
  <c r="BZ80" i="2"/>
  <c r="Q13" i="2"/>
  <c r="AI13" i="2"/>
  <c r="BJ13" i="2"/>
  <c r="BW13" i="2"/>
  <c r="AJ13" i="2"/>
  <c r="BK13" i="2"/>
  <c r="BX13" i="2"/>
  <c r="AK13" i="2"/>
  <c r="BL13" i="2"/>
  <c r="BY13" i="2"/>
  <c r="AL13" i="2"/>
  <c r="BM13" i="2"/>
  <c r="BZ13" i="2"/>
  <c r="AM13" i="2"/>
  <c r="BN13" i="2"/>
  <c r="CA13" i="2"/>
  <c r="AN13" i="2"/>
  <c r="BO13" i="2"/>
  <c r="CB13" i="2"/>
  <c r="AO13" i="2"/>
  <c r="BP13" i="2"/>
  <c r="CC13" i="2"/>
  <c r="AP13" i="2"/>
  <c r="BQ13" i="2"/>
  <c r="CD13" i="2"/>
  <c r="AQ13" i="2"/>
  <c r="BR13" i="2"/>
  <c r="CE13" i="2"/>
  <c r="AR13" i="2"/>
  <c r="BS13" i="2"/>
  <c r="CF13" i="2"/>
  <c r="AS13" i="2"/>
  <c r="BT13" i="2"/>
  <c r="CG13" i="2"/>
  <c r="AT13" i="2"/>
  <c r="BU13" i="2"/>
  <c r="CH13" i="2"/>
  <c r="BZ81" i="2"/>
  <c r="B45" i="7"/>
  <c r="C29" i="4"/>
  <c r="C15" i="8"/>
  <c r="C16" i="8"/>
  <c r="C17" i="8"/>
  <c r="C18" i="8"/>
  <c r="C32" i="4"/>
  <c r="BG18" i="1"/>
  <c r="BG21" i="1"/>
  <c r="BH18" i="1"/>
  <c r="BH21" i="1"/>
  <c r="BI18" i="1"/>
  <c r="BI21" i="1"/>
  <c r="BJ18" i="1"/>
  <c r="BJ21" i="1"/>
  <c r="BP18" i="1"/>
  <c r="BP21" i="1"/>
  <c r="BQ18" i="1"/>
  <c r="BQ21" i="1"/>
  <c r="BR18" i="1"/>
  <c r="BR21" i="1"/>
  <c r="BG22" i="1"/>
  <c r="BG27" i="1"/>
  <c r="BG30" i="1"/>
  <c r="BH27" i="1"/>
  <c r="BH30" i="1"/>
  <c r="BI27" i="1"/>
  <c r="BI30" i="1"/>
  <c r="BJ27" i="1"/>
  <c r="BJ30" i="1"/>
  <c r="BK27" i="1"/>
  <c r="BK30" i="1"/>
  <c r="BP27" i="1"/>
  <c r="BP30" i="1"/>
  <c r="BQ27" i="1"/>
  <c r="BQ30" i="1"/>
  <c r="BR27" i="1"/>
  <c r="BR30" i="1"/>
  <c r="BG31" i="1"/>
  <c r="L80" i="1"/>
  <c r="H7" i="7"/>
  <c r="H8" i="7"/>
  <c r="H9" i="7"/>
  <c r="H10" i="7"/>
  <c r="H11" i="7"/>
  <c r="H13" i="7"/>
  <c r="L81" i="1"/>
  <c r="L82" i="1"/>
  <c r="BG19" i="1"/>
  <c r="BH19" i="1"/>
  <c r="BI19" i="1"/>
  <c r="BJ19" i="1"/>
  <c r="BP19" i="1"/>
  <c r="BQ19" i="1"/>
  <c r="BR19" i="1"/>
  <c r="BG23" i="1"/>
  <c r="BG28" i="1"/>
  <c r="BH28" i="1"/>
  <c r="BI28" i="1"/>
  <c r="BJ28" i="1"/>
  <c r="BK28" i="1"/>
  <c r="BP28" i="1"/>
  <c r="BQ28" i="1"/>
  <c r="BR28" i="1"/>
  <c r="BG32" i="1"/>
  <c r="C45" i="7"/>
  <c r="D45" i="7"/>
  <c r="E45" i="7"/>
  <c r="F45" i="7"/>
  <c r="E20" i="12"/>
  <c r="C25" i="9"/>
  <c r="C26" i="9"/>
  <c r="C27" i="9"/>
  <c r="C28" i="9"/>
  <c r="C29" i="9"/>
  <c r="E12" i="9"/>
  <c r="E13" i="9"/>
  <c r="E14" i="9"/>
  <c r="E15" i="9"/>
  <c r="E16" i="9"/>
  <c r="E17" i="9"/>
  <c r="E18" i="9"/>
  <c r="C30" i="9"/>
  <c r="C23" i="9"/>
  <c r="C33" i="9"/>
  <c r="C24" i="9"/>
  <c r="C30" i="4"/>
  <c r="C21" i="7"/>
  <c r="D21" i="7"/>
  <c r="E21" i="7"/>
  <c r="F21" i="7"/>
  <c r="G21" i="7"/>
  <c r="G28" i="7"/>
  <c r="F28" i="7"/>
  <c r="D28" i="7"/>
  <c r="B52" i="7"/>
  <c r="E28" i="7"/>
  <c r="H21" i="7"/>
  <c r="H28" i="7"/>
  <c r="J9" i="4"/>
  <c r="G15" i="8"/>
  <c r="G16" i="8"/>
  <c r="G17" i="8"/>
  <c r="G18" i="8"/>
  <c r="K32" i="4"/>
  <c r="H9" i="4"/>
  <c r="F15" i="8"/>
  <c r="F16" i="8"/>
  <c r="F17" i="8"/>
  <c r="F18" i="8"/>
  <c r="I32" i="4"/>
  <c r="F9" i="4"/>
  <c r="E15" i="8"/>
  <c r="E16" i="8"/>
  <c r="E17" i="8"/>
  <c r="E18" i="8"/>
  <c r="G32" i="4"/>
  <c r="D9" i="4"/>
  <c r="D15" i="8"/>
  <c r="D16" i="8"/>
  <c r="D17" i="8"/>
  <c r="D18" i="8"/>
  <c r="E32" i="4"/>
  <c r="C31" i="4"/>
  <c r="AJ18" i="1"/>
  <c r="BH29" i="1"/>
  <c r="BI29" i="1"/>
  <c r="BJ29" i="1"/>
  <c r="BK29" i="1"/>
  <c r="BL29" i="1"/>
  <c r="BM29" i="1"/>
  <c r="BN29" i="1"/>
  <c r="BO29" i="1"/>
  <c r="BP29" i="1"/>
  <c r="BQ29" i="1"/>
  <c r="BR29" i="1"/>
  <c r="BG29" i="1"/>
  <c r="AT29" i="1"/>
  <c r="AU29" i="1"/>
  <c r="AV29" i="1"/>
  <c r="AW29" i="1"/>
  <c r="AX29" i="1"/>
  <c r="AY29" i="1"/>
  <c r="AZ29" i="1"/>
  <c r="BA29" i="1"/>
  <c r="BB29" i="1"/>
  <c r="BC29" i="1"/>
  <c r="BD29" i="1"/>
  <c r="AS29" i="1"/>
  <c r="AF29" i="1"/>
  <c r="AG29" i="1"/>
  <c r="AH29" i="1"/>
  <c r="AI29" i="1"/>
  <c r="AJ29" i="1"/>
  <c r="AK29" i="1"/>
  <c r="AL29" i="1"/>
  <c r="AM29" i="1"/>
  <c r="AN29" i="1"/>
  <c r="AO29" i="1"/>
  <c r="AP29" i="1"/>
  <c r="AE29" i="1"/>
  <c r="BH20" i="1"/>
  <c r="BI20" i="1"/>
  <c r="BJ20" i="1"/>
  <c r="BK20" i="1"/>
  <c r="BL20" i="1"/>
  <c r="BM20" i="1"/>
  <c r="BN20" i="1"/>
  <c r="BO20" i="1"/>
  <c r="BP20" i="1"/>
  <c r="BQ20" i="1"/>
  <c r="BR20" i="1"/>
  <c r="BG20" i="1"/>
  <c r="AT20" i="1"/>
  <c r="AU20" i="1"/>
  <c r="AV20" i="1"/>
  <c r="AW20" i="1"/>
  <c r="AX20" i="1"/>
  <c r="AY20" i="1"/>
  <c r="AZ20" i="1"/>
  <c r="BA20" i="1"/>
  <c r="BB20" i="1"/>
  <c r="BC20" i="1"/>
  <c r="BD20" i="1"/>
  <c r="AS20" i="1"/>
  <c r="AF20" i="1"/>
  <c r="AG20" i="1"/>
  <c r="AH20" i="1"/>
  <c r="AI20" i="1"/>
  <c r="AJ20" i="1"/>
  <c r="AK20" i="1"/>
  <c r="AL20" i="1"/>
  <c r="AM20" i="1"/>
  <c r="AN20" i="1"/>
  <c r="AO20" i="1"/>
  <c r="AP20" i="1"/>
  <c r="AE20" i="1"/>
  <c r="AE18" i="1"/>
  <c r="AE21" i="1"/>
  <c r="AF18" i="1"/>
  <c r="AF21" i="1"/>
  <c r="AG18" i="1"/>
  <c r="AG21" i="1"/>
  <c r="AH18" i="1"/>
  <c r="AH21" i="1"/>
  <c r="AI18" i="1"/>
  <c r="AI21" i="1"/>
  <c r="AJ21" i="1"/>
  <c r="AK21" i="1"/>
  <c r="AL21" i="1"/>
  <c r="AM18" i="1"/>
  <c r="AM21" i="1"/>
  <c r="AN18" i="1"/>
  <c r="AN21" i="1"/>
  <c r="AO18" i="1"/>
  <c r="AO21" i="1"/>
  <c r="AP18" i="1"/>
  <c r="AP21" i="1"/>
  <c r="AE22" i="1"/>
  <c r="AE27" i="1"/>
  <c r="AE30" i="1"/>
  <c r="AF27" i="1"/>
  <c r="AF30" i="1"/>
  <c r="AG27" i="1"/>
  <c r="AG30" i="1"/>
  <c r="AH27" i="1"/>
  <c r="AH30" i="1"/>
  <c r="AI27" i="1"/>
  <c r="AI30" i="1"/>
  <c r="AJ27" i="1"/>
  <c r="AJ30" i="1"/>
  <c r="AK30" i="1"/>
  <c r="AL30" i="1"/>
  <c r="AM27" i="1"/>
  <c r="AM30" i="1"/>
  <c r="AN27" i="1"/>
  <c r="AN30" i="1"/>
  <c r="AO27" i="1"/>
  <c r="AO30" i="1"/>
  <c r="AP27" i="1"/>
  <c r="AP30" i="1"/>
  <c r="AE31" i="1"/>
  <c r="H80" i="1"/>
  <c r="F7" i="7"/>
  <c r="F8" i="7"/>
  <c r="F9" i="7"/>
  <c r="F10" i="7"/>
  <c r="F11" i="7"/>
  <c r="F13" i="7"/>
  <c r="H81" i="1"/>
  <c r="H82" i="1"/>
  <c r="AE19" i="1"/>
  <c r="AF19" i="1"/>
  <c r="AG19" i="1"/>
  <c r="AH19" i="1"/>
  <c r="AI19" i="1"/>
  <c r="AJ19" i="1"/>
  <c r="AM19" i="1"/>
  <c r="AN19" i="1"/>
  <c r="AO19" i="1"/>
  <c r="AP19" i="1"/>
  <c r="AE23" i="1"/>
  <c r="AE28" i="1"/>
  <c r="AF28" i="1"/>
  <c r="AG28" i="1"/>
  <c r="AH28" i="1"/>
  <c r="AI28" i="1"/>
  <c r="AJ28" i="1"/>
  <c r="AM28" i="1"/>
  <c r="AN28" i="1"/>
  <c r="AO28" i="1"/>
  <c r="AP28" i="1"/>
  <c r="AE32" i="1"/>
  <c r="G31" i="4"/>
  <c r="AS18" i="1"/>
  <c r="AS21" i="1"/>
  <c r="AT18" i="1"/>
  <c r="AT21" i="1"/>
  <c r="AU18" i="1"/>
  <c r="AU21" i="1"/>
  <c r="AV18" i="1"/>
  <c r="AV21" i="1"/>
  <c r="AW18" i="1"/>
  <c r="AW21" i="1"/>
  <c r="AX21" i="1"/>
  <c r="AY21" i="1"/>
  <c r="AZ21" i="1"/>
  <c r="BA21" i="1"/>
  <c r="BB18" i="1"/>
  <c r="BB21" i="1"/>
  <c r="BC18" i="1"/>
  <c r="BC21" i="1"/>
  <c r="BD18" i="1"/>
  <c r="BD21" i="1"/>
  <c r="AS22" i="1"/>
  <c r="AS27" i="1"/>
  <c r="AS30" i="1"/>
  <c r="AT27" i="1"/>
  <c r="AT30" i="1"/>
  <c r="AU27" i="1"/>
  <c r="AU30" i="1"/>
  <c r="AV27" i="1"/>
  <c r="AV30" i="1"/>
  <c r="AW27" i="1"/>
  <c r="AW30" i="1"/>
  <c r="AX27" i="1"/>
  <c r="AX30" i="1"/>
  <c r="AY30" i="1"/>
  <c r="AZ30" i="1"/>
  <c r="BA27" i="1"/>
  <c r="BA30" i="1"/>
  <c r="BB27" i="1"/>
  <c r="BB30" i="1"/>
  <c r="BC27" i="1"/>
  <c r="BC30" i="1"/>
  <c r="BD27" i="1"/>
  <c r="BD30" i="1"/>
  <c r="AS31" i="1"/>
  <c r="J80" i="1"/>
  <c r="G7" i="7"/>
  <c r="G9" i="7"/>
  <c r="G10" i="7"/>
  <c r="G11" i="7"/>
  <c r="G13" i="7"/>
  <c r="J81" i="1"/>
  <c r="J82" i="1"/>
  <c r="BA19" i="1"/>
  <c r="AS19" i="1"/>
  <c r="AT19" i="1"/>
  <c r="AU19" i="1"/>
  <c r="AV19" i="1"/>
  <c r="AW19" i="1"/>
  <c r="AX19" i="1"/>
  <c r="BB19" i="1"/>
  <c r="BC19" i="1"/>
  <c r="BD19" i="1"/>
  <c r="AS23" i="1"/>
  <c r="AS28" i="1"/>
  <c r="AT28" i="1"/>
  <c r="AU28" i="1"/>
  <c r="AV28" i="1"/>
  <c r="AW28" i="1"/>
  <c r="AX28" i="1"/>
  <c r="BA28" i="1"/>
  <c r="BB28" i="1"/>
  <c r="BC28" i="1"/>
  <c r="BD28" i="1"/>
  <c r="AS32" i="1"/>
  <c r="I31" i="4"/>
  <c r="BK21" i="1"/>
  <c r="BL21" i="1"/>
  <c r="BM21" i="1"/>
  <c r="BN21" i="1"/>
  <c r="BO21" i="1"/>
  <c r="BL30" i="1"/>
  <c r="BM30" i="1"/>
  <c r="BN30" i="1"/>
  <c r="BO30" i="1"/>
  <c r="BK19" i="1"/>
  <c r="K31" i="4"/>
  <c r="E31" i="4"/>
  <c r="B17" i="8"/>
  <c r="B18" i="8"/>
  <c r="D46" i="4"/>
  <c r="B21" i="8"/>
  <c r="B24" i="8"/>
  <c r="D45" i="4"/>
  <c r="J21" i="4"/>
  <c r="J22" i="4"/>
  <c r="J23" i="4"/>
  <c r="K30" i="4"/>
  <c r="H21" i="4"/>
  <c r="H22" i="4"/>
  <c r="H23" i="4"/>
  <c r="I30" i="4"/>
  <c r="F21" i="4"/>
  <c r="F22" i="4"/>
  <c r="F23" i="4"/>
  <c r="G30" i="4"/>
  <c r="D21" i="4"/>
  <c r="D22" i="4"/>
  <c r="D23" i="4"/>
  <c r="E30" i="4"/>
  <c r="I29" i="4"/>
  <c r="G29" i="4"/>
  <c r="E29" i="4"/>
  <c r="K29" i="4"/>
  <c r="B10" i="4"/>
  <c r="B12" i="4"/>
  <c r="B18" i="4"/>
  <c r="D10" i="4"/>
  <c r="D12" i="4"/>
  <c r="D18" i="4"/>
  <c r="C52" i="7"/>
  <c r="F12" i="4"/>
  <c r="F18" i="4"/>
  <c r="D52" i="7"/>
  <c r="H10" i="4"/>
  <c r="H18" i="4"/>
  <c r="E52" i="7"/>
  <c r="J10" i="4"/>
  <c r="J12" i="4"/>
  <c r="J18" i="4"/>
  <c r="F52" i="7"/>
  <c r="C15" i="12"/>
  <c r="D7" i="7"/>
  <c r="D8" i="7"/>
  <c r="D9" i="7"/>
  <c r="D10" i="7"/>
  <c r="D11" i="7"/>
  <c r="D13" i="7"/>
  <c r="D81" i="1"/>
  <c r="D82" i="1"/>
  <c r="C18" i="7"/>
  <c r="D18" i="7"/>
  <c r="C19" i="7"/>
  <c r="D19" i="7"/>
  <c r="C20" i="7"/>
  <c r="D20" i="7"/>
  <c r="D23" i="7"/>
  <c r="B32" i="7"/>
  <c r="C32" i="7"/>
  <c r="C2" i="7"/>
  <c r="B51" i="7"/>
  <c r="C23" i="8"/>
  <c r="D22" i="8"/>
  <c r="G8" i="7"/>
  <c r="E7" i="7"/>
  <c r="E8" i="7"/>
  <c r="E9" i="7"/>
  <c r="E10" i="7"/>
  <c r="E11" i="7"/>
  <c r="E13" i="7"/>
  <c r="F81" i="1"/>
  <c r="F82" i="1"/>
  <c r="D32" i="7"/>
  <c r="C51" i="7"/>
  <c r="E18" i="7"/>
  <c r="E19" i="7"/>
  <c r="E20" i="7"/>
  <c r="E23" i="7"/>
  <c r="D24" i="7"/>
  <c r="E24" i="7"/>
  <c r="E32" i="7"/>
  <c r="D51" i="7"/>
  <c r="F18" i="7"/>
  <c r="F19" i="7"/>
  <c r="F20" i="7"/>
  <c r="F23" i="7"/>
  <c r="F24" i="7"/>
  <c r="F32" i="7"/>
  <c r="E51" i="7"/>
  <c r="G18" i="7"/>
  <c r="G19" i="7"/>
  <c r="G20" i="7"/>
  <c r="G23" i="7"/>
  <c r="G24" i="7"/>
  <c r="G32" i="7"/>
  <c r="F51" i="7"/>
  <c r="H18" i="7"/>
  <c r="H19" i="7"/>
  <c r="H20" i="7"/>
  <c r="H23" i="7"/>
  <c r="H24" i="7"/>
  <c r="D80" i="1"/>
  <c r="C23" i="4"/>
  <c r="C23" i="12"/>
  <c r="G20" i="4"/>
  <c r="K13" i="4"/>
  <c r="I13" i="4"/>
  <c r="G13" i="4"/>
  <c r="E13" i="4"/>
  <c r="C13" i="4"/>
  <c r="K18" i="4"/>
  <c r="I18" i="4"/>
  <c r="K23" i="4"/>
  <c r="C17" i="4"/>
  <c r="G10" i="4"/>
  <c r="I10" i="4"/>
  <c r="D30" i="1"/>
  <c r="E30" i="1"/>
  <c r="F30" i="1"/>
  <c r="G30" i="1"/>
  <c r="H30" i="1"/>
  <c r="I30" i="1"/>
  <c r="J30" i="1"/>
  <c r="K30" i="1"/>
  <c r="L30" i="1"/>
  <c r="M30" i="1"/>
  <c r="N30" i="1"/>
  <c r="C31" i="1"/>
  <c r="C21" i="1"/>
  <c r="D21" i="1"/>
  <c r="E21" i="1"/>
  <c r="F21" i="1"/>
  <c r="G21" i="1"/>
  <c r="H21" i="1"/>
  <c r="I21" i="1"/>
  <c r="J21" i="1"/>
  <c r="K21" i="1"/>
  <c r="L21" i="1"/>
  <c r="M21" i="1"/>
  <c r="N21" i="1"/>
  <c r="C22" i="1"/>
  <c r="C48" i="1"/>
  <c r="D48" i="1"/>
  <c r="E48" i="1"/>
  <c r="F48" i="1"/>
  <c r="G48" i="1"/>
  <c r="H48" i="1"/>
  <c r="I48" i="1"/>
  <c r="J48" i="1"/>
  <c r="K48" i="1"/>
  <c r="L48" i="1"/>
  <c r="M48" i="1"/>
  <c r="N48" i="1"/>
  <c r="C49" i="1"/>
  <c r="D84" i="1"/>
  <c r="I7" i="1"/>
  <c r="H7" i="1"/>
  <c r="D19" i="1"/>
  <c r="E19" i="1"/>
  <c r="F19" i="1"/>
  <c r="G19" i="1"/>
  <c r="H19" i="1"/>
  <c r="I19" i="1"/>
  <c r="J19" i="1"/>
  <c r="K19" i="1"/>
  <c r="L19" i="1"/>
  <c r="M19" i="1"/>
  <c r="N19" i="1"/>
  <c r="C23" i="1"/>
  <c r="C28" i="1"/>
  <c r="D28" i="1"/>
  <c r="E28" i="1"/>
  <c r="F28" i="1"/>
  <c r="G28" i="1"/>
  <c r="H28" i="1"/>
  <c r="I28" i="1"/>
  <c r="J28" i="1"/>
  <c r="K28" i="1"/>
  <c r="L28" i="1"/>
  <c r="M28" i="1"/>
  <c r="N28" i="1"/>
  <c r="C32" i="1"/>
  <c r="J6" i="6"/>
  <c r="M13" i="6"/>
  <c r="O13" i="6"/>
  <c r="J20" i="6"/>
  <c r="I59" i="14"/>
  <c r="B57" i="14"/>
  <c r="I67" i="14"/>
  <c r="B64" i="14"/>
  <c r="C27" i="8"/>
  <c r="C28" i="8"/>
  <c r="G2" i="1"/>
  <c r="G4" i="1"/>
  <c r="C21" i="8"/>
  <c r="C24" i="8"/>
  <c r="C29" i="8"/>
  <c r="C32" i="8"/>
  <c r="Q27" i="1"/>
  <c r="Q29" i="1"/>
  <c r="R27" i="1"/>
  <c r="R29" i="1"/>
  <c r="S27" i="1"/>
  <c r="S29" i="1"/>
  <c r="T27" i="1"/>
  <c r="T29" i="1"/>
  <c r="U27" i="1"/>
  <c r="U29" i="1"/>
  <c r="V27" i="1"/>
  <c r="V29" i="1"/>
  <c r="W29" i="1"/>
  <c r="X29" i="1"/>
  <c r="Y27" i="1"/>
  <c r="Y29" i="1"/>
  <c r="Z27" i="1"/>
  <c r="Z29" i="1"/>
  <c r="AA27" i="1"/>
  <c r="AA29" i="1"/>
  <c r="AB27" i="1"/>
  <c r="AB29" i="1"/>
  <c r="Q18" i="1"/>
  <c r="Q20" i="1"/>
  <c r="R18" i="1"/>
  <c r="R20" i="1"/>
  <c r="S18" i="1"/>
  <c r="S20" i="1"/>
  <c r="T18" i="1"/>
  <c r="T20" i="1"/>
  <c r="U18" i="1"/>
  <c r="U20" i="1"/>
  <c r="V18" i="1"/>
  <c r="V20" i="1"/>
  <c r="W20" i="1"/>
  <c r="X20" i="1"/>
  <c r="Y18" i="1"/>
  <c r="Y20" i="1"/>
  <c r="Z18" i="1"/>
  <c r="Z20" i="1"/>
  <c r="AA18" i="1"/>
  <c r="AA20" i="1"/>
  <c r="AB18" i="1"/>
  <c r="AB20" i="1"/>
  <c r="R47" i="1"/>
  <c r="AF47" i="1"/>
  <c r="S47" i="1"/>
  <c r="AG47" i="1"/>
  <c r="T47" i="1"/>
  <c r="AH47" i="1"/>
  <c r="U47" i="1"/>
  <c r="AI47" i="1"/>
  <c r="V47" i="1"/>
  <c r="AJ47" i="1"/>
  <c r="W47" i="1"/>
  <c r="AK47" i="1"/>
  <c r="X47" i="1"/>
  <c r="AL47" i="1"/>
  <c r="Y47" i="1"/>
  <c r="AM47" i="1"/>
  <c r="Z47" i="1"/>
  <c r="AN47" i="1"/>
  <c r="AA47" i="1"/>
  <c r="AO47" i="1"/>
  <c r="AB47" i="1"/>
  <c r="AP47" i="1"/>
  <c r="AK19" i="1"/>
  <c r="AL19" i="1"/>
  <c r="AK28" i="1"/>
  <c r="AL28" i="1"/>
  <c r="D32" i="14"/>
  <c r="D57" i="14"/>
  <c r="D64" i="14"/>
  <c r="E27" i="8"/>
  <c r="E28" i="8"/>
  <c r="Q21" i="1"/>
  <c r="R21" i="1"/>
  <c r="S21" i="1"/>
  <c r="T21" i="1"/>
  <c r="U21" i="1"/>
  <c r="V21" i="1"/>
  <c r="W18" i="1"/>
  <c r="W21" i="1"/>
  <c r="X18" i="1"/>
  <c r="X21" i="1"/>
  <c r="Y21" i="1"/>
  <c r="Z21" i="1"/>
  <c r="AA21" i="1"/>
  <c r="AB21" i="1"/>
  <c r="Q22" i="1"/>
  <c r="Q30" i="1"/>
  <c r="R30" i="1"/>
  <c r="S30" i="1"/>
  <c r="T30" i="1"/>
  <c r="U30" i="1"/>
  <c r="V30" i="1"/>
  <c r="W27" i="1"/>
  <c r="W30" i="1"/>
  <c r="X27" i="1"/>
  <c r="X30" i="1"/>
  <c r="Y30" i="1"/>
  <c r="Z30" i="1"/>
  <c r="AA30" i="1"/>
  <c r="AB30" i="1"/>
  <c r="Q31" i="1"/>
  <c r="F80" i="1"/>
  <c r="Q19" i="1"/>
  <c r="R19" i="1"/>
  <c r="S19" i="1"/>
  <c r="T19" i="1"/>
  <c r="U19" i="1"/>
  <c r="V19" i="1"/>
  <c r="W19" i="1"/>
  <c r="X19" i="1"/>
  <c r="Y19" i="1"/>
  <c r="Z19" i="1"/>
  <c r="AA19" i="1"/>
  <c r="AB19" i="1"/>
  <c r="Q23" i="1"/>
  <c r="Q28" i="1"/>
  <c r="R28" i="1"/>
  <c r="S28" i="1"/>
  <c r="T28" i="1"/>
  <c r="U28" i="1"/>
  <c r="V28" i="1"/>
  <c r="W28" i="1"/>
  <c r="X28" i="1"/>
  <c r="Y28" i="1"/>
  <c r="Z28" i="1"/>
  <c r="AA28" i="1"/>
  <c r="AB28" i="1"/>
  <c r="Q32" i="1"/>
  <c r="C32" i="14"/>
  <c r="C57" i="14"/>
  <c r="C64" i="14"/>
  <c r="D27" i="8"/>
  <c r="D28" i="8"/>
  <c r="J17" i="8"/>
  <c r="B29" i="8"/>
  <c r="B32" i="8"/>
  <c r="D21" i="8"/>
  <c r="D23" i="8"/>
  <c r="D24" i="8"/>
  <c r="D29" i="8"/>
  <c r="D32" i="8"/>
  <c r="E21" i="8"/>
  <c r="E22" i="8"/>
  <c r="E23" i="8"/>
  <c r="E24" i="8"/>
  <c r="E29" i="8"/>
  <c r="E32" i="8"/>
  <c r="F21" i="8"/>
  <c r="F22" i="8"/>
  <c r="G21" i="8"/>
  <c r="AT47" i="1"/>
  <c r="BH47" i="1"/>
  <c r="AU47" i="1"/>
  <c r="BI47" i="1"/>
  <c r="AV47" i="1"/>
  <c r="BJ47" i="1"/>
  <c r="AW47" i="1"/>
  <c r="BK47" i="1"/>
  <c r="AX47" i="1"/>
  <c r="BL47" i="1"/>
  <c r="AY47" i="1"/>
  <c r="BM47" i="1"/>
  <c r="AZ47" i="1"/>
  <c r="BN47" i="1"/>
  <c r="BA47" i="1"/>
  <c r="BO47" i="1"/>
  <c r="BB47" i="1"/>
  <c r="BP47" i="1"/>
  <c r="BC47" i="1"/>
  <c r="BQ47" i="1"/>
  <c r="BD47" i="1"/>
  <c r="BR47" i="1"/>
  <c r="AY19" i="1"/>
  <c r="AZ19" i="1"/>
  <c r="AY28" i="1"/>
  <c r="AZ28" i="1"/>
  <c r="E32" i="14"/>
  <c r="E57" i="14"/>
  <c r="E64" i="14"/>
  <c r="F23" i="8"/>
  <c r="F24" i="8"/>
  <c r="F27" i="8"/>
  <c r="F28" i="8"/>
  <c r="F29" i="8"/>
  <c r="F32" i="8"/>
  <c r="BL19" i="1"/>
  <c r="BM19" i="1"/>
  <c r="BN19" i="1"/>
  <c r="BO19" i="1"/>
  <c r="BL28" i="1"/>
  <c r="BM28" i="1"/>
  <c r="BN28" i="1"/>
  <c r="BO28" i="1"/>
  <c r="F32" i="14"/>
  <c r="F57" i="14"/>
  <c r="F64" i="14"/>
  <c r="G23" i="8"/>
  <c r="G22" i="8"/>
  <c r="G24" i="8"/>
  <c r="G27" i="8"/>
  <c r="G28" i="8"/>
  <c r="G29" i="8"/>
  <c r="G32" i="8"/>
  <c r="L24" i="6"/>
  <c r="J5" i="6"/>
  <c r="J19" i="6"/>
  <c r="P12" i="6"/>
  <c r="P13" i="6"/>
  <c r="M12" i="6"/>
  <c r="O12" i="6"/>
  <c r="D18" i="12"/>
  <c r="E18" i="12"/>
  <c r="F18" i="12"/>
  <c r="H18" i="12"/>
  <c r="G18" i="12"/>
  <c r="C19" i="12"/>
  <c r="J13" i="7"/>
  <c r="I13" i="7"/>
  <c r="K34" i="7"/>
  <c r="C13" i="7"/>
  <c r="D12" i="7"/>
  <c r="E12" i="7"/>
  <c r="B41" i="7"/>
  <c r="C41" i="7"/>
  <c r="F41" i="7"/>
  <c r="E41" i="7"/>
  <c r="D41" i="7"/>
  <c r="G12" i="7"/>
  <c r="F12" i="7"/>
  <c r="E25" i="9"/>
  <c r="C7" i="9"/>
  <c r="C5" i="9"/>
  <c r="E23" i="4"/>
  <c r="K12" i="4"/>
  <c r="I12" i="4"/>
  <c r="G12" i="4"/>
  <c r="E12" i="4"/>
  <c r="C12" i="4"/>
  <c r="D27" i="4"/>
  <c r="I22" i="4"/>
  <c r="K22" i="4"/>
  <c r="K20" i="4"/>
  <c r="I20" i="4"/>
  <c r="E20" i="4"/>
  <c r="C20" i="4"/>
  <c r="E16" i="4"/>
  <c r="G16" i="4"/>
  <c r="I16" i="4"/>
  <c r="B41" i="4"/>
  <c r="C7" i="4"/>
  <c r="C18" i="4"/>
  <c r="C5" i="4"/>
  <c r="C6" i="4"/>
  <c r="C9" i="4"/>
  <c r="C10" i="4"/>
  <c r="C15" i="4"/>
  <c r="C8" i="4"/>
  <c r="C22" i="4"/>
  <c r="E7" i="4"/>
  <c r="E8" i="4"/>
  <c r="E18" i="4"/>
  <c r="E15" i="4"/>
  <c r="E10" i="4"/>
  <c r="E9" i="4"/>
  <c r="E6" i="4"/>
  <c r="E5" i="4"/>
  <c r="C11" i="4"/>
  <c r="E11" i="4"/>
  <c r="G11" i="4"/>
  <c r="G5" i="4"/>
  <c r="F27" i="4"/>
  <c r="G6" i="4"/>
  <c r="G7" i="4"/>
  <c r="G8" i="4"/>
  <c r="G9" i="4"/>
  <c r="G15" i="4"/>
  <c r="G18" i="4"/>
  <c r="C19" i="4"/>
  <c r="C14" i="4"/>
  <c r="G23" i="4"/>
  <c r="G22" i="4"/>
  <c r="E22" i="4"/>
  <c r="E14" i="4"/>
  <c r="E19" i="4"/>
  <c r="E17" i="4"/>
  <c r="G17" i="4"/>
  <c r="G19" i="4"/>
  <c r="G14" i="4"/>
  <c r="D47" i="4"/>
  <c r="E46" i="4"/>
  <c r="E45" i="4"/>
  <c r="E47" i="4"/>
  <c r="F46" i="4"/>
  <c r="F45" i="4"/>
  <c r="F47" i="4"/>
  <c r="I11" i="4"/>
  <c r="K11" i="4"/>
  <c r="I7" i="4"/>
  <c r="I8" i="4"/>
  <c r="I9" i="4"/>
  <c r="I15" i="4"/>
  <c r="I5" i="4"/>
  <c r="I6" i="4"/>
  <c r="K5" i="4"/>
  <c r="K6" i="4"/>
  <c r="K15" i="4"/>
  <c r="K10" i="4"/>
  <c r="K9" i="4"/>
  <c r="K8" i="4"/>
  <c r="K7" i="4"/>
  <c r="I23" i="4"/>
  <c r="K17" i="4"/>
  <c r="K19" i="4"/>
  <c r="K14" i="4"/>
  <c r="I19" i="4"/>
  <c r="I17" i="4"/>
  <c r="I14" i="4"/>
  <c r="H53" i="4"/>
  <c r="H52" i="4"/>
  <c r="H54" i="4"/>
  <c r="G53" i="4"/>
  <c r="G52" i="4"/>
  <c r="G54" i="4"/>
  <c r="AE46" i="1"/>
  <c r="AF46" i="1"/>
  <c r="AG46" i="1"/>
  <c r="AH46" i="1"/>
  <c r="AI46" i="1"/>
  <c r="AJ46" i="1"/>
  <c r="AK46" i="1"/>
  <c r="AL46" i="1"/>
  <c r="AM46" i="1"/>
  <c r="AN46" i="1"/>
  <c r="AO46" i="1"/>
  <c r="AP46" i="1"/>
  <c r="I10" i="1"/>
  <c r="AE50" i="1"/>
  <c r="F58" i="1"/>
  <c r="Q46" i="1"/>
  <c r="R46" i="1"/>
  <c r="S46" i="1"/>
  <c r="T46" i="1"/>
  <c r="U46" i="1"/>
  <c r="V46" i="1"/>
  <c r="W46" i="1"/>
  <c r="X46" i="1"/>
  <c r="Y46" i="1"/>
  <c r="Z46" i="1"/>
  <c r="AA46" i="1"/>
  <c r="AB46" i="1"/>
  <c r="Q50" i="1"/>
  <c r="E58" i="1"/>
  <c r="F59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AS50" i="1"/>
  <c r="G58" i="1"/>
  <c r="G59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G50" i="1"/>
  <c r="H58" i="1"/>
  <c r="H59" i="1"/>
  <c r="D46" i="1"/>
  <c r="E46" i="1"/>
  <c r="F46" i="1"/>
  <c r="G46" i="1"/>
  <c r="H46" i="1"/>
  <c r="I46" i="1"/>
  <c r="J46" i="1"/>
  <c r="K46" i="1"/>
  <c r="L46" i="1"/>
  <c r="M46" i="1"/>
  <c r="N46" i="1"/>
  <c r="C50" i="1"/>
  <c r="D58" i="1"/>
  <c r="E59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E41" i="1"/>
  <c r="F57" i="1"/>
  <c r="Q37" i="1"/>
  <c r="R37" i="1"/>
  <c r="S37" i="1"/>
  <c r="T37" i="1"/>
  <c r="U37" i="1"/>
  <c r="V37" i="1"/>
  <c r="W37" i="1"/>
  <c r="X37" i="1"/>
  <c r="Y37" i="1"/>
  <c r="Z37" i="1"/>
  <c r="AA37" i="1"/>
  <c r="AB37" i="1"/>
  <c r="Q41" i="1"/>
  <c r="E57" i="1"/>
  <c r="F55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AS41" i="1"/>
  <c r="G57" i="1"/>
  <c r="G55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G41" i="1"/>
  <c r="H57" i="1"/>
  <c r="H55" i="1"/>
  <c r="D57" i="1"/>
  <c r="E55" i="1"/>
  <c r="G75" i="1"/>
  <c r="H75" i="1"/>
  <c r="I75" i="1"/>
  <c r="J75" i="1"/>
  <c r="E9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68" i="1"/>
  <c r="E68" i="1"/>
  <c r="F68" i="1"/>
  <c r="G68" i="1"/>
  <c r="H68" i="1"/>
  <c r="D69" i="1"/>
  <c r="E69" i="1"/>
  <c r="F69" i="1"/>
  <c r="G69" i="1"/>
  <c r="H69" i="1"/>
  <c r="D70" i="1"/>
  <c r="E70" i="1"/>
  <c r="F70" i="1"/>
  <c r="G70" i="1"/>
  <c r="H70" i="1"/>
  <c r="D71" i="1"/>
  <c r="E71" i="1"/>
  <c r="F71" i="1"/>
  <c r="G71" i="1"/>
  <c r="H71" i="1"/>
  <c r="D72" i="1"/>
  <c r="E72" i="1"/>
  <c r="F72" i="1"/>
  <c r="G72" i="1"/>
  <c r="H72" i="1"/>
  <c r="M8" i="1"/>
  <c r="I11" i="1"/>
  <c r="L10" i="1"/>
  <c r="M10" i="1"/>
  <c r="L9" i="1"/>
  <c r="L7" i="1"/>
  <c r="M7" i="1"/>
  <c r="M9" i="1"/>
  <c r="D79" i="1"/>
  <c r="L79" i="1"/>
  <c r="J79" i="1"/>
  <c r="H79" i="1"/>
  <c r="F79" i="1"/>
  <c r="E7" i="1"/>
  <c r="E8" i="1"/>
  <c r="E10" i="1"/>
  <c r="E11" i="1"/>
  <c r="E12" i="1"/>
  <c r="E13" i="1"/>
  <c r="C53" i="1"/>
  <c r="AE53" i="1"/>
  <c r="Q53" i="1"/>
  <c r="C5" i="1"/>
  <c r="C3" i="1"/>
  <c r="J8" i="1"/>
  <c r="H11" i="1"/>
  <c r="C73" i="1"/>
  <c r="C84" i="1"/>
  <c r="G85" i="1"/>
  <c r="E85" i="1"/>
  <c r="C85" i="1"/>
  <c r="G84" i="1"/>
  <c r="G83" i="1"/>
  <c r="G82" i="1"/>
  <c r="E82" i="1"/>
  <c r="AS53" i="1"/>
  <c r="K85" i="1"/>
  <c r="I85" i="1"/>
  <c r="K84" i="1"/>
  <c r="I84" i="1"/>
  <c r="K83" i="1"/>
  <c r="K82" i="1"/>
  <c r="I82" i="1"/>
  <c r="BW14" i="2"/>
  <c r="BW23" i="2"/>
  <c r="BW24" i="2"/>
  <c r="BX14" i="2"/>
  <c r="BX23" i="2"/>
  <c r="BX24" i="2"/>
  <c r="BY14" i="2"/>
  <c r="BY23" i="2"/>
  <c r="BY24" i="2"/>
  <c r="BZ14" i="2"/>
  <c r="BZ23" i="2"/>
  <c r="BZ24" i="2"/>
  <c r="CA14" i="2"/>
  <c r="CA23" i="2"/>
  <c r="CA24" i="2"/>
  <c r="CB14" i="2"/>
  <c r="CB23" i="2"/>
  <c r="CB24" i="2"/>
  <c r="CC14" i="2"/>
  <c r="CC23" i="2"/>
  <c r="CC24" i="2"/>
  <c r="CD14" i="2"/>
  <c r="CD23" i="2"/>
  <c r="CD24" i="2"/>
  <c r="CE14" i="2"/>
  <c r="CE23" i="2"/>
  <c r="CE24" i="2"/>
  <c r="CF14" i="2"/>
  <c r="CF23" i="2"/>
  <c r="CF24" i="2"/>
  <c r="CG14" i="2"/>
  <c r="CG23" i="2"/>
  <c r="CG24" i="2"/>
  <c r="CH14" i="2"/>
  <c r="CH23" i="2"/>
  <c r="CH24" i="2"/>
  <c r="CH76" i="2"/>
  <c r="BY101" i="2"/>
  <c r="BX101" i="2"/>
  <c r="BY93" i="2"/>
  <c r="BX93" i="2"/>
  <c r="BZ101" i="2"/>
  <c r="CA101" i="2"/>
  <c r="O4" i="2"/>
  <c r="CJ10" i="2"/>
  <c r="CJ14" i="2"/>
  <c r="CB101" i="2"/>
  <c r="Q24" i="2"/>
  <c r="T10" i="2"/>
  <c r="W9" i="2"/>
  <c r="AJ9" i="2"/>
  <c r="BK9" i="2"/>
  <c r="BX9" i="2"/>
  <c r="X9" i="2"/>
  <c r="AK9" i="2"/>
  <c r="BL9" i="2"/>
  <c r="BY9" i="2"/>
  <c r="Y9" i="2"/>
  <c r="AL9" i="2"/>
  <c r="BM9" i="2"/>
  <c r="BZ9" i="2"/>
  <c r="Z9" i="2"/>
  <c r="AM9" i="2"/>
  <c r="BN9" i="2"/>
  <c r="CA9" i="2"/>
  <c r="AA9" i="2"/>
  <c r="AN9" i="2"/>
  <c r="BO9" i="2"/>
  <c r="CB9" i="2"/>
  <c r="AB9" i="2"/>
  <c r="AO9" i="2"/>
  <c r="BP9" i="2"/>
  <c r="CC9" i="2"/>
  <c r="AC9" i="2"/>
  <c r="AP9" i="2"/>
  <c r="BQ9" i="2"/>
  <c r="CD9" i="2"/>
  <c r="AD9" i="2"/>
  <c r="AQ9" i="2"/>
  <c r="BR9" i="2"/>
  <c r="CE9" i="2"/>
  <c r="AE9" i="2"/>
  <c r="AR9" i="2"/>
  <c r="BS9" i="2"/>
  <c r="CF9" i="2"/>
  <c r="AF9" i="2"/>
  <c r="AS9" i="2"/>
  <c r="BT9" i="2"/>
  <c r="CG9" i="2"/>
  <c r="AG9" i="2"/>
  <c r="AT9" i="2"/>
  <c r="BU9" i="2"/>
  <c r="CH9" i="2"/>
  <c r="AI9" i="2"/>
  <c r="BJ9" i="2"/>
  <c r="BW9" i="2"/>
  <c r="AZ9" i="2"/>
  <c r="BA9" i="2"/>
  <c r="BB9" i="2"/>
  <c r="BC9" i="2"/>
  <c r="BD9" i="2"/>
  <c r="BE9" i="2"/>
  <c r="BF9" i="2"/>
  <c r="BG9" i="2"/>
  <c r="BH9" i="2"/>
  <c r="AX9" i="2"/>
  <c r="AY9" i="2"/>
  <c r="AW9" i="2"/>
  <c r="T11" i="2"/>
  <c r="T12" i="2"/>
  <c r="T15" i="2"/>
  <c r="T16" i="2"/>
  <c r="T17" i="2"/>
  <c r="T18" i="2"/>
  <c r="T19" i="2"/>
  <c r="T20" i="2"/>
  <c r="T21" i="2"/>
  <c r="T22" i="2"/>
  <c r="T25" i="2"/>
  <c r="Q25" i="2"/>
  <c r="T26" i="2"/>
  <c r="Q26" i="2"/>
  <c r="T27" i="2"/>
  <c r="Q27" i="2"/>
  <c r="T28" i="2"/>
  <c r="Q28" i="2"/>
  <c r="T29" i="2"/>
  <c r="Q29" i="2"/>
  <c r="T30" i="2"/>
  <c r="Q30" i="2"/>
  <c r="T31" i="2"/>
  <c r="Q31" i="2"/>
  <c r="T32" i="2"/>
  <c r="Q32" i="2"/>
  <c r="T33" i="2"/>
  <c r="Q33" i="2"/>
  <c r="T34" i="2"/>
  <c r="Q34" i="2"/>
  <c r="T35" i="2"/>
  <c r="Q35" i="2"/>
  <c r="T36" i="2"/>
  <c r="Q36" i="2"/>
  <c r="T37" i="2"/>
  <c r="Q37" i="2"/>
  <c r="T38" i="2"/>
  <c r="Q38" i="2"/>
  <c r="T39" i="2"/>
  <c r="Q39" i="2"/>
  <c r="T40" i="2"/>
  <c r="Q40" i="2"/>
  <c r="T41" i="2"/>
  <c r="Q41" i="2"/>
  <c r="T42" i="2"/>
  <c r="Q42" i="2"/>
  <c r="T43" i="2"/>
  <c r="Q43" i="2"/>
  <c r="T44" i="2"/>
  <c r="Q44" i="2"/>
  <c r="T45" i="2"/>
  <c r="Q45" i="2"/>
  <c r="T46" i="2"/>
  <c r="Q46" i="2"/>
  <c r="T47" i="2"/>
  <c r="Q47" i="2"/>
  <c r="T48" i="2"/>
  <c r="Q48" i="2"/>
  <c r="T49" i="2"/>
  <c r="Q49" i="2"/>
  <c r="T50" i="2"/>
  <c r="Q50" i="2"/>
  <c r="T51" i="2"/>
  <c r="Q51" i="2"/>
  <c r="T52" i="2"/>
  <c r="Q52" i="2"/>
  <c r="T53" i="2"/>
  <c r="Q53" i="2"/>
  <c r="T54" i="2"/>
  <c r="Q54" i="2"/>
  <c r="T55" i="2"/>
  <c r="Q55" i="2"/>
  <c r="T56" i="2"/>
  <c r="Q56" i="2"/>
  <c r="T57" i="2"/>
  <c r="Q57" i="2"/>
  <c r="T58" i="2"/>
  <c r="Q58" i="2"/>
  <c r="T59" i="2"/>
  <c r="Q59" i="2"/>
  <c r="T60" i="2"/>
  <c r="Q60" i="2"/>
  <c r="T61" i="2"/>
  <c r="Q61" i="2"/>
  <c r="T62" i="2"/>
  <c r="Q62" i="2"/>
  <c r="T63" i="2"/>
  <c r="Q63" i="2"/>
  <c r="T64" i="2"/>
  <c r="Q64" i="2"/>
  <c r="T65" i="2"/>
  <c r="Q65" i="2"/>
  <c r="T66" i="2"/>
  <c r="Q66" i="2"/>
  <c r="T67" i="2"/>
  <c r="Q67" i="2"/>
  <c r="T68" i="2"/>
  <c r="Q68" i="2"/>
  <c r="T69" i="2"/>
  <c r="Q69" i="2"/>
  <c r="T70" i="2"/>
  <c r="Q70" i="2"/>
  <c r="T71" i="2"/>
  <c r="Q71" i="2"/>
  <c r="T72" i="2"/>
  <c r="Q72" i="2"/>
  <c r="T73" i="2"/>
  <c r="Q73" i="2"/>
  <c r="T74" i="2"/>
  <c r="Q74" i="2"/>
  <c r="T75" i="2"/>
  <c r="Q75" i="2"/>
  <c r="T13" i="2"/>
  <c r="AT75" i="2"/>
  <c r="BU75" i="2"/>
  <c r="CH75" i="2"/>
  <c r="AS75" i="2"/>
  <c r="BT75" i="2"/>
  <c r="CG75" i="2"/>
  <c r="AR75" i="2"/>
  <c r="BS75" i="2"/>
  <c r="CF75" i="2"/>
  <c r="AQ75" i="2"/>
  <c r="BR75" i="2"/>
  <c r="CE75" i="2"/>
  <c r="AP75" i="2"/>
  <c r="BQ75" i="2"/>
  <c r="CD75" i="2"/>
  <c r="AO75" i="2"/>
  <c r="BP75" i="2"/>
  <c r="CC75" i="2"/>
  <c r="AN75" i="2"/>
  <c r="BO75" i="2"/>
  <c r="CB75" i="2"/>
  <c r="AM75" i="2"/>
  <c r="BN75" i="2"/>
  <c r="CA75" i="2"/>
  <c r="AL75" i="2"/>
  <c r="BM75" i="2"/>
  <c r="BZ75" i="2"/>
  <c r="AK75" i="2"/>
  <c r="BL75" i="2"/>
  <c r="BY75" i="2"/>
  <c r="AJ75" i="2"/>
  <c r="BK75" i="2"/>
  <c r="BX75" i="2"/>
  <c r="AI75" i="2"/>
  <c r="BJ75" i="2"/>
  <c r="BW75" i="2"/>
  <c r="AT74" i="2"/>
  <c r="BU74" i="2"/>
  <c r="CH74" i="2"/>
  <c r="AS74" i="2"/>
  <c r="BT74" i="2"/>
  <c r="CG74" i="2"/>
  <c r="AR74" i="2"/>
  <c r="BS74" i="2"/>
  <c r="CF74" i="2"/>
  <c r="AQ74" i="2"/>
  <c r="BR74" i="2"/>
  <c r="CE74" i="2"/>
  <c r="AP74" i="2"/>
  <c r="BQ74" i="2"/>
  <c r="CD74" i="2"/>
  <c r="AO74" i="2"/>
  <c r="BP74" i="2"/>
  <c r="CC74" i="2"/>
  <c r="AN74" i="2"/>
  <c r="BO74" i="2"/>
  <c r="CB74" i="2"/>
  <c r="AM74" i="2"/>
  <c r="BN74" i="2"/>
  <c r="CA74" i="2"/>
  <c r="AL74" i="2"/>
  <c r="BM74" i="2"/>
  <c r="BZ74" i="2"/>
  <c r="AK74" i="2"/>
  <c r="BL74" i="2"/>
  <c r="BY74" i="2"/>
  <c r="AJ74" i="2"/>
  <c r="BK74" i="2"/>
  <c r="BX74" i="2"/>
  <c r="AI74" i="2"/>
  <c r="BJ74" i="2"/>
  <c r="BW74" i="2"/>
  <c r="AT73" i="2"/>
  <c r="BU73" i="2"/>
  <c r="CH73" i="2"/>
  <c r="AS73" i="2"/>
  <c r="BT73" i="2"/>
  <c r="CG73" i="2"/>
  <c r="AR73" i="2"/>
  <c r="BS73" i="2"/>
  <c r="CF73" i="2"/>
  <c r="AQ73" i="2"/>
  <c r="BR73" i="2"/>
  <c r="CE73" i="2"/>
  <c r="AP73" i="2"/>
  <c r="BQ73" i="2"/>
  <c r="CD73" i="2"/>
  <c r="AO73" i="2"/>
  <c r="BP73" i="2"/>
  <c r="CC73" i="2"/>
  <c r="AN73" i="2"/>
  <c r="BO73" i="2"/>
  <c r="CB73" i="2"/>
  <c r="AM73" i="2"/>
  <c r="BN73" i="2"/>
  <c r="CA73" i="2"/>
  <c r="AL73" i="2"/>
  <c r="BM73" i="2"/>
  <c r="BZ73" i="2"/>
  <c r="AK73" i="2"/>
  <c r="BL73" i="2"/>
  <c r="BY73" i="2"/>
  <c r="AJ73" i="2"/>
  <c r="BK73" i="2"/>
  <c r="BX73" i="2"/>
  <c r="AI73" i="2"/>
  <c r="BJ73" i="2"/>
  <c r="BW73" i="2"/>
  <c r="AT72" i="2"/>
  <c r="BU72" i="2"/>
  <c r="CH72" i="2"/>
  <c r="AS72" i="2"/>
  <c r="BT72" i="2"/>
  <c r="CG72" i="2"/>
  <c r="AR72" i="2"/>
  <c r="BS72" i="2"/>
  <c r="CF72" i="2"/>
  <c r="AQ72" i="2"/>
  <c r="BR72" i="2"/>
  <c r="CE72" i="2"/>
  <c r="AP72" i="2"/>
  <c r="BQ72" i="2"/>
  <c r="CD72" i="2"/>
  <c r="AO72" i="2"/>
  <c r="BP72" i="2"/>
  <c r="CC72" i="2"/>
  <c r="AN72" i="2"/>
  <c r="BO72" i="2"/>
  <c r="CB72" i="2"/>
  <c r="AM72" i="2"/>
  <c r="BN72" i="2"/>
  <c r="CA72" i="2"/>
  <c r="AL72" i="2"/>
  <c r="BM72" i="2"/>
  <c r="BZ72" i="2"/>
  <c r="AK72" i="2"/>
  <c r="BL72" i="2"/>
  <c r="BY72" i="2"/>
  <c r="AJ72" i="2"/>
  <c r="BK72" i="2"/>
  <c r="BX72" i="2"/>
  <c r="AI72" i="2"/>
  <c r="BJ72" i="2"/>
  <c r="BW72" i="2"/>
  <c r="AT71" i="2"/>
  <c r="BU71" i="2"/>
  <c r="CH71" i="2"/>
  <c r="AS71" i="2"/>
  <c r="BT71" i="2"/>
  <c r="CG71" i="2"/>
  <c r="AR71" i="2"/>
  <c r="BS71" i="2"/>
  <c r="CF71" i="2"/>
  <c r="AQ71" i="2"/>
  <c r="BR71" i="2"/>
  <c r="CE71" i="2"/>
  <c r="AP71" i="2"/>
  <c r="BQ71" i="2"/>
  <c r="CD71" i="2"/>
  <c r="AO71" i="2"/>
  <c r="BP71" i="2"/>
  <c r="CC71" i="2"/>
  <c r="AN71" i="2"/>
  <c r="BO71" i="2"/>
  <c r="CB71" i="2"/>
  <c r="AM71" i="2"/>
  <c r="BN71" i="2"/>
  <c r="CA71" i="2"/>
  <c r="AL71" i="2"/>
  <c r="BM71" i="2"/>
  <c r="BZ71" i="2"/>
  <c r="AK71" i="2"/>
  <c r="BL71" i="2"/>
  <c r="BY71" i="2"/>
  <c r="AJ71" i="2"/>
  <c r="BK71" i="2"/>
  <c r="BX71" i="2"/>
  <c r="AI71" i="2"/>
  <c r="BJ71" i="2"/>
  <c r="BW71" i="2"/>
  <c r="AT70" i="2"/>
  <c r="BU70" i="2"/>
  <c r="CH70" i="2"/>
  <c r="AS70" i="2"/>
  <c r="BT70" i="2"/>
  <c r="CG70" i="2"/>
  <c r="AR70" i="2"/>
  <c r="BS70" i="2"/>
  <c r="CF70" i="2"/>
  <c r="AQ70" i="2"/>
  <c r="BR70" i="2"/>
  <c r="CE70" i="2"/>
  <c r="AP70" i="2"/>
  <c r="BQ70" i="2"/>
  <c r="CD70" i="2"/>
  <c r="AO70" i="2"/>
  <c r="BP70" i="2"/>
  <c r="CC70" i="2"/>
  <c r="AN70" i="2"/>
  <c r="BO70" i="2"/>
  <c r="CB70" i="2"/>
  <c r="AM70" i="2"/>
  <c r="BN70" i="2"/>
  <c r="CA70" i="2"/>
  <c r="AL70" i="2"/>
  <c r="BM70" i="2"/>
  <c r="BZ70" i="2"/>
  <c r="AK70" i="2"/>
  <c r="BL70" i="2"/>
  <c r="BY70" i="2"/>
  <c r="AJ70" i="2"/>
  <c r="BK70" i="2"/>
  <c r="BX70" i="2"/>
  <c r="AI70" i="2"/>
  <c r="BJ70" i="2"/>
  <c r="BW70" i="2"/>
  <c r="AT69" i="2"/>
  <c r="BU69" i="2"/>
  <c r="CH69" i="2"/>
  <c r="AS69" i="2"/>
  <c r="BT69" i="2"/>
  <c r="CG69" i="2"/>
  <c r="AR69" i="2"/>
  <c r="BS69" i="2"/>
  <c r="CF69" i="2"/>
  <c r="AQ69" i="2"/>
  <c r="BR69" i="2"/>
  <c r="CE69" i="2"/>
  <c r="AP69" i="2"/>
  <c r="BQ69" i="2"/>
  <c r="CD69" i="2"/>
  <c r="AO69" i="2"/>
  <c r="BP69" i="2"/>
  <c r="CC69" i="2"/>
  <c r="AN69" i="2"/>
  <c r="BO69" i="2"/>
  <c r="CB69" i="2"/>
  <c r="AM69" i="2"/>
  <c r="BN69" i="2"/>
  <c r="CA69" i="2"/>
  <c r="AL69" i="2"/>
  <c r="BM69" i="2"/>
  <c r="BZ69" i="2"/>
  <c r="AK69" i="2"/>
  <c r="BL69" i="2"/>
  <c r="BY69" i="2"/>
  <c r="AJ69" i="2"/>
  <c r="BK69" i="2"/>
  <c r="BX69" i="2"/>
  <c r="AI69" i="2"/>
  <c r="BJ69" i="2"/>
  <c r="BW69" i="2"/>
  <c r="AT68" i="2"/>
  <c r="BU68" i="2"/>
  <c r="CH68" i="2"/>
  <c r="AS68" i="2"/>
  <c r="BT68" i="2"/>
  <c r="CG68" i="2"/>
  <c r="AR68" i="2"/>
  <c r="BS68" i="2"/>
  <c r="CF68" i="2"/>
  <c r="AQ68" i="2"/>
  <c r="BR68" i="2"/>
  <c r="CE68" i="2"/>
  <c r="AP68" i="2"/>
  <c r="BQ68" i="2"/>
  <c r="CD68" i="2"/>
  <c r="AO68" i="2"/>
  <c r="BP68" i="2"/>
  <c r="CC68" i="2"/>
  <c r="AN68" i="2"/>
  <c r="BO68" i="2"/>
  <c r="CB68" i="2"/>
  <c r="AM68" i="2"/>
  <c r="BN68" i="2"/>
  <c r="CA68" i="2"/>
  <c r="AL68" i="2"/>
  <c r="BM68" i="2"/>
  <c r="BZ68" i="2"/>
  <c r="AK68" i="2"/>
  <c r="BL68" i="2"/>
  <c r="BY68" i="2"/>
  <c r="AJ68" i="2"/>
  <c r="BK68" i="2"/>
  <c r="BX68" i="2"/>
  <c r="AI68" i="2"/>
  <c r="BJ68" i="2"/>
  <c r="BW68" i="2"/>
  <c r="AT67" i="2"/>
  <c r="BU67" i="2"/>
  <c r="CH67" i="2"/>
  <c r="AS67" i="2"/>
  <c r="BT67" i="2"/>
  <c r="CG67" i="2"/>
  <c r="AR67" i="2"/>
  <c r="BS67" i="2"/>
  <c r="CF67" i="2"/>
  <c r="AQ67" i="2"/>
  <c r="BR67" i="2"/>
  <c r="CE67" i="2"/>
  <c r="AP67" i="2"/>
  <c r="BQ67" i="2"/>
  <c r="CD67" i="2"/>
  <c r="AO67" i="2"/>
  <c r="BP67" i="2"/>
  <c r="CC67" i="2"/>
  <c r="AN67" i="2"/>
  <c r="BO67" i="2"/>
  <c r="CB67" i="2"/>
  <c r="AM67" i="2"/>
  <c r="BN67" i="2"/>
  <c r="CA67" i="2"/>
  <c r="AL67" i="2"/>
  <c r="BM67" i="2"/>
  <c r="BZ67" i="2"/>
  <c r="AK67" i="2"/>
  <c r="BL67" i="2"/>
  <c r="BY67" i="2"/>
  <c r="AJ67" i="2"/>
  <c r="BK67" i="2"/>
  <c r="BX67" i="2"/>
  <c r="AI67" i="2"/>
  <c r="BJ67" i="2"/>
  <c r="BW67" i="2"/>
  <c r="AT66" i="2"/>
  <c r="BU66" i="2"/>
  <c r="CH66" i="2"/>
  <c r="AS66" i="2"/>
  <c r="BT66" i="2"/>
  <c r="CG66" i="2"/>
  <c r="AR66" i="2"/>
  <c r="BS66" i="2"/>
  <c r="CF66" i="2"/>
  <c r="AQ66" i="2"/>
  <c r="BR66" i="2"/>
  <c r="CE66" i="2"/>
  <c r="AP66" i="2"/>
  <c r="BQ66" i="2"/>
  <c r="CD66" i="2"/>
  <c r="AO66" i="2"/>
  <c r="BP66" i="2"/>
  <c r="CC66" i="2"/>
  <c r="AN66" i="2"/>
  <c r="BO66" i="2"/>
  <c r="CB66" i="2"/>
  <c r="AM66" i="2"/>
  <c r="BN66" i="2"/>
  <c r="CA66" i="2"/>
  <c r="AL66" i="2"/>
  <c r="BM66" i="2"/>
  <c r="BZ66" i="2"/>
  <c r="AK66" i="2"/>
  <c r="BL66" i="2"/>
  <c r="BY66" i="2"/>
  <c r="AJ66" i="2"/>
  <c r="BK66" i="2"/>
  <c r="BX66" i="2"/>
  <c r="AI66" i="2"/>
  <c r="BJ66" i="2"/>
  <c r="BW66" i="2"/>
  <c r="AT65" i="2"/>
  <c r="BU65" i="2"/>
  <c r="CH65" i="2"/>
  <c r="AS65" i="2"/>
  <c r="BT65" i="2"/>
  <c r="CG65" i="2"/>
  <c r="AR65" i="2"/>
  <c r="BS65" i="2"/>
  <c r="CF65" i="2"/>
  <c r="AQ65" i="2"/>
  <c r="BR65" i="2"/>
  <c r="CE65" i="2"/>
  <c r="AP65" i="2"/>
  <c r="BQ65" i="2"/>
  <c r="CD65" i="2"/>
  <c r="AO65" i="2"/>
  <c r="BP65" i="2"/>
  <c r="CC65" i="2"/>
  <c r="AN65" i="2"/>
  <c r="BO65" i="2"/>
  <c r="CB65" i="2"/>
  <c r="AM65" i="2"/>
  <c r="BN65" i="2"/>
  <c r="CA65" i="2"/>
  <c r="AL65" i="2"/>
  <c r="BM65" i="2"/>
  <c r="BZ65" i="2"/>
  <c r="AK65" i="2"/>
  <c r="BL65" i="2"/>
  <c r="BY65" i="2"/>
  <c r="AJ65" i="2"/>
  <c r="BK65" i="2"/>
  <c r="BX65" i="2"/>
  <c r="AI65" i="2"/>
  <c r="BJ65" i="2"/>
  <c r="BW65" i="2"/>
  <c r="AT64" i="2"/>
  <c r="BU64" i="2"/>
  <c r="CH64" i="2"/>
  <c r="AS64" i="2"/>
  <c r="BT64" i="2"/>
  <c r="CG64" i="2"/>
  <c r="AR64" i="2"/>
  <c r="BS64" i="2"/>
  <c r="CF64" i="2"/>
  <c r="AQ64" i="2"/>
  <c r="BR64" i="2"/>
  <c r="CE64" i="2"/>
  <c r="AP64" i="2"/>
  <c r="BQ64" i="2"/>
  <c r="CD64" i="2"/>
  <c r="AO64" i="2"/>
  <c r="BP64" i="2"/>
  <c r="CC64" i="2"/>
  <c r="AN64" i="2"/>
  <c r="BO64" i="2"/>
  <c r="CB64" i="2"/>
  <c r="AM64" i="2"/>
  <c r="BN64" i="2"/>
  <c r="CA64" i="2"/>
  <c r="AL64" i="2"/>
  <c r="BM64" i="2"/>
  <c r="BZ64" i="2"/>
  <c r="AK64" i="2"/>
  <c r="BL64" i="2"/>
  <c r="BY64" i="2"/>
  <c r="AJ64" i="2"/>
  <c r="BK64" i="2"/>
  <c r="BX64" i="2"/>
  <c r="AI64" i="2"/>
  <c r="BJ64" i="2"/>
  <c r="BW64" i="2"/>
  <c r="AT63" i="2"/>
  <c r="BU63" i="2"/>
  <c r="CH63" i="2"/>
  <c r="AS63" i="2"/>
  <c r="BT63" i="2"/>
  <c r="CG63" i="2"/>
  <c r="AR63" i="2"/>
  <c r="BS63" i="2"/>
  <c r="CF63" i="2"/>
  <c r="AQ63" i="2"/>
  <c r="BR63" i="2"/>
  <c r="CE63" i="2"/>
  <c r="AP63" i="2"/>
  <c r="BQ63" i="2"/>
  <c r="CD63" i="2"/>
  <c r="AO63" i="2"/>
  <c r="BP63" i="2"/>
  <c r="CC63" i="2"/>
  <c r="AN63" i="2"/>
  <c r="BO63" i="2"/>
  <c r="CB63" i="2"/>
  <c r="AM63" i="2"/>
  <c r="BN63" i="2"/>
  <c r="CA63" i="2"/>
  <c r="AL63" i="2"/>
  <c r="BM63" i="2"/>
  <c r="BZ63" i="2"/>
  <c r="AK63" i="2"/>
  <c r="BL63" i="2"/>
  <c r="BY63" i="2"/>
  <c r="AJ63" i="2"/>
  <c r="BK63" i="2"/>
  <c r="BX63" i="2"/>
  <c r="AI63" i="2"/>
  <c r="BJ63" i="2"/>
  <c r="BW63" i="2"/>
  <c r="AT62" i="2"/>
  <c r="BU62" i="2"/>
  <c r="CH62" i="2"/>
  <c r="AS62" i="2"/>
  <c r="BT62" i="2"/>
  <c r="CG62" i="2"/>
  <c r="AR62" i="2"/>
  <c r="BS62" i="2"/>
  <c r="CF62" i="2"/>
  <c r="AQ62" i="2"/>
  <c r="BR62" i="2"/>
  <c r="CE62" i="2"/>
  <c r="AP62" i="2"/>
  <c r="BQ62" i="2"/>
  <c r="CD62" i="2"/>
  <c r="AO62" i="2"/>
  <c r="BP62" i="2"/>
  <c r="CC62" i="2"/>
  <c r="AN62" i="2"/>
  <c r="BO62" i="2"/>
  <c r="CB62" i="2"/>
  <c r="AM62" i="2"/>
  <c r="BN62" i="2"/>
  <c r="CA62" i="2"/>
  <c r="AL62" i="2"/>
  <c r="BM62" i="2"/>
  <c r="BZ62" i="2"/>
  <c r="AK62" i="2"/>
  <c r="BL62" i="2"/>
  <c r="BY62" i="2"/>
  <c r="AJ62" i="2"/>
  <c r="BK62" i="2"/>
  <c r="BX62" i="2"/>
  <c r="AI62" i="2"/>
  <c r="BJ62" i="2"/>
  <c r="BW62" i="2"/>
  <c r="AT61" i="2"/>
  <c r="BU61" i="2"/>
  <c r="CH61" i="2"/>
  <c r="AS61" i="2"/>
  <c r="BT61" i="2"/>
  <c r="CG61" i="2"/>
  <c r="AR61" i="2"/>
  <c r="BS61" i="2"/>
  <c r="CF61" i="2"/>
  <c r="AQ61" i="2"/>
  <c r="BR61" i="2"/>
  <c r="CE61" i="2"/>
  <c r="AP61" i="2"/>
  <c r="BQ61" i="2"/>
  <c r="CD61" i="2"/>
  <c r="AO61" i="2"/>
  <c r="BP61" i="2"/>
  <c r="CC61" i="2"/>
  <c r="AN61" i="2"/>
  <c r="BO61" i="2"/>
  <c r="CB61" i="2"/>
  <c r="AM61" i="2"/>
  <c r="BN61" i="2"/>
  <c r="CA61" i="2"/>
  <c r="AL61" i="2"/>
  <c r="BM61" i="2"/>
  <c r="BZ61" i="2"/>
  <c r="AK61" i="2"/>
  <c r="BL61" i="2"/>
  <c r="BY61" i="2"/>
  <c r="AJ61" i="2"/>
  <c r="BK61" i="2"/>
  <c r="BX61" i="2"/>
  <c r="AI61" i="2"/>
  <c r="BJ61" i="2"/>
  <c r="BW61" i="2"/>
  <c r="AT60" i="2"/>
  <c r="BU60" i="2"/>
  <c r="CH60" i="2"/>
  <c r="AS60" i="2"/>
  <c r="BT60" i="2"/>
  <c r="CG60" i="2"/>
  <c r="AR60" i="2"/>
  <c r="BS60" i="2"/>
  <c r="CF60" i="2"/>
  <c r="AQ60" i="2"/>
  <c r="BR60" i="2"/>
  <c r="CE60" i="2"/>
  <c r="AP60" i="2"/>
  <c r="BQ60" i="2"/>
  <c r="CD60" i="2"/>
  <c r="AO60" i="2"/>
  <c r="BP60" i="2"/>
  <c r="CC60" i="2"/>
  <c r="AN60" i="2"/>
  <c r="BO60" i="2"/>
  <c r="CB60" i="2"/>
  <c r="AM60" i="2"/>
  <c r="BN60" i="2"/>
  <c r="CA60" i="2"/>
  <c r="AL60" i="2"/>
  <c r="BM60" i="2"/>
  <c r="BZ60" i="2"/>
  <c r="AK60" i="2"/>
  <c r="BL60" i="2"/>
  <c r="BY60" i="2"/>
  <c r="AJ60" i="2"/>
  <c r="BK60" i="2"/>
  <c r="BX60" i="2"/>
  <c r="AI60" i="2"/>
  <c r="BJ60" i="2"/>
  <c r="BW60" i="2"/>
  <c r="AT59" i="2"/>
  <c r="BU59" i="2"/>
  <c r="CH59" i="2"/>
  <c r="AS59" i="2"/>
  <c r="BT59" i="2"/>
  <c r="CG59" i="2"/>
  <c r="AR59" i="2"/>
  <c r="BS59" i="2"/>
  <c r="CF59" i="2"/>
  <c r="AQ59" i="2"/>
  <c r="BR59" i="2"/>
  <c r="CE59" i="2"/>
  <c r="AP59" i="2"/>
  <c r="BQ59" i="2"/>
  <c r="CD59" i="2"/>
  <c r="AO59" i="2"/>
  <c r="BP59" i="2"/>
  <c r="CC59" i="2"/>
  <c r="AN59" i="2"/>
  <c r="BO59" i="2"/>
  <c r="CB59" i="2"/>
  <c r="AM59" i="2"/>
  <c r="BN59" i="2"/>
  <c r="CA59" i="2"/>
  <c r="AL59" i="2"/>
  <c r="BM59" i="2"/>
  <c r="BZ59" i="2"/>
  <c r="AK59" i="2"/>
  <c r="BL59" i="2"/>
  <c r="BY59" i="2"/>
  <c r="AJ59" i="2"/>
  <c r="BK59" i="2"/>
  <c r="BX59" i="2"/>
  <c r="AI59" i="2"/>
  <c r="BJ59" i="2"/>
  <c r="BW59" i="2"/>
  <c r="AT58" i="2"/>
  <c r="BU58" i="2"/>
  <c r="CH58" i="2"/>
  <c r="AS58" i="2"/>
  <c r="BT58" i="2"/>
  <c r="CG58" i="2"/>
  <c r="AR58" i="2"/>
  <c r="BS58" i="2"/>
  <c r="CF58" i="2"/>
  <c r="AQ58" i="2"/>
  <c r="BR58" i="2"/>
  <c r="CE58" i="2"/>
  <c r="AP58" i="2"/>
  <c r="BQ58" i="2"/>
  <c r="CD58" i="2"/>
  <c r="AO58" i="2"/>
  <c r="BP58" i="2"/>
  <c r="CC58" i="2"/>
  <c r="AN58" i="2"/>
  <c r="BO58" i="2"/>
  <c r="CB58" i="2"/>
  <c r="AM58" i="2"/>
  <c r="BN58" i="2"/>
  <c r="CA58" i="2"/>
  <c r="AL58" i="2"/>
  <c r="BM58" i="2"/>
  <c r="BZ58" i="2"/>
  <c r="AK58" i="2"/>
  <c r="BL58" i="2"/>
  <c r="BY58" i="2"/>
  <c r="AJ58" i="2"/>
  <c r="BK58" i="2"/>
  <c r="BX58" i="2"/>
  <c r="AI58" i="2"/>
  <c r="BJ58" i="2"/>
  <c r="BW58" i="2"/>
  <c r="AT57" i="2"/>
  <c r="BU57" i="2"/>
  <c r="CH57" i="2"/>
  <c r="AS57" i="2"/>
  <c r="BT57" i="2"/>
  <c r="CG57" i="2"/>
  <c r="AR57" i="2"/>
  <c r="BS57" i="2"/>
  <c r="CF57" i="2"/>
  <c r="AQ57" i="2"/>
  <c r="BR57" i="2"/>
  <c r="CE57" i="2"/>
  <c r="AP57" i="2"/>
  <c r="BQ57" i="2"/>
  <c r="CD57" i="2"/>
  <c r="AO57" i="2"/>
  <c r="BP57" i="2"/>
  <c r="CC57" i="2"/>
  <c r="AN57" i="2"/>
  <c r="BO57" i="2"/>
  <c r="CB57" i="2"/>
  <c r="AM57" i="2"/>
  <c r="BN57" i="2"/>
  <c r="CA57" i="2"/>
  <c r="AL57" i="2"/>
  <c r="BM57" i="2"/>
  <c r="BZ57" i="2"/>
  <c r="AK57" i="2"/>
  <c r="BL57" i="2"/>
  <c r="BY57" i="2"/>
  <c r="AJ57" i="2"/>
  <c r="BK57" i="2"/>
  <c r="BX57" i="2"/>
  <c r="AI57" i="2"/>
  <c r="BJ57" i="2"/>
  <c r="BW57" i="2"/>
  <c r="AT56" i="2"/>
  <c r="BU56" i="2"/>
  <c r="CH56" i="2"/>
  <c r="AS56" i="2"/>
  <c r="BT56" i="2"/>
  <c r="CG56" i="2"/>
  <c r="AR56" i="2"/>
  <c r="BS56" i="2"/>
  <c r="CF56" i="2"/>
  <c r="AQ56" i="2"/>
  <c r="BR56" i="2"/>
  <c r="CE56" i="2"/>
  <c r="AP56" i="2"/>
  <c r="BQ56" i="2"/>
  <c r="CD56" i="2"/>
  <c r="AO56" i="2"/>
  <c r="BP56" i="2"/>
  <c r="CC56" i="2"/>
  <c r="AN56" i="2"/>
  <c r="BO56" i="2"/>
  <c r="CB56" i="2"/>
  <c r="AM56" i="2"/>
  <c r="BN56" i="2"/>
  <c r="CA56" i="2"/>
  <c r="AL56" i="2"/>
  <c r="BM56" i="2"/>
  <c r="BZ56" i="2"/>
  <c r="AK56" i="2"/>
  <c r="BL56" i="2"/>
  <c r="BY56" i="2"/>
  <c r="AJ56" i="2"/>
  <c r="BK56" i="2"/>
  <c r="BX56" i="2"/>
  <c r="AI56" i="2"/>
  <c r="BJ56" i="2"/>
  <c r="BW56" i="2"/>
  <c r="AT55" i="2"/>
  <c r="BU55" i="2"/>
  <c r="CH55" i="2"/>
  <c r="AS55" i="2"/>
  <c r="BT55" i="2"/>
  <c r="CG55" i="2"/>
  <c r="AR55" i="2"/>
  <c r="BS55" i="2"/>
  <c r="CF55" i="2"/>
  <c r="AQ55" i="2"/>
  <c r="BR55" i="2"/>
  <c r="CE55" i="2"/>
  <c r="AP55" i="2"/>
  <c r="BQ55" i="2"/>
  <c r="CD55" i="2"/>
  <c r="AO55" i="2"/>
  <c r="BP55" i="2"/>
  <c r="CC55" i="2"/>
  <c r="AN55" i="2"/>
  <c r="BO55" i="2"/>
  <c r="CB55" i="2"/>
  <c r="AM55" i="2"/>
  <c r="BN55" i="2"/>
  <c r="CA55" i="2"/>
  <c r="AL55" i="2"/>
  <c r="BM55" i="2"/>
  <c r="BZ55" i="2"/>
  <c r="AK55" i="2"/>
  <c r="BL55" i="2"/>
  <c r="BY55" i="2"/>
  <c r="AJ55" i="2"/>
  <c r="BK55" i="2"/>
  <c r="BX55" i="2"/>
  <c r="AI55" i="2"/>
  <c r="BJ55" i="2"/>
  <c r="BW55" i="2"/>
  <c r="AT54" i="2"/>
  <c r="BU54" i="2"/>
  <c r="CH54" i="2"/>
  <c r="AS54" i="2"/>
  <c r="BT54" i="2"/>
  <c r="CG54" i="2"/>
  <c r="AR54" i="2"/>
  <c r="BS54" i="2"/>
  <c r="CF54" i="2"/>
  <c r="AQ54" i="2"/>
  <c r="BR54" i="2"/>
  <c r="CE54" i="2"/>
  <c r="AP54" i="2"/>
  <c r="BQ54" i="2"/>
  <c r="CD54" i="2"/>
  <c r="AO54" i="2"/>
  <c r="BP54" i="2"/>
  <c r="CC54" i="2"/>
  <c r="AN54" i="2"/>
  <c r="BO54" i="2"/>
  <c r="CB54" i="2"/>
  <c r="AM54" i="2"/>
  <c r="BN54" i="2"/>
  <c r="CA54" i="2"/>
  <c r="AL54" i="2"/>
  <c r="BM54" i="2"/>
  <c r="BZ54" i="2"/>
  <c r="AK54" i="2"/>
  <c r="BL54" i="2"/>
  <c r="BY54" i="2"/>
  <c r="AJ54" i="2"/>
  <c r="BK54" i="2"/>
  <c r="BX54" i="2"/>
  <c r="AI54" i="2"/>
  <c r="BJ54" i="2"/>
  <c r="BW54" i="2"/>
  <c r="AT53" i="2"/>
  <c r="BU53" i="2"/>
  <c r="CH53" i="2"/>
  <c r="AS53" i="2"/>
  <c r="BT53" i="2"/>
  <c r="CG53" i="2"/>
  <c r="AR53" i="2"/>
  <c r="BS53" i="2"/>
  <c r="CF53" i="2"/>
  <c r="AQ53" i="2"/>
  <c r="BR53" i="2"/>
  <c r="CE53" i="2"/>
  <c r="AP53" i="2"/>
  <c r="BQ53" i="2"/>
  <c r="CD53" i="2"/>
  <c r="AO53" i="2"/>
  <c r="BP53" i="2"/>
  <c r="CC53" i="2"/>
  <c r="AN53" i="2"/>
  <c r="BO53" i="2"/>
  <c r="CB53" i="2"/>
  <c r="AM53" i="2"/>
  <c r="BN53" i="2"/>
  <c r="CA53" i="2"/>
  <c r="AL53" i="2"/>
  <c r="BM53" i="2"/>
  <c r="BZ53" i="2"/>
  <c r="AK53" i="2"/>
  <c r="BL53" i="2"/>
  <c r="BY53" i="2"/>
  <c r="AJ53" i="2"/>
  <c r="BK53" i="2"/>
  <c r="BX53" i="2"/>
  <c r="AI53" i="2"/>
  <c r="BJ53" i="2"/>
  <c r="BW53" i="2"/>
  <c r="AT52" i="2"/>
  <c r="BU52" i="2"/>
  <c r="CH52" i="2"/>
  <c r="AS52" i="2"/>
  <c r="BT52" i="2"/>
  <c r="CG52" i="2"/>
  <c r="AR52" i="2"/>
  <c r="BS52" i="2"/>
  <c r="CF52" i="2"/>
  <c r="AQ52" i="2"/>
  <c r="BR52" i="2"/>
  <c r="CE52" i="2"/>
  <c r="AP52" i="2"/>
  <c r="BQ52" i="2"/>
  <c r="CD52" i="2"/>
  <c r="AO52" i="2"/>
  <c r="BP52" i="2"/>
  <c r="CC52" i="2"/>
  <c r="AN52" i="2"/>
  <c r="BO52" i="2"/>
  <c r="CB52" i="2"/>
  <c r="AM52" i="2"/>
  <c r="BN52" i="2"/>
  <c r="CA52" i="2"/>
  <c r="AL52" i="2"/>
  <c r="BM52" i="2"/>
  <c r="BZ52" i="2"/>
  <c r="AK52" i="2"/>
  <c r="BL52" i="2"/>
  <c r="BY52" i="2"/>
  <c r="AJ52" i="2"/>
  <c r="BK52" i="2"/>
  <c r="BX52" i="2"/>
  <c r="AI52" i="2"/>
  <c r="BJ52" i="2"/>
  <c r="BW52" i="2"/>
  <c r="AT51" i="2"/>
  <c r="BU51" i="2"/>
  <c r="CH51" i="2"/>
  <c r="AS51" i="2"/>
  <c r="BT51" i="2"/>
  <c r="CG51" i="2"/>
  <c r="AR51" i="2"/>
  <c r="BS51" i="2"/>
  <c r="CF51" i="2"/>
  <c r="AQ51" i="2"/>
  <c r="BR51" i="2"/>
  <c r="CE51" i="2"/>
  <c r="AP51" i="2"/>
  <c r="BQ51" i="2"/>
  <c r="CD51" i="2"/>
  <c r="AO51" i="2"/>
  <c r="BP51" i="2"/>
  <c r="CC51" i="2"/>
  <c r="AN51" i="2"/>
  <c r="BO51" i="2"/>
  <c r="CB51" i="2"/>
  <c r="AM51" i="2"/>
  <c r="BN51" i="2"/>
  <c r="CA51" i="2"/>
  <c r="AL51" i="2"/>
  <c r="BM51" i="2"/>
  <c r="BZ51" i="2"/>
  <c r="AK51" i="2"/>
  <c r="BL51" i="2"/>
  <c r="BY51" i="2"/>
  <c r="AJ51" i="2"/>
  <c r="BK51" i="2"/>
  <c r="BX51" i="2"/>
  <c r="AI51" i="2"/>
  <c r="BJ51" i="2"/>
  <c r="BW51" i="2"/>
  <c r="AT50" i="2"/>
  <c r="BU50" i="2"/>
  <c r="CH50" i="2"/>
  <c r="AS50" i="2"/>
  <c r="BT50" i="2"/>
  <c r="CG50" i="2"/>
  <c r="AR50" i="2"/>
  <c r="BS50" i="2"/>
  <c r="CF50" i="2"/>
  <c r="AQ50" i="2"/>
  <c r="BR50" i="2"/>
  <c r="CE50" i="2"/>
  <c r="AP50" i="2"/>
  <c r="BQ50" i="2"/>
  <c r="CD50" i="2"/>
  <c r="AO50" i="2"/>
  <c r="BP50" i="2"/>
  <c r="CC50" i="2"/>
  <c r="AN50" i="2"/>
  <c r="BO50" i="2"/>
  <c r="CB50" i="2"/>
  <c r="AM50" i="2"/>
  <c r="BN50" i="2"/>
  <c r="CA50" i="2"/>
  <c r="AL50" i="2"/>
  <c r="BM50" i="2"/>
  <c r="BZ50" i="2"/>
  <c r="AK50" i="2"/>
  <c r="BL50" i="2"/>
  <c r="BY50" i="2"/>
  <c r="AJ50" i="2"/>
  <c r="BK50" i="2"/>
  <c r="BX50" i="2"/>
  <c r="AI50" i="2"/>
  <c r="BJ50" i="2"/>
  <c r="BW50" i="2"/>
  <c r="AT49" i="2"/>
  <c r="BU49" i="2"/>
  <c r="CH49" i="2"/>
  <c r="AS49" i="2"/>
  <c r="BT49" i="2"/>
  <c r="CG49" i="2"/>
  <c r="AR49" i="2"/>
  <c r="BS49" i="2"/>
  <c r="CF49" i="2"/>
  <c r="AQ49" i="2"/>
  <c r="BR49" i="2"/>
  <c r="CE49" i="2"/>
  <c r="AP49" i="2"/>
  <c r="BQ49" i="2"/>
  <c r="CD49" i="2"/>
  <c r="AO49" i="2"/>
  <c r="BP49" i="2"/>
  <c r="CC49" i="2"/>
  <c r="AN49" i="2"/>
  <c r="BO49" i="2"/>
  <c r="CB49" i="2"/>
  <c r="AM49" i="2"/>
  <c r="BN49" i="2"/>
  <c r="CA49" i="2"/>
  <c r="AL49" i="2"/>
  <c r="BM49" i="2"/>
  <c r="BZ49" i="2"/>
  <c r="AK49" i="2"/>
  <c r="BL49" i="2"/>
  <c r="BY49" i="2"/>
  <c r="AJ49" i="2"/>
  <c r="BK49" i="2"/>
  <c r="BX49" i="2"/>
  <c r="AI49" i="2"/>
  <c r="BJ49" i="2"/>
  <c r="BW49" i="2"/>
  <c r="AT48" i="2"/>
  <c r="BU48" i="2"/>
  <c r="CH48" i="2"/>
  <c r="AS48" i="2"/>
  <c r="BT48" i="2"/>
  <c r="CG48" i="2"/>
  <c r="AR48" i="2"/>
  <c r="BS48" i="2"/>
  <c r="CF48" i="2"/>
  <c r="AQ48" i="2"/>
  <c r="BR48" i="2"/>
  <c r="CE48" i="2"/>
  <c r="AP48" i="2"/>
  <c r="BQ48" i="2"/>
  <c r="CD48" i="2"/>
  <c r="AO48" i="2"/>
  <c r="BP48" i="2"/>
  <c r="CC48" i="2"/>
  <c r="AN48" i="2"/>
  <c r="BO48" i="2"/>
  <c r="CB48" i="2"/>
  <c r="AM48" i="2"/>
  <c r="BN48" i="2"/>
  <c r="CA48" i="2"/>
  <c r="AL48" i="2"/>
  <c r="BM48" i="2"/>
  <c r="BZ48" i="2"/>
  <c r="AK48" i="2"/>
  <c r="BL48" i="2"/>
  <c r="BY48" i="2"/>
  <c r="AJ48" i="2"/>
  <c r="BK48" i="2"/>
  <c r="BX48" i="2"/>
  <c r="AI48" i="2"/>
  <c r="BJ48" i="2"/>
  <c r="BW48" i="2"/>
  <c r="AT47" i="2"/>
  <c r="BU47" i="2"/>
  <c r="CH47" i="2"/>
  <c r="AS47" i="2"/>
  <c r="BT47" i="2"/>
  <c r="CG47" i="2"/>
  <c r="AR47" i="2"/>
  <c r="BS47" i="2"/>
  <c r="CF47" i="2"/>
  <c r="AQ47" i="2"/>
  <c r="BR47" i="2"/>
  <c r="CE47" i="2"/>
  <c r="AP47" i="2"/>
  <c r="BQ47" i="2"/>
  <c r="CD47" i="2"/>
  <c r="AO47" i="2"/>
  <c r="BP47" i="2"/>
  <c r="CC47" i="2"/>
  <c r="AN47" i="2"/>
  <c r="BO47" i="2"/>
  <c r="CB47" i="2"/>
  <c r="AM47" i="2"/>
  <c r="BN47" i="2"/>
  <c r="CA47" i="2"/>
  <c r="AL47" i="2"/>
  <c r="BM47" i="2"/>
  <c r="BZ47" i="2"/>
  <c r="AK47" i="2"/>
  <c r="BL47" i="2"/>
  <c r="BY47" i="2"/>
  <c r="AJ47" i="2"/>
  <c r="BK47" i="2"/>
  <c r="BX47" i="2"/>
  <c r="AI47" i="2"/>
  <c r="BJ47" i="2"/>
  <c r="BW47" i="2"/>
  <c r="AT46" i="2"/>
  <c r="BU46" i="2"/>
  <c r="CH46" i="2"/>
  <c r="AS46" i="2"/>
  <c r="BT46" i="2"/>
  <c r="CG46" i="2"/>
  <c r="AR46" i="2"/>
  <c r="BS46" i="2"/>
  <c r="CF46" i="2"/>
  <c r="AQ46" i="2"/>
  <c r="BR46" i="2"/>
  <c r="CE46" i="2"/>
  <c r="AP46" i="2"/>
  <c r="BQ46" i="2"/>
  <c r="CD46" i="2"/>
  <c r="AO46" i="2"/>
  <c r="BP46" i="2"/>
  <c r="CC46" i="2"/>
  <c r="AN46" i="2"/>
  <c r="BO46" i="2"/>
  <c r="CB46" i="2"/>
  <c r="AM46" i="2"/>
  <c r="BN46" i="2"/>
  <c r="CA46" i="2"/>
  <c r="AL46" i="2"/>
  <c r="BM46" i="2"/>
  <c r="BZ46" i="2"/>
  <c r="AK46" i="2"/>
  <c r="BL46" i="2"/>
  <c r="BY46" i="2"/>
  <c r="AJ46" i="2"/>
  <c r="BK46" i="2"/>
  <c r="BX46" i="2"/>
  <c r="AI46" i="2"/>
  <c r="BJ46" i="2"/>
  <c r="BW46" i="2"/>
  <c r="AT45" i="2"/>
  <c r="BU45" i="2"/>
  <c r="CH45" i="2"/>
  <c r="AS45" i="2"/>
  <c r="BT45" i="2"/>
  <c r="CG45" i="2"/>
  <c r="AR45" i="2"/>
  <c r="BS45" i="2"/>
  <c r="CF45" i="2"/>
  <c r="AQ45" i="2"/>
  <c r="BR45" i="2"/>
  <c r="CE45" i="2"/>
  <c r="AP45" i="2"/>
  <c r="BQ45" i="2"/>
  <c r="CD45" i="2"/>
  <c r="AO45" i="2"/>
  <c r="BP45" i="2"/>
  <c r="CC45" i="2"/>
  <c r="AN45" i="2"/>
  <c r="BO45" i="2"/>
  <c r="CB45" i="2"/>
  <c r="AM45" i="2"/>
  <c r="BN45" i="2"/>
  <c r="CA45" i="2"/>
  <c r="AL45" i="2"/>
  <c r="BM45" i="2"/>
  <c r="BZ45" i="2"/>
  <c r="AK45" i="2"/>
  <c r="BL45" i="2"/>
  <c r="BY45" i="2"/>
  <c r="AJ45" i="2"/>
  <c r="BK45" i="2"/>
  <c r="BX45" i="2"/>
  <c r="AI45" i="2"/>
  <c r="BJ45" i="2"/>
  <c r="BW45" i="2"/>
  <c r="AT44" i="2"/>
  <c r="BU44" i="2"/>
  <c r="CH44" i="2"/>
  <c r="AS44" i="2"/>
  <c r="BT44" i="2"/>
  <c r="CG44" i="2"/>
  <c r="AR44" i="2"/>
  <c r="BS44" i="2"/>
  <c r="CF44" i="2"/>
  <c r="AQ44" i="2"/>
  <c r="BR44" i="2"/>
  <c r="CE44" i="2"/>
  <c r="AP44" i="2"/>
  <c r="BQ44" i="2"/>
  <c r="CD44" i="2"/>
  <c r="AO44" i="2"/>
  <c r="BP44" i="2"/>
  <c r="CC44" i="2"/>
  <c r="AN44" i="2"/>
  <c r="BO44" i="2"/>
  <c r="CB44" i="2"/>
  <c r="AM44" i="2"/>
  <c r="BN44" i="2"/>
  <c r="CA44" i="2"/>
  <c r="AL44" i="2"/>
  <c r="BM44" i="2"/>
  <c r="BZ44" i="2"/>
  <c r="AK44" i="2"/>
  <c r="BL44" i="2"/>
  <c r="BY44" i="2"/>
  <c r="AJ44" i="2"/>
  <c r="BK44" i="2"/>
  <c r="BX44" i="2"/>
  <c r="AI44" i="2"/>
  <c r="BJ44" i="2"/>
  <c r="BW44" i="2"/>
  <c r="AT43" i="2"/>
  <c r="BU43" i="2"/>
  <c r="CH43" i="2"/>
  <c r="AS43" i="2"/>
  <c r="BT43" i="2"/>
  <c r="CG43" i="2"/>
  <c r="AR43" i="2"/>
  <c r="BS43" i="2"/>
  <c r="CF43" i="2"/>
  <c r="AQ43" i="2"/>
  <c r="BR43" i="2"/>
  <c r="CE43" i="2"/>
  <c r="AP43" i="2"/>
  <c r="BQ43" i="2"/>
  <c r="CD43" i="2"/>
  <c r="AO43" i="2"/>
  <c r="BP43" i="2"/>
  <c r="CC43" i="2"/>
  <c r="AN43" i="2"/>
  <c r="BO43" i="2"/>
  <c r="CB43" i="2"/>
  <c r="AM43" i="2"/>
  <c r="BN43" i="2"/>
  <c r="CA43" i="2"/>
  <c r="AL43" i="2"/>
  <c r="BM43" i="2"/>
  <c r="BZ43" i="2"/>
  <c r="AK43" i="2"/>
  <c r="BL43" i="2"/>
  <c r="BY43" i="2"/>
  <c r="AJ43" i="2"/>
  <c r="BK43" i="2"/>
  <c r="BX43" i="2"/>
  <c r="AI43" i="2"/>
  <c r="BJ43" i="2"/>
  <c r="BW43" i="2"/>
  <c r="AT42" i="2"/>
  <c r="BU42" i="2"/>
  <c r="CH42" i="2"/>
  <c r="AS42" i="2"/>
  <c r="BT42" i="2"/>
  <c r="CG42" i="2"/>
  <c r="AR42" i="2"/>
  <c r="BS42" i="2"/>
  <c r="CF42" i="2"/>
  <c r="AQ42" i="2"/>
  <c r="BR42" i="2"/>
  <c r="CE42" i="2"/>
  <c r="AP42" i="2"/>
  <c r="BQ42" i="2"/>
  <c r="CD42" i="2"/>
  <c r="AO42" i="2"/>
  <c r="BP42" i="2"/>
  <c r="CC42" i="2"/>
  <c r="AN42" i="2"/>
  <c r="BO42" i="2"/>
  <c r="CB42" i="2"/>
  <c r="AM42" i="2"/>
  <c r="BN42" i="2"/>
  <c r="CA42" i="2"/>
  <c r="AL42" i="2"/>
  <c r="BM42" i="2"/>
  <c r="BZ42" i="2"/>
  <c r="AK42" i="2"/>
  <c r="BL42" i="2"/>
  <c r="BY42" i="2"/>
  <c r="AJ42" i="2"/>
  <c r="BK42" i="2"/>
  <c r="BX42" i="2"/>
  <c r="AI42" i="2"/>
  <c r="BJ42" i="2"/>
  <c r="BW42" i="2"/>
  <c r="AT41" i="2"/>
  <c r="BU41" i="2"/>
  <c r="CH41" i="2"/>
  <c r="AS41" i="2"/>
  <c r="BT41" i="2"/>
  <c r="CG41" i="2"/>
  <c r="AR41" i="2"/>
  <c r="BS41" i="2"/>
  <c r="CF41" i="2"/>
  <c r="AQ41" i="2"/>
  <c r="BR41" i="2"/>
  <c r="CE41" i="2"/>
  <c r="AP41" i="2"/>
  <c r="BQ41" i="2"/>
  <c r="CD41" i="2"/>
  <c r="AO41" i="2"/>
  <c r="BP41" i="2"/>
  <c r="CC41" i="2"/>
  <c r="AN41" i="2"/>
  <c r="BO41" i="2"/>
  <c r="CB41" i="2"/>
  <c r="AM41" i="2"/>
  <c r="BN41" i="2"/>
  <c r="CA41" i="2"/>
  <c r="AL41" i="2"/>
  <c r="BM41" i="2"/>
  <c r="BZ41" i="2"/>
  <c r="AK41" i="2"/>
  <c r="BL41" i="2"/>
  <c r="BY41" i="2"/>
  <c r="AJ41" i="2"/>
  <c r="BK41" i="2"/>
  <c r="BX41" i="2"/>
  <c r="AI41" i="2"/>
  <c r="BJ41" i="2"/>
  <c r="BW41" i="2"/>
  <c r="AT40" i="2"/>
  <c r="BU40" i="2"/>
  <c r="CH40" i="2"/>
  <c r="AS40" i="2"/>
  <c r="BT40" i="2"/>
  <c r="CG40" i="2"/>
  <c r="AR40" i="2"/>
  <c r="BS40" i="2"/>
  <c r="CF40" i="2"/>
  <c r="AQ40" i="2"/>
  <c r="BR40" i="2"/>
  <c r="CE40" i="2"/>
  <c r="AP40" i="2"/>
  <c r="BQ40" i="2"/>
  <c r="CD40" i="2"/>
  <c r="AO40" i="2"/>
  <c r="BP40" i="2"/>
  <c r="CC40" i="2"/>
  <c r="AN40" i="2"/>
  <c r="BO40" i="2"/>
  <c r="CB40" i="2"/>
  <c r="AM40" i="2"/>
  <c r="BN40" i="2"/>
  <c r="CA40" i="2"/>
  <c r="AL40" i="2"/>
  <c r="BM40" i="2"/>
  <c r="BZ40" i="2"/>
  <c r="AK40" i="2"/>
  <c r="BL40" i="2"/>
  <c r="BY40" i="2"/>
  <c r="AJ40" i="2"/>
  <c r="BK40" i="2"/>
  <c r="BX40" i="2"/>
  <c r="AI40" i="2"/>
  <c r="BJ40" i="2"/>
  <c r="BW40" i="2"/>
  <c r="AT39" i="2"/>
  <c r="BU39" i="2"/>
  <c r="CH39" i="2"/>
  <c r="AS39" i="2"/>
  <c r="BT39" i="2"/>
  <c r="CG39" i="2"/>
  <c r="AR39" i="2"/>
  <c r="BS39" i="2"/>
  <c r="CF39" i="2"/>
  <c r="AQ39" i="2"/>
  <c r="BR39" i="2"/>
  <c r="CE39" i="2"/>
  <c r="AP39" i="2"/>
  <c r="BQ39" i="2"/>
  <c r="CD39" i="2"/>
  <c r="AO39" i="2"/>
  <c r="BP39" i="2"/>
  <c r="CC39" i="2"/>
  <c r="AN39" i="2"/>
  <c r="BO39" i="2"/>
  <c r="CB39" i="2"/>
  <c r="AM39" i="2"/>
  <c r="BN39" i="2"/>
  <c r="CA39" i="2"/>
  <c r="AL39" i="2"/>
  <c r="BM39" i="2"/>
  <c r="BZ39" i="2"/>
  <c r="AK39" i="2"/>
  <c r="BL39" i="2"/>
  <c r="BY39" i="2"/>
  <c r="AJ39" i="2"/>
  <c r="BK39" i="2"/>
  <c r="BX39" i="2"/>
  <c r="AI39" i="2"/>
  <c r="BJ39" i="2"/>
  <c r="BW39" i="2"/>
  <c r="AT38" i="2"/>
  <c r="BU38" i="2"/>
  <c r="CH38" i="2"/>
  <c r="AS38" i="2"/>
  <c r="BT38" i="2"/>
  <c r="CG38" i="2"/>
  <c r="AR38" i="2"/>
  <c r="BS38" i="2"/>
  <c r="CF38" i="2"/>
  <c r="AQ38" i="2"/>
  <c r="BR38" i="2"/>
  <c r="CE38" i="2"/>
  <c r="AP38" i="2"/>
  <c r="BQ38" i="2"/>
  <c r="CD38" i="2"/>
  <c r="AO38" i="2"/>
  <c r="BP38" i="2"/>
  <c r="CC38" i="2"/>
  <c r="AN38" i="2"/>
  <c r="BO38" i="2"/>
  <c r="CB38" i="2"/>
  <c r="AM38" i="2"/>
  <c r="BN38" i="2"/>
  <c r="CA38" i="2"/>
  <c r="AL38" i="2"/>
  <c r="BM38" i="2"/>
  <c r="BZ38" i="2"/>
  <c r="AK38" i="2"/>
  <c r="BL38" i="2"/>
  <c r="BY38" i="2"/>
  <c r="AJ38" i="2"/>
  <c r="BK38" i="2"/>
  <c r="BX38" i="2"/>
  <c r="AI38" i="2"/>
  <c r="BJ38" i="2"/>
  <c r="BW38" i="2"/>
  <c r="AT37" i="2"/>
  <c r="BU37" i="2"/>
  <c r="CH37" i="2"/>
  <c r="AS37" i="2"/>
  <c r="BT37" i="2"/>
  <c r="CG37" i="2"/>
  <c r="AR37" i="2"/>
  <c r="BS37" i="2"/>
  <c r="CF37" i="2"/>
  <c r="AQ37" i="2"/>
  <c r="BR37" i="2"/>
  <c r="CE37" i="2"/>
  <c r="AP37" i="2"/>
  <c r="BQ37" i="2"/>
  <c r="CD37" i="2"/>
  <c r="AO37" i="2"/>
  <c r="BP37" i="2"/>
  <c r="CC37" i="2"/>
  <c r="AN37" i="2"/>
  <c r="BO37" i="2"/>
  <c r="CB37" i="2"/>
  <c r="AM37" i="2"/>
  <c r="BN37" i="2"/>
  <c r="CA37" i="2"/>
  <c r="AL37" i="2"/>
  <c r="BM37" i="2"/>
  <c r="BZ37" i="2"/>
  <c r="AK37" i="2"/>
  <c r="BL37" i="2"/>
  <c r="BY37" i="2"/>
  <c r="AJ37" i="2"/>
  <c r="BK37" i="2"/>
  <c r="BX37" i="2"/>
  <c r="AI37" i="2"/>
  <c r="BJ37" i="2"/>
  <c r="BW37" i="2"/>
  <c r="AT36" i="2"/>
  <c r="BU36" i="2"/>
  <c r="CH36" i="2"/>
  <c r="AS36" i="2"/>
  <c r="BT36" i="2"/>
  <c r="CG36" i="2"/>
  <c r="AR36" i="2"/>
  <c r="BS36" i="2"/>
  <c r="CF36" i="2"/>
  <c r="AQ36" i="2"/>
  <c r="BR36" i="2"/>
  <c r="CE36" i="2"/>
  <c r="AP36" i="2"/>
  <c r="BQ36" i="2"/>
  <c r="CD36" i="2"/>
  <c r="AO36" i="2"/>
  <c r="BP36" i="2"/>
  <c r="CC36" i="2"/>
  <c r="AN36" i="2"/>
  <c r="BO36" i="2"/>
  <c r="CB36" i="2"/>
  <c r="AM36" i="2"/>
  <c r="BN36" i="2"/>
  <c r="CA36" i="2"/>
  <c r="AL36" i="2"/>
  <c r="BM36" i="2"/>
  <c r="BZ36" i="2"/>
  <c r="AK36" i="2"/>
  <c r="BL36" i="2"/>
  <c r="BY36" i="2"/>
  <c r="AJ36" i="2"/>
  <c r="BK36" i="2"/>
  <c r="BX36" i="2"/>
  <c r="AI36" i="2"/>
  <c r="BJ36" i="2"/>
  <c r="BW36" i="2"/>
  <c r="AT35" i="2"/>
  <c r="BU35" i="2"/>
  <c r="CH35" i="2"/>
  <c r="AS35" i="2"/>
  <c r="BT35" i="2"/>
  <c r="CG35" i="2"/>
  <c r="AR35" i="2"/>
  <c r="BS35" i="2"/>
  <c r="CF35" i="2"/>
  <c r="AQ35" i="2"/>
  <c r="BR35" i="2"/>
  <c r="CE35" i="2"/>
  <c r="AP35" i="2"/>
  <c r="BQ35" i="2"/>
  <c r="CD35" i="2"/>
  <c r="AO35" i="2"/>
  <c r="BP35" i="2"/>
  <c r="CC35" i="2"/>
  <c r="AN35" i="2"/>
  <c r="BO35" i="2"/>
  <c r="CB35" i="2"/>
  <c r="AM35" i="2"/>
  <c r="BN35" i="2"/>
  <c r="CA35" i="2"/>
  <c r="AL35" i="2"/>
  <c r="BM35" i="2"/>
  <c r="BZ35" i="2"/>
  <c r="AK35" i="2"/>
  <c r="BL35" i="2"/>
  <c r="BY35" i="2"/>
  <c r="AJ35" i="2"/>
  <c r="BK35" i="2"/>
  <c r="BX35" i="2"/>
  <c r="AI35" i="2"/>
  <c r="BJ35" i="2"/>
  <c r="BW35" i="2"/>
  <c r="AT34" i="2"/>
  <c r="BU34" i="2"/>
  <c r="CH34" i="2"/>
  <c r="AS34" i="2"/>
  <c r="BT34" i="2"/>
  <c r="CG34" i="2"/>
  <c r="AR34" i="2"/>
  <c r="BS34" i="2"/>
  <c r="CF34" i="2"/>
  <c r="AQ34" i="2"/>
  <c r="BR34" i="2"/>
  <c r="CE34" i="2"/>
  <c r="AP34" i="2"/>
  <c r="BQ34" i="2"/>
  <c r="CD34" i="2"/>
  <c r="AO34" i="2"/>
  <c r="BP34" i="2"/>
  <c r="CC34" i="2"/>
  <c r="AN34" i="2"/>
  <c r="BO34" i="2"/>
  <c r="CB34" i="2"/>
  <c r="AM34" i="2"/>
  <c r="BN34" i="2"/>
  <c r="CA34" i="2"/>
  <c r="AL34" i="2"/>
  <c r="BM34" i="2"/>
  <c r="BZ34" i="2"/>
  <c r="AK34" i="2"/>
  <c r="BL34" i="2"/>
  <c r="BY34" i="2"/>
  <c r="AJ34" i="2"/>
  <c r="BK34" i="2"/>
  <c r="BX34" i="2"/>
  <c r="AI34" i="2"/>
  <c r="BJ34" i="2"/>
  <c r="BW34" i="2"/>
  <c r="AT33" i="2"/>
  <c r="BU33" i="2"/>
  <c r="CH33" i="2"/>
  <c r="AS33" i="2"/>
  <c r="BT33" i="2"/>
  <c r="CG33" i="2"/>
  <c r="AR33" i="2"/>
  <c r="BS33" i="2"/>
  <c r="CF33" i="2"/>
  <c r="AQ33" i="2"/>
  <c r="BR33" i="2"/>
  <c r="CE33" i="2"/>
  <c r="AP33" i="2"/>
  <c r="BQ33" i="2"/>
  <c r="CD33" i="2"/>
  <c r="AO33" i="2"/>
  <c r="BP33" i="2"/>
  <c r="CC33" i="2"/>
  <c r="AN33" i="2"/>
  <c r="BO33" i="2"/>
  <c r="CB33" i="2"/>
  <c r="AM33" i="2"/>
  <c r="BN33" i="2"/>
  <c r="CA33" i="2"/>
  <c r="AL33" i="2"/>
  <c r="BM33" i="2"/>
  <c r="BZ33" i="2"/>
  <c r="AK33" i="2"/>
  <c r="BL33" i="2"/>
  <c r="BY33" i="2"/>
  <c r="AJ33" i="2"/>
  <c r="BK33" i="2"/>
  <c r="BX33" i="2"/>
  <c r="AI33" i="2"/>
  <c r="BJ33" i="2"/>
  <c r="BW33" i="2"/>
  <c r="AT32" i="2"/>
  <c r="BU32" i="2"/>
  <c r="CH32" i="2"/>
  <c r="AS32" i="2"/>
  <c r="BT32" i="2"/>
  <c r="CG32" i="2"/>
  <c r="AR32" i="2"/>
  <c r="BS32" i="2"/>
  <c r="CF32" i="2"/>
  <c r="AQ32" i="2"/>
  <c r="BR32" i="2"/>
  <c r="CE32" i="2"/>
  <c r="AP32" i="2"/>
  <c r="BQ32" i="2"/>
  <c r="CD32" i="2"/>
  <c r="AO32" i="2"/>
  <c r="BP32" i="2"/>
  <c r="CC32" i="2"/>
  <c r="AN32" i="2"/>
  <c r="BO32" i="2"/>
  <c r="CB32" i="2"/>
  <c r="AM32" i="2"/>
  <c r="BN32" i="2"/>
  <c r="CA32" i="2"/>
  <c r="AL32" i="2"/>
  <c r="BM32" i="2"/>
  <c r="BZ32" i="2"/>
  <c r="AK32" i="2"/>
  <c r="BL32" i="2"/>
  <c r="BY32" i="2"/>
  <c r="AJ32" i="2"/>
  <c r="BK32" i="2"/>
  <c r="BX32" i="2"/>
  <c r="AI32" i="2"/>
  <c r="BJ32" i="2"/>
  <c r="BW32" i="2"/>
  <c r="AT31" i="2"/>
  <c r="BU31" i="2"/>
  <c r="CH31" i="2"/>
  <c r="AS31" i="2"/>
  <c r="BT31" i="2"/>
  <c r="CG31" i="2"/>
  <c r="AR31" i="2"/>
  <c r="BS31" i="2"/>
  <c r="CF31" i="2"/>
  <c r="AQ31" i="2"/>
  <c r="BR31" i="2"/>
  <c r="CE31" i="2"/>
  <c r="AP31" i="2"/>
  <c r="BQ31" i="2"/>
  <c r="CD31" i="2"/>
  <c r="AO31" i="2"/>
  <c r="BP31" i="2"/>
  <c r="CC31" i="2"/>
  <c r="AN31" i="2"/>
  <c r="BO31" i="2"/>
  <c r="CB31" i="2"/>
  <c r="AM31" i="2"/>
  <c r="BN31" i="2"/>
  <c r="CA31" i="2"/>
  <c r="AL31" i="2"/>
  <c r="BM31" i="2"/>
  <c r="BZ31" i="2"/>
  <c r="AK31" i="2"/>
  <c r="BL31" i="2"/>
  <c r="BY31" i="2"/>
  <c r="AJ31" i="2"/>
  <c r="BK31" i="2"/>
  <c r="BX31" i="2"/>
  <c r="AI31" i="2"/>
  <c r="BJ31" i="2"/>
  <c r="BW31" i="2"/>
  <c r="AT30" i="2"/>
  <c r="BU30" i="2"/>
  <c r="CH30" i="2"/>
  <c r="AS30" i="2"/>
  <c r="BT30" i="2"/>
  <c r="CG30" i="2"/>
  <c r="AR30" i="2"/>
  <c r="BS30" i="2"/>
  <c r="CF30" i="2"/>
  <c r="AQ30" i="2"/>
  <c r="BR30" i="2"/>
  <c r="CE30" i="2"/>
  <c r="AP30" i="2"/>
  <c r="BQ30" i="2"/>
  <c r="CD30" i="2"/>
  <c r="AO30" i="2"/>
  <c r="BP30" i="2"/>
  <c r="CC30" i="2"/>
  <c r="AN30" i="2"/>
  <c r="BO30" i="2"/>
  <c r="CB30" i="2"/>
  <c r="AM30" i="2"/>
  <c r="BN30" i="2"/>
  <c r="CA30" i="2"/>
  <c r="AL30" i="2"/>
  <c r="BM30" i="2"/>
  <c r="BZ30" i="2"/>
  <c r="AK30" i="2"/>
  <c r="BL30" i="2"/>
  <c r="BY30" i="2"/>
  <c r="AJ30" i="2"/>
  <c r="BK30" i="2"/>
  <c r="BX30" i="2"/>
  <c r="AI30" i="2"/>
  <c r="BJ30" i="2"/>
  <c r="BW30" i="2"/>
  <c r="AT29" i="2"/>
  <c r="BU29" i="2"/>
  <c r="CH29" i="2"/>
  <c r="AS29" i="2"/>
  <c r="BT29" i="2"/>
  <c r="CG29" i="2"/>
  <c r="AR29" i="2"/>
  <c r="BS29" i="2"/>
  <c r="CF29" i="2"/>
  <c r="AQ29" i="2"/>
  <c r="BR29" i="2"/>
  <c r="CE29" i="2"/>
  <c r="AP29" i="2"/>
  <c r="BQ29" i="2"/>
  <c r="CD29" i="2"/>
  <c r="AO29" i="2"/>
  <c r="BP29" i="2"/>
  <c r="CC29" i="2"/>
  <c r="AN29" i="2"/>
  <c r="BO29" i="2"/>
  <c r="CB29" i="2"/>
  <c r="AM29" i="2"/>
  <c r="BN29" i="2"/>
  <c r="CA29" i="2"/>
  <c r="AL29" i="2"/>
  <c r="BM29" i="2"/>
  <c r="BZ29" i="2"/>
  <c r="AK29" i="2"/>
  <c r="BL29" i="2"/>
  <c r="BY29" i="2"/>
  <c r="AJ29" i="2"/>
  <c r="BK29" i="2"/>
  <c r="BX29" i="2"/>
  <c r="AI29" i="2"/>
  <c r="BJ29" i="2"/>
  <c r="BW29" i="2"/>
  <c r="AT28" i="2"/>
  <c r="BU28" i="2"/>
  <c r="CH28" i="2"/>
  <c r="AS28" i="2"/>
  <c r="BT28" i="2"/>
  <c r="CG28" i="2"/>
  <c r="AR28" i="2"/>
  <c r="BS28" i="2"/>
  <c r="CF28" i="2"/>
  <c r="AQ28" i="2"/>
  <c r="BR28" i="2"/>
  <c r="CE28" i="2"/>
  <c r="AP28" i="2"/>
  <c r="BQ28" i="2"/>
  <c r="CD28" i="2"/>
  <c r="AO28" i="2"/>
  <c r="BP28" i="2"/>
  <c r="CC28" i="2"/>
  <c r="AN28" i="2"/>
  <c r="BO28" i="2"/>
  <c r="CB28" i="2"/>
  <c r="AM28" i="2"/>
  <c r="BN28" i="2"/>
  <c r="CA28" i="2"/>
  <c r="AL28" i="2"/>
  <c r="BM28" i="2"/>
  <c r="BZ28" i="2"/>
  <c r="AK28" i="2"/>
  <c r="BL28" i="2"/>
  <c r="BY28" i="2"/>
  <c r="AJ28" i="2"/>
  <c r="BK28" i="2"/>
  <c r="BX28" i="2"/>
  <c r="AI28" i="2"/>
  <c r="BJ28" i="2"/>
  <c r="BW28" i="2"/>
  <c r="AT27" i="2"/>
  <c r="BU27" i="2"/>
  <c r="CH27" i="2"/>
  <c r="AS27" i="2"/>
  <c r="BT27" i="2"/>
  <c r="CG27" i="2"/>
  <c r="AR27" i="2"/>
  <c r="BS27" i="2"/>
  <c r="CF27" i="2"/>
  <c r="AQ27" i="2"/>
  <c r="BR27" i="2"/>
  <c r="CE27" i="2"/>
  <c r="AP27" i="2"/>
  <c r="BQ27" i="2"/>
  <c r="CD27" i="2"/>
  <c r="AO27" i="2"/>
  <c r="BP27" i="2"/>
  <c r="CC27" i="2"/>
  <c r="AN27" i="2"/>
  <c r="BO27" i="2"/>
  <c r="CB27" i="2"/>
  <c r="AM27" i="2"/>
  <c r="BN27" i="2"/>
  <c r="CA27" i="2"/>
  <c r="AL27" i="2"/>
  <c r="BM27" i="2"/>
  <c r="BZ27" i="2"/>
  <c r="AK27" i="2"/>
  <c r="BL27" i="2"/>
  <c r="BY27" i="2"/>
  <c r="AJ27" i="2"/>
  <c r="BK27" i="2"/>
  <c r="BX27" i="2"/>
  <c r="AI27" i="2"/>
  <c r="BJ27" i="2"/>
  <c r="BW27" i="2"/>
  <c r="AT26" i="2"/>
  <c r="BU26" i="2"/>
  <c r="CH26" i="2"/>
  <c r="AS26" i="2"/>
  <c r="BT26" i="2"/>
  <c r="CG26" i="2"/>
  <c r="AR26" i="2"/>
  <c r="BS26" i="2"/>
  <c r="CF26" i="2"/>
  <c r="AQ26" i="2"/>
  <c r="BR26" i="2"/>
  <c r="CE26" i="2"/>
  <c r="AP26" i="2"/>
  <c r="BQ26" i="2"/>
  <c r="CD26" i="2"/>
  <c r="AO26" i="2"/>
  <c r="BP26" i="2"/>
  <c r="CC26" i="2"/>
  <c r="AN26" i="2"/>
  <c r="BO26" i="2"/>
  <c r="CB26" i="2"/>
  <c r="AM26" i="2"/>
  <c r="BN26" i="2"/>
  <c r="CA26" i="2"/>
  <c r="AL26" i="2"/>
  <c r="BM26" i="2"/>
  <c r="BZ26" i="2"/>
  <c r="AK26" i="2"/>
  <c r="BL26" i="2"/>
  <c r="BY26" i="2"/>
  <c r="AJ26" i="2"/>
  <c r="BK26" i="2"/>
  <c r="BX26" i="2"/>
  <c r="AI26" i="2"/>
  <c r="BJ26" i="2"/>
  <c r="BW26" i="2"/>
  <c r="AT25" i="2"/>
  <c r="BU25" i="2"/>
  <c r="CH25" i="2"/>
  <c r="AS25" i="2"/>
  <c r="BT25" i="2"/>
  <c r="CG25" i="2"/>
  <c r="AR25" i="2"/>
  <c r="BS25" i="2"/>
  <c r="CF25" i="2"/>
  <c r="AQ25" i="2"/>
  <c r="BR25" i="2"/>
  <c r="CE25" i="2"/>
  <c r="AP25" i="2"/>
  <c r="BQ25" i="2"/>
  <c r="CD25" i="2"/>
  <c r="AO25" i="2"/>
  <c r="BP25" i="2"/>
  <c r="CC25" i="2"/>
  <c r="AN25" i="2"/>
  <c r="BO25" i="2"/>
  <c r="CB25" i="2"/>
  <c r="AM25" i="2"/>
  <c r="BN25" i="2"/>
  <c r="CA25" i="2"/>
  <c r="AL25" i="2"/>
  <c r="BM25" i="2"/>
  <c r="BZ25" i="2"/>
  <c r="AK25" i="2"/>
  <c r="BL25" i="2"/>
  <c r="BY25" i="2"/>
  <c r="AJ25" i="2"/>
  <c r="BK25" i="2"/>
  <c r="BX25" i="2"/>
  <c r="AI25" i="2"/>
  <c r="BJ25" i="2"/>
  <c r="BW25" i="2"/>
  <c r="C32" i="15"/>
  <c r="C33" i="15"/>
  <c r="C34" i="15"/>
  <c r="C35" i="15"/>
  <c r="C39" i="15"/>
  <c r="C44" i="15"/>
  <c r="C45" i="15"/>
  <c r="C46" i="15"/>
  <c r="F30" i="15"/>
  <c r="I30" i="15"/>
  <c r="I43" i="15"/>
  <c r="I44" i="15"/>
  <c r="I45" i="15"/>
  <c r="B112" i="15"/>
  <c r="I26" i="15"/>
  <c r="I32" i="15"/>
  <c r="I33" i="15"/>
  <c r="I34" i="15"/>
  <c r="I35" i="15"/>
  <c r="I40" i="15"/>
  <c r="C100" i="15"/>
  <c r="C101" i="15"/>
  <c r="C102" i="15"/>
  <c r="C103" i="15"/>
  <c r="C104" i="15"/>
  <c r="C105" i="15"/>
  <c r="C106" i="15"/>
  <c r="C112" i="15"/>
  <c r="D100" i="15"/>
  <c r="D101" i="15"/>
  <c r="D102" i="15"/>
  <c r="D103" i="15"/>
  <c r="D104" i="15"/>
  <c r="D105" i="15"/>
  <c r="D106" i="15"/>
  <c r="D112" i="15"/>
  <c r="E100" i="15"/>
  <c r="E101" i="15"/>
  <c r="E102" i="15"/>
  <c r="E103" i="15"/>
  <c r="E104" i="15"/>
  <c r="E105" i="15"/>
  <c r="E106" i="15"/>
  <c r="E112" i="15"/>
  <c r="F100" i="15"/>
  <c r="F101" i="15"/>
  <c r="F102" i="15"/>
  <c r="F103" i="15"/>
  <c r="F104" i="15"/>
  <c r="F105" i="15"/>
  <c r="F106" i="15"/>
  <c r="F112" i="15"/>
  <c r="G100" i="15"/>
  <c r="G101" i="15"/>
  <c r="G102" i="15"/>
  <c r="G103" i="15"/>
  <c r="G104" i="15"/>
  <c r="G105" i="15"/>
  <c r="G106" i="15"/>
  <c r="G112" i="15"/>
  <c r="H100" i="15"/>
  <c r="H101" i="15"/>
  <c r="H102" i="15"/>
  <c r="H103" i="15"/>
  <c r="H104" i="15"/>
  <c r="H105" i="15"/>
  <c r="H106" i="15"/>
  <c r="H112" i="15"/>
  <c r="I100" i="15"/>
  <c r="I101" i="15"/>
  <c r="I102" i="15"/>
  <c r="I103" i="15"/>
  <c r="I104" i="15"/>
  <c r="I105" i="15"/>
  <c r="I106" i="15"/>
  <c r="I112" i="15"/>
  <c r="J100" i="15"/>
  <c r="J101" i="15"/>
  <c r="J102" i="15"/>
  <c r="J103" i="15"/>
  <c r="J104" i="15"/>
  <c r="J105" i="15"/>
  <c r="J106" i="15"/>
  <c r="J112" i="15"/>
  <c r="K100" i="15"/>
  <c r="K101" i="15"/>
  <c r="K102" i="15"/>
  <c r="K103" i="15"/>
  <c r="K104" i="15"/>
  <c r="K105" i="15"/>
  <c r="K106" i="15"/>
  <c r="K112" i="15"/>
  <c r="L100" i="15"/>
  <c r="L101" i="15"/>
  <c r="L102" i="15"/>
  <c r="L103" i="15"/>
  <c r="L104" i="15"/>
  <c r="L105" i="15"/>
  <c r="L106" i="15"/>
  <c r="L110" i="15"/>
  <c r="L111" i="15"/>
  <c r="L112" i="15"/>
  <c r="C113" i="15"/>
  <c r="K110" i="15"/>
  <c r="J110" i="15"/>
  <c r="I110" i="15"/>
  <c r="H110" i="15"/>
  <c r="G110" i="15"/>
  <c r="F110" i="15"/>
  <c r="E110" i="15"/>
  <c r="D110" i="15"/>
  <c r="C110" i="15"/>
  <c r="C107" i="15"/>
  <c r="F44" i="15"/>
  <c r="F45" i="15"/>
  <c r="B96" i="15"/>
  <c r="F26" i="15"/>
  <c r="F32" i="15"/>
  <c r="F33" i="15"/>
  <c r="F34" i="15"/>
  <c r="F35" i="15"/>
  <c r="F40" i="15"/>
  <c r="C84" i="15"/>
  <c r="C85" i="15"/>
  <c r="C86" i="15"/>
  <c r="C87" i="15"/>
  <c r="C88" i="15"/>
  <c r="C89" i="15"/>
  <c r="C90" i="15"/>
  <c r="C96" i="15"/>
  <c r="D84" i="15"/>
  <c r="D85" i="15"/>
  <c r="D86" i="15"/>
  <c r="D87" i="15"/>
  <c r="D88" i="15"/>
  <c r="D89" i="15"/>
  <c r="D90" i="15"/>
  <c r="D96" i="15"/>
  <c r="E84" i="15"/>
  <c r="E85" i="15"/>
  <c r="E86" i="15"/>
  <c r="E87" i="15"/>
  <c r="E88" i="15"/>
  <c r="E89" i="15"/>
  <c r="E90" i="15"/>
  <c r="E96" i="15"/>
  <c r="F84" i="15"/>
  <c r="F85" i="15"/>
  <c r="F86" i="15"/>
  <c r="F87" i="15"/>
  <c r="F88" i="15"/>
  <c r="F89" i="15"/>
  <c r="F90" i="15"/>
  <c r="F96" i="15"/>
  <c r="G84" i="15"/>
  <c r="G85" i="15"/>
  <c r="G86" i="15"/>
  <c r="G87" i="15"/>
  <c r="G88" i="15"/>
  <c r="G89" i="15"/>
  <c r="G90" i="15"/>
  <c r="G96" i="15"/>
  <c r="H84" i="15"/>
  <c r="H85" i="15"/>
  <c r="H86" i="15"/>
  <c r="H87" i="15"/>
  <c r="H88" i="15"/>
  <c r="H89" i="15"/>
  <c r="H90" i="15"/>
  <c r="H96" i="15"/>
  <c r="I84" i="15"/>
  <c r="I85" i="15"/>
  <c r="I86" i="15"/>
  <c r="I87" i="15"/>
  <c r="I88" i="15"/>
  <c r="I89" i="15"/>
  <c r="I90" i="15"/>
  <c r="I96" i="15"/>
  <c r="J84" i="15"/>
  <c r="J85" i="15"/>
  <c r="J86" i="15"/>
  <c r="J87" i="15"/>
  <c r="J88" i="15"/>
  <c r="J89" i="15"/>
  <c r="J90" i="15"/>
  <c r="J96" i="15"/>
  <c r="K84" i="15"/>
  <c r="K85" i="15"/>
  <c r="K86" i="15"/>
  <c r="K87" i="15"/>
  <c r="K88" i="15"/>
  <c r="K89" i="15"/>
  <c r="K90" i="15"/>
  <c r="K96" i="15"/>
  <c r="L84" i="15"/>
  <c r="L85" i="15"/>
  <c r="L86" i="15"/>
  <c r="L87" i="15"/>
  <c r="L88" i="15"/>
  <c r="L89" i="15"/>
  <c r="L90" i="15"/>
  <c r="L94" i="15"/>
  <c r="L95" i="15"/>
  <c r="L96" i="15"/>
  <c r="C97" i="15"/>
  <c r="K94" i="15"/>
  <c r="J94" i="15"/>
  <c r="I94" i="15"/>
  <c r="H94" i="15"/>
  <c r="G94" i="15"/>
  <c r="F94" i="15"/>
  <c r="E94" i="15"/>
  <c r="D94" i="15"/>
  <c r="C94" i="15"/>
  <c r="C91" i="15"/>
  <c r="B80" i="15"/>
  <c r="C26" i="15"/>
  <c r="C40" i="15"/>
  <c r="C68" i="15"/>
  <c r="C69" i="15"/>
  <c r="C70" i="15"/>
  <c r="C71" i="15"/>
  <c r="C72" i="15"/>
  <c r="C73" i="15"/>
  <c r="C74" i="15"/>
  <c r="C80" i="15"/>
  <c r="D68" i="15"/>
  <c r="D69" i="15"/>
  <c r="D70" i="15"/>
  <c r="D71" i="15"/>
  <c r="D72" i="15"/>
  <c r="D73" i="15"/>
  <c r="D74" i="15"/>
  <c r="D80" i="15"/>
  <c r="E68" i="15"/>
  <c r="E69" i="15"/>
  <c r="E70" i="15"/>
  <c r="E71" i="15"/>
  <c r="E72" i="15"/>
  <c r="E73" i="15"/>
  <c r="E74" i="15"/>
  <c r="E80" i="15"/>
  <c r="F68" i="15"/>
  <c r="F69" i="15"/>
  <c r="F70" i="15"/>
  <c r="F71" i="15"/>
  <c r="F72" i="15"/>
  <c r="F73" i="15"/>
  <c r="F74" i="15"/>
  <c r="F80" i="15"/>
  <c r="G68" i="15"/>
  <c r="G69" i="15"/>
  <c r="G70" i="15"/>
  <c r="G71" i="15"/>
  <c r="G72" i="15"/>
  <c r="G73" i="15"/>
  <c r="G74" i="15"/>
  <c r="G80" i="15"/>
  <c r="H68" i="15"/>
  <c r="H69" i="15"/>
  <c r="H70" i="15"/>
  <c r="H71" i="15"/>
  <c r="H72" i="15"/>
  <c r="H73" i="15"/>
  <c r="H74" i="15"/>
  <c r="H80" i="15"/>
  <c r="I68" i="15"/>
  <c r="I69" i="15"/>
  <c r="I70" i="15"/>
  <c r="I71" i="15"/>
  <c r="I72" i="15"/>
  <c r="I73" i="15"/>
  <c r="I74" i="15"/>
  <c r="I80" i="15"/>
  <c r="J68" i="15"/>
  <c r="J69" i="15"/>
  <c r="J70" i="15"/>
  <c r="J71" i="15"/>
  <c r="J72" i="15"/>
  <c r="J73" i="15"/>
  <c r="J74" i="15"/>
  <c r="J80" i="15"/>
  <c r="K68" i="15"/>
  <c r="K69" i="15"/>
  <c r="K70" i="15"/>
  <c r="K71" i="15"/>
  <c r="K72" i="15"/>
  <c r="K73" i="15"/>
  <c r="K74" i="15"/>
  <c r="K80" i="15"/>
  <c r="L68" i="15"/>
  <c r="L69" i="15"/>
  <c r="L70" i="15"/>
  <c r="L71" i="15"/>
  <c r="L72" i="15"/>
  <c r="L73" i="15"/>
  <c r="L74" i="15"/>
  <c r="L78" i="15"/>
  <c r="L79" i="15"/>
  <c r="L80" i="15"/>
  <c r="C81" i="15"/>
  <c r="K78" i="15"/>
  <c r="J78" i="15"/>
  <c r="I78" i="15"/>
  <c r="H78" i="15"/>
  <c r="G78" i="15"/>
  <c r="F78" i="15"/>
  <c r="E78" i="15"/>
  <c r="D78" i="15"/>
  <c r="C78" i="15"/>
  <c r="C75" i="15"/>
  <c r="I61" i="15"/>
  <c r="I65" i="15"/>
  <c r="F61" i="15"/>
  <c r="F65" i="15"/>
  <c r="C61" i="15"/>
  <c r="C65" i="15"/>
  <c r="M61" i="15"/>
  <c r="I59" i="15"/>
  <c r="F59" i="15"/>
  <c r="C59" i="15"/>
  <c r="I58" i="15"/>
  <c r="F58" i="15"/>
  <c r="C58" i="15"/>
  <c r="I56" i="15"/>
  <c r="F56" i="15"/>
  <c r="C56" i="15"/>
  <c r="I55" i="15"/>
  <c r="F55" i="15"/>
  <c r="C55" i="15"/>
  <c r="I53" i="15"/>
  <c r="F53" i="15"/>
  <c r="C53" i="15"/>
  <c r="I52" i="15"/>
  <c r="F52" i="15"/>
  <c r="C52" i="15"/>
  <c r="I51" i="15"/>
  <c r="F51" i="15"/>
  <c r="C51" i="15"/>
  <c r="I49" i="15"/>
  <c r="F49" i="15"/>
  <c r="C49" i="15"/>
  <c r="I48" i="15"/>
  <c r="F48" i="15"/>
  <c r="C48" i="15"/>
  <c r="I47" i="15"/>
  <c r="F47" i="15"/>
  <c r="C47" i="15"/>
  <c r="I39" i="15"/>
  <c r="I46" i="15"/>
  <c r="F39" i="15"/>
  <c r="F46" i="15"/>
  <c r="I41" i="15"/>
  <c r="J41" i="15"/>
  <c r="F41" i="15"/>
  <c r="G41" i="15"/>
  <c r="C41" i="15"/>
  <c r="D41" i="15"/>
  <c r="J40" i="15"/>
  <c r="G40" i="15"/>
  <c r="D40" i="15"/>
  <c r="I36" i="15"/>
  <c r="I37" i="15"/>
  <c r="I38" i="15"/>
  <c r="J38" i="15"/>
  <c r="F36" i="15"/>
  <c r="F37" i="15"/>
  <c r="F38" i="15"/>
  <c r="G38" i="15"/>
  <c r="D38" i="15"/>
  <c r="J37" i="15"/>
  <c r="G37" i="15"/>
  <c r="C37" i="15"/>
  <c r="D37" i="15"/>
  <c r="J36" i="15"/>
  <c r="G36" i="15"/>
  <c r="C36" i="15"/>
  <c r="D36" i="15"/>
  <c r="J34" i="15"/>
  <c r="G34" i="15"/>
  <c r="D34" i="15"/>
  <c r="J33" i="15"/>
  <c r="G33" i="15"/>
  <c r="D33" i="15"/>
  <c r="J32" i="15"/>
  <c r="H32" i="15"/>
  <c r="G32" i="15"/>
  <c r="E32" i="15"/>
  <c r="D32" i="15"/>
</calcChain>
</file>

<file path=xl/comments1.xml><?xml version="1.0" encoding="utf-8"?>
<comments xmlns="http://schemas.openxmlformats.org/spreadsheetml/2006/main">
  <authors>
    <author>BEA</author>
  </authors>
  <commentList>
    <comment ref="A64" authorId="0">
      <text>
        <r>
          <rPr>
            <b/>
            <sz val="9"/>
            <color indexed="81"/>
            <rFont val="Verdana"/>
          </rPr>
          <t>BEA:</t>
        </r>
        <r>
          <rPr>
            <sz val="9"/>
            <color indexed="81"/>
            <rFont val="Verdana"/>
          </rPr>
          <t xml:space="preserve">
Este coste es superior ya que se considera que hay mas ropa en el apto y que tiene que haber ropa para 2 personas e incluso 4. </t>
        </r>
      </text>
    </comment>
  </commentList>
</comments>
</file>

<file path=xl/sharedStrings.xml><?xml version="1.0" encoding="utf-8"?>
<sst xmlns="http://schemas.openxmlformats.org/spreadsheetml/2006/main" count="1208" uniqueCount="519">
  <si>
    <t xml:space="preserve">[10:23, 22/6/2017] Maria Cristina: Pero para proyectos nuevos y con riesgo suben los puntos                        </t>
  </si>
  <si>
    <t>%</t>
  </si>
  <si>
    <t xml:space="preserve">[10:24, 22/6/2017] Maria Cristina: Está entre el 11%-15%                        </t>
  </si>
  <si>
    <t xml:space="preserve">podemos ofrecer </t>
  </si>
  <si>
    <t>[10:24, 22/6/2017] Maria Cristina: Porque hay que sumarle más puntos por riesgo</t>
  </si>
  <si>
    <t>PESIMISTA</t>
  </si>
  <si>
    <t>BÁSICO</t>
  </si>
  <si>
    <t>OPTIMISTA</t>
  </si>
  <si>
    <t>Superficie</t>
  </si>
  <si>
    <t>Días</t>
  </si>
  <si>
    <t>Catres</t>
  </si>
  <si>
    <t>Lares</t>
  </si>
  <si>
    <t>ADR Catres</t>
  </si>
  <si>
    <t>ADR Lares</t>
  </si>
  <si>
    <t>% Ocupación Catres</t>
  </si>
  <si>
    <t>% Ocupación Lares</t>
  </si>
  <si>
    <t>% Restauración</t>
  </si>
  <si>
    <t>% Otros Ingresos</t>
  </si>
  <si>
    <t>Consumos (% sobre ings.)</t>
  </si>
  <si>
    <t>Personal (% sobre ings.)</t>
  </si>
  <si>
    <t>GOP (% sobre ingrs.)</t>
  </si>
  <si>
    <t>Arrendamiento (% ings.)</t>
  </si>
  <si>
    <t>Arrendamiento fijo</t>
  </si>
  <si>
    <t>Arrendamiento € / m2</t>
  </si>
  <si>
    <t>Precio adquisición m2</t>
  </si>
  <si>
    <t>Ingresos Alojamiento</t>
  </si>
  <si>
    <t>Ingresos Restauración</t>
  </si>
  <si>
    <t>Otros Ingresos</t>
  </si>
  <si>
    <t>TOTAL INGRESOS</t>
  </si>
  <si>
    <t>Personal</t>
  </si>
  <si>
    <t>Otros gastos explotación</t>
  </si>
  <si>
    <t>Arrendamiento</t>
  </si>
  <si>
    <t>Inversión adquisición</t>
  </si>
  <si>
    <t>Total Inversión</t>
  </si>
  <si>
    <t>ROI negocio hotelero</t>
  </si>
  <si>
    <t>ROI arrendamiento hotelero</t>
  </si>
  <si>
    <t>ROI renta fija</t>
  </si>
  <si>
    <t>Inversión / Habitación</t>
  </si>
  <si>
    <t>Arrend. Fijo € / hab.</t>
  </si>
  <si>
    <t>Ingreso alquiler / hab.</t>
  </si>
  <si>
    <t>Ingreso alquiler / m2 / mes</t>
  </si>
  <si>
    <t>RevPar</t>
  </si>
  <si>
    <t>Total RevPar</t>
  </si>
  <si>
    <t>Ingresos por hab.</t>
  </si>
  <si>
    <t>Total Ingresos por hab.</t>
  </si>
  <si>
    <t>Financiación</t>
  </si>
  <si>
    <t>% Financiación</t>
  </si>
  <si>
    <t>Rentabilidad Fondos Propios</t>
  </si>
  <si>
    <t>Pesimista</t>
  </si>
  <si>
    <t>EBIT</t>
  </si>
  <si>
    <t>Impuestos</t>
  </si>
  <si>
    <t>EBIAT</t>
  </si>
  <si>
    <t>CASH FLOW</t>
  </si>
  <si>
    <t>Tasa de descuento</t>
  </si>
  <si>
    <t>Inflación</t>
  </si>
  <si>
    <t>Tasa de crecimiento</t>
  </si>
  <si>
    <t>Básico</t>
  </si>
  <si>
    <t>Optimista</t>
  </si>
  <si>
    <t xml:space="preserve">Necesitamos 500 mil, una estrategia de cómo conseguir el dinero. </t>
  </si>
  <si>
    <t>Crecimiento Ventas</t>
  </si>
  <si>
    <t>Compras y Aprovisionamientos</t>
    <phoneticPr fontId="3" type="noConversion"/>
  </si>
  <si>
    <t>Tasa Impositiva</t>
  </si>
  <si>
    <t>Ratios de rentabilidad:</t>
  </si>
  <si>
    <t xml:space="preserve">ROE (Rentabilidad socio) = BDI / Neto </t>
  </si>
  <si>
    <t>ROA (Rentabilidad empresa) = BAII (1-t) / Activo</t>
  </si>
  <si>
    <t xml:space="preserve">Índice Apalancamiento Financiero  = ROE / ROA   </t>
  </si>
  <si>
    <t>&gt; 1 - ROE&gt;ROA - SOCIOS CAROS - SOLICITAR PRESTAMO A 3º</t>
  </si>
  <si>
    <t>&lt; 1 - ROE&lt;ROA - SOCIOS BARATOS - SOLICITAR PRESTAMO A SOCIOS (AMPIAR CAPITAL)</t>
  </si>
  <si>
    <t>ROE</t>
  </si>
  <si>
    <t>ROA</t>
  </si>
  <si>
    <t>IAF</t>
  </si>
  <si>
    <t>AÑO 0</t>
  </si>
  <si>
    <t xml:space="preserve">ACTIVO </t>
  </si>
  <si>
    <t>Activo Fijo</t>
  </si>
  <si>
    <t>Hotel, mobiliario, equipos</t>
  </si>
  <si>
    <t>Amortizacion acumulada</t>
  </si>
  <si>
    <t>TOTAL ACTIVO FIJO NETO</t>
  </si>
  <si>
    <t>Activo Circulante</t>
  </si>
  <si>
    <t>Inversiones</t>
  </si>
  <si>
    <t>Tesoreria</t>
  </si>
  <si>
    <t>Existencias</t>
  </si>
  <si>
    <t>Clientes</t>
  </si>
  <si>
    <t>TOTAL ACTIVO CIRCULANTE NETO</t>
  </si>
  <si>
    <t>TOTAL ACTIVO NETO</t>
  </si>
  <si>
    <t>PASIVO Y FONDOS PROPIOS</t>
  </si>
  <si>
    <t>Inversión: por numero de habitaciones, ratio. Me gasto 5 mil por habitación o dependendo del producto.</t>
  </si>
  <si>
    <t>Fondos propios</t>
  </si>
  <si>
    <t>Buscar precios de los productos: litera, colchón, mesas…</t>
  </si>
  <si>
    <t>Reservas</t>
  </si>
  <si>
    <t>Beneficios</t>
  </si>
  <si>
    <t>TOTAL FONDOS PROPIOS</t>
  </si>
  <si>
    <t>Pasivo circulante</t>
  </si>
  <si>
    <t>Proovedores</t>
  </si>
  <si>
    <t>TOTAL PASIVO</t>
  </si>
  <si>
    <t>TOTAL PASIVO + FONDOS PROPIOS</t>
  </si>
  <si>
    <t>TAX</t>
  </si>
  <si>
    <t>g = tasa de crecimiento</t>
  </si>
  <si>
    <t>Deuda</t>
  </si>
  <si>
    <t>Fondos Propios</t>
  </si>
  <si>
    <t>FLUJO DE CAJA OPERATIVO</t>
  </si>
  <si>
    <t>Ke (coste capital)</t>
  </si>
  <si>
    <t>Variaciones NOF</t>
  </si>
  <si>
    <t>Kd (coste de deuda)</t>
  </si>
  <si>
    <t>Capex</t>
  </si>
  <si>
    <t>FLUJO DE CAJA LIBRE</t>
  </si>
  <si>
    <t>Valor Residual</t>
  </si>
  <si>
    <t>FCL + VR</t>
  </si>
  <si>
    <t>WACC</t>
  </si>
  <si>
    <t>VAN</t>
  </si>
  <si>
    <t>FLUJOS</t>
  </si>
  <si>
    <t>TIR</t>
  </si>
  <si>
    <t>Co.Vivo Team</t>
  </si>
  <si>
    <t>Inversores</t>
  </si>
  <si>
    <t>Co.Vivo House Año 1</t>
  </si>
  <si>
    <t>Co.Vivo House Año 2</t>
  </si>
  <si>
    <t>Co.Vivo House Año 3</t>
  </si>
  <si>
    <t>Co.Vivo House Año 4</t>
  </si>
  <si>
    <t>Co.Vivo House Año 5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</si>
  <si>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</si>
  <si>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</si>
  <si>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</si>
  <si>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</si>
  <si>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</si>
  <si>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</si>
  <si>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</si>
  <si>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</si>
  <si>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</si>
  <si>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</si>
  <si>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50-60</t>
  </si>
  <si>
    <t>65-70</t>
  </si>
  <si>
    <t>75-80</t>
  </si>
  <si>
    <t>80-85</t>
    <phoneticPr fontId="3" type="noConversion"/>
  </si>
  <si>
    <t>*Fuente: http://www.bcn.cat/estadistica/angles/dades/economia/teoh/actual/r2016.htm</t>
  </si>
  <si>
    <t>Total Venta</t>
  </si>
  <si>
    <t>2. Pernoctaciones y perfil de los turistas </t>
  </si>
  <si>
    <t>       </t>
  </si>
  <si>
    <t>2011  </t>
  </si>
  <si>
    <t>2012  </t>
  </si>
  <si>
    <t>2013  </t>
  </si>
  <si>
    <t>2014  </t>
  </si>
  <si>
    <t>2015  </t>
  </si>
  <si>
    <t>2,1  </t>
  </si>
  <si>
    <t>2,2  </t>
  </si>
  <si>
    <t>77,5  </t>
  </si>
  <si>
    <t>77,0  </t>
  </si>
  <si>
    <t>76,8  </t>
  </si>
  <si>
    <t>78,2  </t>
  </si>
  <si>
    <t>80,3  </t>
  </si>
  <si>
    <t>67,6  </t>
  </si>
  <si>
    <t>67,8  </t>
  </si>
  <si>
    <t>67,5  </t>
  </si>
  <si>
    <t>68,6  </t>
  </si>
  <si>
    <t>71,0  </t>
  </si>
  <si>
    <t>Departament d'Estadística. Ajuntament de Barcelona.</t>
  </si>
  <si>
    <t>Fuente: Gremi d'Hotels de Barcelona per a Turisme de Barcelona.</t>
  </si>
  <si>
    <t>Año 1</t>
    <phoneticPr fontId="3" type="noConversion"/>
  </si>
  <si>
    <t>Año 2</t>
    <phoneticPr fontId="3" type="noConversion"/>
  </si>
  <si>
    <t>Año 3</t>
    <phoneticPr fontId="3" type="noConversion"/>
  </si>
  <si>
    <t>Año 4</t>
    <phoneticPr fontId="3" type="noConversion"/>
  </si>
  <si>
    <t>Año 5</t>
    <phoneticPr fontId="3" type="noConversion"/>
  </si>
  <si>
    <t>Ingresos de explotación</t>
  </si>
  <si>
    <t>Gastos de Personal</t>
    <phoneticPr fontId="3" type="noConversion"/>
  </si>
  <si>
    <t>Publicidad y promoción</t>
  </si>
  <si>
    <t>Seguros</t>
    <phoneticPr fontId="3" type="noConversion"/>
  </si>
  <si>
    <t>Suminsitros</t>
    <phoneticPr fontId="3" type="noConversion"/>
  </si>
  <si>
    <t>Internet</t>
  </si>
  <si>
    <t>Gastos generales</t>
    <phoneticPr fontId="3" type="noConversion"/>
  </si>
  <si>
    <t>Tributos</t>
  </si>
  <si>
    <t>Amortizamos en 20 años. Cada año tengo que pasar un 5% del total de inversión</t>
  </si>
  <si>
    <t>Total gastos</t>
  </si>
  <si>
    <t>Housekeeping entra en gastos generales o en una partida separada</t>
  </si>
  <si>
    <t>GOP</t>
  </si>
  <si>
    <t>Gastos por arrendamientos</t>
  </si>
  <si>
    <t xml:space="preserve">ALQUILEr fijo o variable: </t>
  </si>
  <si>
    <t>EBITDA</t>
  </si>
  <si>
    <t>Resultados financieros = intereses</t>
  </si>
  <si>
    <t>Amortizaciones</t>
  </si>
  <si>
    <t>BAI</t>
  </si>
  <si>
    <t xml:space="preserve">INISA, CDTI (organismos) : financiación </t>
  </si>
  <si>
    <t>Impuestos sobre sociedades</t>
  </si>
  <si>
    <t>Licencias</t>
    <phoneticPr fontId="3" type="noConversion"/>
  </si>
  <si>
    <t>Servicios Profesionales</t>
    <phoneticPr fontId="3" type="noConversion"/>
  </si>
  <si>
    <t xml:space="preserve">Otros servicios </t>
    <phoneticPr fontId="3" type="noConversion"/>
  </si>
  <si>
    <t xml:space="preserve">Marketing pre apertura </t>
    <phoneticPr fontId="3" type="noConversion"/>
  </si>
  <si>
    <t>Estructura del Capital de trabajo (NOF)</t>
  </si>
  <si>
    <t>Año 0</t>
  </si>
  <si>
    <t>Ventas totales (Año 1)</t>
  </si>
  <si>
    <t>Costo de Ventas (Año 1)</t>
  </si>
  <si>
    <t>Cuentas por cobrar  (Ventas año1)</t>
  </si>
  <si>
    <t>Inventario  (Costo ventas Año 1)</t>
  </si>
  <si>
    <t>Cuentas por pagar (costo ventas Año1)</t>
  </si>
  <si>
    <t>NOF requerido año 0</t>
  </si>
  <si>
    <t>ALQUILER FIJO</t>
  </si>
  <si>
    <t>Inversión (Pre apertura €/m2)</t>
  </si>
  <si>
    <t>Habitaciones</t>
  </si>
  <si>
    <t>Habitaciones/año</t>
  </si>
  <si>
    <t>Alquiler fijo</t>
  </si>
  <si>
    <t xml:space="preserve">MAXIMAS RESERVAS AL MES </t>
    <phoneticPr fontId="3" type="noConversion"/>
  </si>
  <si>
    <t>MAXIMAS RESERVAS AL AÑO</t>
    <phoneticPr fontId="3" type="noConversion"/>
  </si>
  <si>
    <t>EVENTOS</t>
    <phoneticPr fontId="3" type="noConversion"/>
  </si>
  <si>
    <t>Crecimiento Catres</t>
  </si>
  <si>
    <t>Crecimiento Lares</t>
  </si>
  <si>
    <t>AÑO 4</t>
    <phoneticPr fontId="3" type="noConversion"/>
  </si>
  <si>
    <t>AÑO 5</t>
    <phoneticPr fontId="3" type="noConversion"/>
  </si>
  <si>
    <t>ENERO</t>
    <phoneticPr fontId="3" type="noConversion"/>
  </si>
  <si>
    <t>FEBRERO</t>
    <phoneticPr fontId="3" type="noConversion"/>
  </si>
  <si>
    <t>MARZO</t>
    <phoneticPr fontId="3" type="noConversion"/>
  </si>
  <si>
    <t>ABRIL</t>
    <phoneticPr fontId="3" type="noConversion"/>
  </si>
  <si>
    <t>MAYO</t>
    <phoneticPr fontId="3" type="noConversion"/>
  </si>
  <si>
    <t>JUNIO</t>
    <phoneticPr fontId="3" type="noConversion"/>
  </si>
  <si>
    <t>JULIO</t>
    <phoneticPr fontId="3" type="noConversion"/>
  </si>
  <si>
    <t>AGOSTO</t>
    <phoneticPr fontId="3" type="noConversion"/>
  </si>
  <si>
    <t>SEPTIEMBRE</t>
    <phoneticPr fontId="3" type="noConversion"/>
  </si>
  <si>
    <t>OCTUBRE</t>
    <phoneticPr fontId="3" type="noConversion"/>
  </si>
  <si>
    <t>NOVIEMBRE</t>
    <phoneticPr fontId="3" type="noConversion"/>
  </si>
  <si>
    <t>DICIEMBRE</t>
    <phoneticPr fontId="3" type="noConversion"/>
  </si>
  <si>
    <t>PRECIO MEDIO</t>
    <phoneticPr fontId="3" type="noConversion"/>
  </si>
  <si>
    <t>TOTAL VENTAS</t>
    <phoneticPr fontId="3" type="noConversion"/>
  </si>
  <si>
    <t>TOTAL VENTAS AÑO</t>
    <phoneticPr fontId="3" type="noConversion"/>
  </si>
  <si>
    <t>Crecimiento</t>
  </si>
  <si>
    <r>
      <t xml:space="preserve"> </t>
    </r>
    <r>
      <rPr>
        <sz val="12"/>
        <rFont val="Calibri"/>
        <scheme val="minor"/>
      </rPr>
      <t>PRECIO MEDIO</t>
    </r>
    <phoneticPr fontId="3" type="noConversion"/>
  </si>
  <si>
    <t>PRECIO MEDIO</t>
  </si>
  <si>
    <t>TOTAL VENTAS AÑO</t>
  </si>
  <si>
    <t xml:space="preserve">Total Ventas </t>
    <phoneticPr fontId="3" type="noConversion"/>
  </si>
  <si>
    <t>Ocupación</t>
  </si>
  <si>
    <t>Costes M.O.D</t>
  </si>
  <si>
    <t>US $3 x 350 habitaciones / 30 días = US $ 35/día</t>
  </si>
  <si>
    <t>Gastos insumos y energeticos</t>
  </si>
  <si>
    <t>Coste M.O.I</t>
  </si>
  <si>
    <t>Gasto en formacion incentivos</t>
  </si>
  <si>
    <t>Gastos de Mantenimiento</t>
  </si>
  <si>
    <t>Gastos Generales</t>
  </si>
  <si>
    <t>Nº TOTAL PLAZAS</t>
  </si>
  <si>
    <t>M2</t>
  </si>
  <si>
    <t>TOTAL m2</t>
  </si>
  <si>
    <t>MAXIMAS RESERVAS AL MES</t>
  </si>
  <si>
    <t>MAXIMAS RESERVAS AL AÑO</t>
  </si>
  <si>
    <t>COcina</t>
  </si>
  <si>
    <t xml:space="preserve"> Total</t>
  </si>
  <si>
    <t>Zonas comunes</t>
  </si>
  <si>
    <t>ESTANCIA MEDIA</t>
  </si>
  <si>
    <t>COSTE HOUSEKEEPING HORA</t>
  </si>
  <si>
    <t>TIEMPO DE LIMPIEZA</t>
  </si>
  <si>
    <t>TIEMPO LIMPIEZA</t>
  </si>
  <si>
    <t xml:space="preserve">TOTAL HSK </t>
    <phoneticPr fontId="3" type="noConversion"/>
  </si>
  <si>
    <t>AMENITIES</t>
  </si>
  <si>
    <t>COSTE AMENITIE</t>
  </si>
  <si>
    <t>Almohadas</t>
    <phoneticPr fontId="3" type="noConversion"/>
  </si>
  <si>
    <t>Edredon</t>
    <phoneticPr fontId="3" type="noConversion"/>
  </si>
  <si>
    <t>TOTAL</t>
    <phoneticPr fontId="3" type="noConversion"/>
  </si>
  <si>
    <t>COSTES TOTALES HSK</t>
    <phoneticPr fontId="3" type="noConversion"/>
  </si>
  <si>
    <t>Inversión (Reforma €/m2)</t>
    <phoneticPr fontId="3" type="noConversion"/>
  </si>
  <si>
    <t>Inversión reforma/pre apertura</t>
  </si>
  <si>
    <t>Precio m2 alquiler Sant Gervasi/Sarria</t>
  </si>
  <si>
    <t>Alquiler anual</t>
  </si>
  <si>
    <t>Decoración (€/m2)</t>
    <phoneticPr fontId="3" type="noConversion"/>
  </si>
  <si>
    <t>Permisos (€/m2)</t>
    <phoneticPr fontId="3" type="noConversion"/>
  </si>
  <si>
    <t>Licencia (% /m2)</t>
    <phoneticPr fontId="3" type="noConversion"/>
  </si>
  <si>
    <t>Nº TOTAL PLAZAS</t>
    <phoneticPr fontId="3" type="noConversion"/>
  </si>
  <si>
    <t>M2</t>
    <phoneticPr fontId="3" type="noConversion"/>
  </si>
  <si>
    <t>Precio  unidad o m2</t>
    <phoneticPr fontId="3" type="noConversion"/>
  </si>
  <si>
    <t>COcina</t>
    <phoneticPr fontId="3" type="noConversion"/>
  </si>
  <si>
    <t xml:space="preserve">Decoración </t>
    <phoneticPr fontId="3" type="noConversion"/>
  </si>
  <si>
    <t>Total Consumo</t>
  </si>
  <si>
    <t>Consu/pax</t>
  </si>
  <si>
    <t>Nexus</t>
  </si>
  <si>
    <t>Noviembre</t>
  </si>
  <si>
    <t>Diciembre</t>
  </si>
  <si>
    <t>Consumo de AGUA</t>
  </si>
  <si>
    <t>AGUA</t>
    <phoneticPr fontId="3" type="noConversion"/>
  </si>
  <si>
    <t>to</t>
  </si>
  <si>
    <t>Consumo m3</t>
  </si>
  <si>
    <t>Sin IVA</t>
  </si>
  <si>
    <t>Aguas de Barcelona</t>
  </si>
  <si>
    <t>Sept- Oct</t>
  </si>
  <si>
    <t>Nov-Dec</t>
  </si>
  <si>
    <t>Consumos</t>
  </si>
  <si>
    <t>Gas</t>
  </si>
  <si>
    <t>Luz</t>
  </si>
  <si>
    <t>Agua</t>
  </si>
  <si>
    <t>Total</t>
  </si>
  <si>
    <t>INTERNET</t>
  </si>
  <si>
    <t>Mensual</t>
  </si>
  <si>
    <t>Anual</t>
  </si>
  <si>
    <t>MARKETING</t>
  </si>
  <si>
    <t>(incluido en las ventas)</t>
  </si>
  <si>
    <t>CANALES DE VENTAS</t>
  </si>
  <si>
    <t>COMISIÓN</t>
  </si>
  <si>
    <t>% VENTAS AÑO 1 Y 2</t>
    <phoneticPr fontId="3" type="noConversion"/>
  </si>
  <si>
    <t>AÑO 1</t>
  </si>
  <si>
    <t>AÑO 2</t>
  </si>
  <si>
    <t>AÑO 3</t>
  </si>
  <si>
    <t>AÑO 4</t>
  </si>
  <si>
    <t>AÑO 5</t>
  </si>
  <si>
    <t>% VENTAS AÑO 3 Y 4</t>
    <phoneticPr fontId="3" type="noConversion"/>
  </si>
  <si>
    <t>% VENTAS AÑO 5</t>
    <phoneticPr fontId="3" type="noConversion"/>
  </si>
  <si>
    <t>BOOKING</t>
  </si>
  <si>
    <t>BOOKING SUITE (CO.VIVO HOUSE)</t>
  </si>
  <si>
    <t>HOSTELWORLD</t>
  </si>
  <si>
    <t>HOTELBEDS</t>
  </si>
  <si>
    <t>DIRECTA</t>
  </si>
  <si>
    <t>TOTAL</t>
  </si>
  <si>
    <t xml:space="preserve">Crecimiento inversion anual </t>
    <phoneticPr fontId="3" type="noConversion"/>
  </si>
  <si>
    <t>PUBLICIDAD Y PROMOCIÓN</t>
    <phoneticPr fontId="3" type="noConversion"/>
  </si>
  <si>
    <t>AÑO 0</t>
    <phoneticPr fontId="3" type="noConversion"/>
  </si>
  <si>
    <t>Coste mensual</t>
    <phoneticPr fontId="3" type="noConversion"/>
  </si>
  <si>
    <t>MEDIOS ONLINE</t>
  </si>
  <si>
    <t>Google Adwords</t>
  </si>
  <si>
    <t>Offline: 200,00€ (flyiers) + 2600,00€ (articulo revista Monocle)</t>
  </si>
  <si>
    <t>Instagram</t>
  </si>
  <si>
    <t>Facebook</t>
  </si>
  <si>
    <t>- Online: 75,00€ Google Adwords + 120,00€ suscripcion empresa Google Analytics + 4,5€ (multiplicado por todos los anuncios que queramos yacer a traves de facebbok, 6-8 por ejemplo) + 14,00€ instagram (lo mismo)</t>
  </si>
  <si>
    <t>MEDIOS OFFLINE</t>
  </si>
  <si>
    <t>Flyers</t>
    <phoneticPr fontId="3" type="noConversion"/>
  </si>
  <si>
    <t>Revista Monocle</t>
    <phoneticPr fontId="3" type="noConversion"/>
  </si>
  <si>
    <t>PRE APERTURA</t>
    <phoneticPr fontId="3" type="noConversion"/>
  </si>
  <si>
    <t>MEDIOS ONLINE</t>
    <phoneticPr fontId="3" type="noConversion"/>
  </si>
  <si>
    <t>MEDIOS OFFLINE</t>
    <phoneticPr fontId="3" type="noConversion"/>
  </si>
  <si>
    <t>SEGUROS</t>
    <phoneticPr fontId="3" type="noConversion"/>
  </si>
  <si>
    <t xml:space="preserve"> Coste mensual</t>
    <phoneticPr fontId="3" type="noConversion"/>
  </si>
  <si>
    <t>AÑO 1</t>
    <phoneticPr fontId="3" type="noConversion"/>
  </si>
  <si>
    <t>AÑO 2</t>
    <phoneticPr fontId="3" type="noConversion"/>
  </si>
  <si>
    <t>AÑO 3</t>
    <phoneticPr fontId="3" type="noConversion"/>
  </si>
  <si>
    <t>Seguro anual</t>
    <phoneticPr fontId="3" type="noConversion"/>
  </si>
  <si>
    <t>seguro por cama</t>
  </si>
  <si>
    <t>Limpieza: cuantas hab hace una chica: 15</t>
  </si>
  <si>
    <t xml:space="preserve">Catres: mirar tiempo que puede tardar limpiar cada litera. Quizás tarda más tiempo para limpiar una hab con Catres </t>
  </si>
  <si>
    <t>https://www.hotelrsv.com/es/blog/2016/01/16/como-crear-anuncios-de-facebook-para-hoteles/</t>
  </si>
  <si>
    <t>CO.VIVO HOUSE S.L.</t>
    <phoneticPr fontId="3" type="noConversion"/>
  </si>
  <si>
    <t>En moneda local</t>
    <phoneticPr fontId="3" type="noConversion"/>
  </si>
  <si>
    <t>EUR</t>
  </si>
  <si>
    <t>COSTES DE NÓMINA SALARIO</t>
    <phoneticPr fontId="3" type="noConversion"/>
  </si>
  <si>
    <t>Threshold</t>
  </si>
  <si>
    <t>TIEMPO COMPLETO</t>
    <phoneticPr fontId="3" type="noConversion"/>
  </si>
  <si>
    <t>Coste de nómina</t>
    <phoneticPr fontId="3" type="noConversion"/>
  </si>
  <si>
    <t>Otros costes de nómina</t>
    <phoneticPr fontId="3" type="noConversion"/>
  </si>
  <si>
    <t>Coste de Seg. Social</t>
    <phoneticPr fontId="3" type="noConversion"/>
  </si>
  <si>
    <t>COSTE TOTAL DE NÓMINA</t>
    <phoneticPr fontId="3" type="noConversion"/>
  </si>
  <si>
    <t>Department on Summary P&amp;L</t>
  </si>
  <si>
    <t>Departmento</t>
    <phoneticPr fontId="3" type="noConversion"/>
  </si>
  <si>
    <t>Centro del coste</t>
    <phoneticPr fontId="3" type="noConversion"/>
  </si>
  <si>
    <t>Posición</t>
    <phoneticPr fontId="3" type="noConversion"/>
  </si>
  <si>
    <t>Nombre</t>
    <phoneticPr fontId="3" type="noConversion"/>
  </si>
  <si>
    <t>Salario basico actual (tiempo completo)</t>
    <phoneticPr fontId="3" type="noConversion"/>
  </si>
  <si>
    <t>Cambio salario %</t>
    <phoneticPr fontId="3" type="noConversion"/>
  </si>
  <si>
    <t>Salario base final</t>
    <phoneticPr fontId="3" type="noConversion"/>
  </si>
  <si>
    <t>Bonus %</t>
  </si>
  <si>
    <t>Seg. Social %</t>
    <phoneticPr fontId="3" type="noConversion"/>
  </si>
  <si>
    <t>Reception Labour - Payroll</t>
  </si>
  <si>
    <t>Nómina - Dirección</t>
    <phoneticPr fontId="3" type="noConversion"/>
  </si>
  <si>
    <t>Dirección</t>
    <phoneticPr fontId="3" type="noConversion"/>
  </si>
  <si>
    <t>Director general</t>
    <phoneticPr fontId="3" type="noConversion"/>
  </si>
  <si>
    <t>A definir</t>
    <phoneticPr fontId="3" type="noConversion"/>
  </si>
  <si>
    <t>Nómina - Finanzas</t>
    <phoneticPr fontId="3" type="noConversion"/>
  </si>
  <si>
    <t>Financiero</t>
    <phoneticPr fontId="3" type="noConversion"/>
  </si>
  <si>
    <t>Jamile Radloff</t>
    <phoneticPr fontId="3" type="noConversion"/>
  </si>
  <si>
    <t>Nómina - Operaciones</t>
    <phoneticPr fontId="3" type="noConversion"/>
  </si>
  <si>
    <t>Jefe de Operaciones y Eventos</t>
    <phoneticPr fontId="3" type="noConversion"/>
  </si>
  <si>
    <t>Beatriz Lloveras</t>
    <phoneticPr fontId="3" type="noConversion"/>
  </si>
  <si>
    <t>Nómina- Ventas</t>
    <phoneticPr fontId="3" type="noConversion"/>
  </si>
  <si>
    <t>Jefe de Ventas y Marketing</t>
    <phoneticPr fontId="3" type="noConversion"/>
  </si>
  <si>
    <t>Ignacio Escribano</t>
    <phoneticPr fontId="3" type="noConversion"/>
  </si>
  <si>
    <t>Jefe de Recepción &amp; Reservas</t>
    <phoneticPr fontId="3" type="noConversion"/>
  </si>
  <si>
    <t>Recepcionista</t>
    <phoneticPr fontId="3" type="noConversion"/>
  </si>
  <si>
    <t>Mantenimiento</t>
    <phoneticPr fontId="3" type="noConversion"/>
  </si>
  <si>
    <t>Total anual</t>
  </si>
  <si>
    <t>Bruto año</t>
  </si>
  <si>
    <t>Coste Total Nómina</t>
  </si>
  <si>
    <t>General Manager</t>
    <phoneticPr fontId="3" type="noConversion"/>
  </si>
  <si>
    <t>Operations &amp; Events Manager</t>
    <phoneticPr fontId="3" type="noConversion"/>
  </si>
  <si>
    <t>Sales &amp; Marketing Manager</t>
    <phoneticPr fontId="3" type="noConversion"/>
  </si>
  <si>
    <t>Rooms</t>
  </si>
  <si>
    <t xml:space="preserve">  Camareras de piso</t>
  </si>
  <si>
    <t>Mantenimiento</t>
  </si>
  <si>
    <t>Operario</t>
  </si>
  <si>
    <t>TOTAL SALARIOS</t>
  </si>
  <si>
    <t>Año 1</t>
  </si>
  <si>
    <t>Año 2</t>
  </si>
  <si>
    <t>Año 3</t>
  </si>
  <si>
    <t>Año 4</t>
  </si>
  <si>
    <t>Año 5</t>
  </si>
  <si>
    <t>Gasto Nominas</t>
  </si>
  <si>
    <t>Gasto formacion 1%</t>
  </si>
  <si>
    <t>Gasto Incentivos</t>
  </si>
  <si>
    <t>Total Gasto RRHH</t>
  </si>
  <si>
    <t>GAS</t>
    <phoneticPr fontId="3" type="noConversion"/>
  </si>
  <si>
    <t>Proveedor</t>
  </si>
  <si>
    <t>From</t>
  </si>
  <si>
    <t>To</t>
  </si>
  <si>
    <t>Consumo KWh</t>
  </si>
  <si>
    <t>Cost</t>
  </si>
  <si>
    <t>Cost + VAT</t>
  </si>
  <si>
    <t xml:space="preserve">Lectura m3 </t>
  </si>
  <si>
    <t>Sleepers</t>
  </si>
  <si>
    <t>Cost/pax</t>
  </si>
  <si>
    <t>Nexus Energia</t>
  </si>
  <si>
    <t>Main Voltage</t>
  </si>
  <si>
    <t>Auxiliar  Voltage</t>
  </si>
  <si>
    <t>Costs+Sleepers</t>
  </si>
  <si>
    <t>LUZ</t>
    <phoneticPr fontId="3" type="noConversion"/>
  </si>
  <si>
    <t>Sin Iva</t>
  </si>
  <si>
    <t>Con Iva</t>
  </si>
  <si>
    <t>Month</t>
  </si>
  <si>
    <t>Mobiliario</t>
  </si>
  <si>
    <t>Gastos mantenimiento</t>
  </si>
  <si>
    <t>Gastos de Publicidad y Promoción</t>
  </si>
  <si>
    <t>crecimiento medio anual</t>
  </si>
  <si>
    <t>Compras y aprovisionamientos</t>
  </si>
  <si>
    <t>Ocupación MAXIMA PAX POR MES</t>
  </si>
  <si>
    <t>Ocupación MAXIMA PAX POR AÑO</t>
  </si>
  <si>
    <t xml:space="preserve"> % Ocupación</t>
  </si>
  <si>
    <t xml:space="preserve"> Ocupación Catres</t>
  </si>
  <si>
    <t>% Ocupación</t>
  </si>
  <si>
    <t>Ocupación IDEAL</t>
  </si>
  <si>
    <t>Grado de Ocupación hotelera (% sobre habitaciones)  </t>
  </si>
  <si>
    <t>Grado de Ocupación hotelera (% sobre plazas)  </t>
  </si>
  <si>
    <t>Gastos Seguro</t>
  </si>
  <si>
    <t>Ono Fibra (50Mbps/5Mbps) + VPN</t>
  </si>
  <si>
    <t>ROS rentabilidad/ventas</t>
  </si>
  <si>
    <t>ROE rentabilidad/recursos propios</t>
  </si>
  <si>
    <t>ROI rentabilidad sobre capital invertido</t>
  </si>
  <si>
    <t xml:space="preserve"> 10 años</t>
  </si>
  <si>
    <t>recuperan</t>
  </si>
  <si>
    <t>Capital de trabajo Neto</t>
  </si>
  <si>
    <t>15-20% de la empresa</t>
  </si>
  <si>
    <t>Inversor</t>
  </si>
  <si>
    <t>Dirección</t>
  </si>
  <si>
    <t>Financial Controller</t>
  </si>
  <si>
    <t xml:space="preserve">Front Desk &amp; Reservations Manager </t>
  </si>
  <si>
    <t>Recepcionista</t>
  </si>
  <si>
    <t>ADR</t>
  </si>
  <si>
    <t>BENEFICIO NETO</t>
  </si>
  <si>
    <t>Permisos</t>
  </si>
  <si>
    <t>Permisos BEA:
https://w30.bcn.cat/APPS/portaltramits/portal/channel/default.html?&amp;stpid=20100000618&amp;style=ciudadano&amp;language=es</t>
  </si>
  <si>
    <t>BEA:</t>
  </si>
  <si>
    <t>FUENTE SALARIO DEVELOPMENT MANAGER:</t>
  </si>
  <si>
    <t>http://espana.jobtonic.es/salary/26526/15891.html#chart-avgSalaryByYear</t>
  </si>
  <si>
    <t>FUENTE:</t>
  </si>
  <si>
    <t>http://web.gencat.cat/es/tramits/tramits-temes/Establiments-comercials-de-1.300-a-2.500-m2-00001?moda=1</t>
  </si>
  <si>
    <t>Co.Lunching</t>
  </si>
  <si>
    <t>Tecnología</t>
  </si>
  <si>
    <t>Reforma</t>
  </si>
  <si>
    <t>Inversión</t>
  </si>
  <si>
    <t>INVERSIÓN INICIAL</t>
  </si>
  <si>
    <t>Servicios técnicos</t>
  </si>
  <si>
    <t>Lares/ Apartamentos</t>
  </si>
  <si>
    <t>TOTAL HSK Lares</t>
  </si>
  <si>
    <t xml:space="preserve"> Ocupación Lares</t>
  </si>
  <si>
    <t>Coste Co.Lab</t>
  </si>
  <si>
    <t>Co.Lab</t>
  </si>
  <si>
    <t>Co.Labs</t>
  </si>
  <si>
    <t>ADR Co.Labs</t>
  </si>
  <si>
    <t>% Ocupación Co.Labs</t>
  </si>
  <si>
    <t>Co.Lab/Co.Lunching</t>
  </si>
  <si>
    <t>Ingresos Co.Lab/Co.Lunching</t>
  </si>
  <si>
    <t xml:space="preserve"> Ocupación Co.Lab/Co.Lunching</t>
  </si>
  <si>
    <t>Ocupación Co.Lab/Co.Lunching</t>
  </si>
  <si>
    <t>Costes Co.Living</t>
  </si>
  <si>
    <t>Co.Living</t>
  </si>
  <si>
    <t>Ingresos Co.Living</t>
  </si>
  <si>
    <t>Comisiones Co.Living</t>
  </si>
  <si>
    <t xml:space="preserve">Mirar consumos, no podemos calcular en base de la Ocupación total. Catres ok, pero Lares pueden estar 1 o 2 personas. Co.Working creo que ok tb. Y los eventos? </t>
  </si>
  <si>
    <t>Co.Working Spain</t>
  </si>
  <si>
    <t>Coste Co.Working</t>
  </si>
  <si>
    <t>Co.Working</t>
  </si>
  <si>
    <t xml:space="preserve"> Ocupación Co.Working</t>
  </si>
  <si>
    <t>Ingresos Co.Working</t>
  </si>
  <si>
    <t>ADR Co.Working</t>
  </si>
  <si>
    <t>% Ocupación Co.Working</t>
  </si>
  <si>
    <t>Catres/ Catres</t>
  </si>
  <si>
    <t>TOTAL HSK Catres</t>
  </si>
  <si>
    <t>Ocupación Catres</t>
  </si>
  <si>
    <t>Tarifa DÍAria</t>
  </si>
  <si>
    <t>Ejemplo, si su hotel tiene 350 habitaciones y esta es su única campaña en Facebook, el presupuesto DÍArio para un aumento de conversiones en su sitio web debe de ser alrededor de</t>
  </si>
  <si>
    <t>TIEMPO LIMPIEZA AL DÍA</t>
  </si>
  <si>
    <t>DÍAS TRABAJADOS AL AÑO</t>
  </si>
  <si>
    <t>Rotacion/DÍAs</t>
  </si>
  <si>
    <t>DÍAs de cobro</t>
  </si>
  <si>
    <t>DÍAs de pago</t>
  </si>
  <si>
    <t>DÍAs de inventario</t>
  </si>
  <si>
    <t xml:space="preserve">[10:23, 22/6/2017] Maria Cristina: Si la MEDIA es 8,1                        </t>
  </si>
  <si>
    <t>OCUPACIÓN MAXIMA PAX POR MES</t>
  </si>
  <si>
    <t>OCUPACIÓN MAXIMA PAX POR AÑO</t>
  </si>
  <si>
    <t>OCUPACIÓN</t>
  </si>
  <si>
    <t>LAVANDERÍA</t>
  </si>
  <si>
    <t>COSTE LAVANDERÍA</t>
  </si>
  <si>
    <t>Cojín</t>
  </si>
  <si>
    <t>Cubre colchón</t>
  </si>
  <si>
    <t>Sábanas</t>
  </si>
  <si>
    <t xml:space="preserve">Crecimiento Medio Anual Ventas </t>
  </si>
  <si>
    <t>Crecimiento Medio Anual Ocupación Co.Living</t>
  </si>
  <si>
    <t>Crecimiento Medio Anual Ocupación Co.Working</t>
  </si>
  <si>
    <t>Crecimiento Medio Anual Ocupación Co.Labs/Co.Lunching</t>
  </si>
  <si>
    <t>Ocupación Media Anual Catres</t>
  </si>
  <si>
    <t>Ocupación Media Anual Lares</t>
  </si>
  <si>
    <t>Ocupación Media Anual Co.Working</t>
  </si>
  <si>
    <t>Ocupación Media Anual Co.Lab/Co.Lunching</t>
  </si>
  <si>
    <t>Ocupación Media Hoteles BCN 2016 *</t>
  </si>
  <si>
    <t>Media Anual</t>
  </si>
  <si>
    <t>2.2. Estancia Media en hoteles y grado de Ocupación hotelera. 2011-2015</t>
  </si>
  <si>
    <t>Estancia Media (número de noches)  </t>
  </si>
  <si>
    <t>TOTAL VENTAS</t>
  </si>
  <si>
    <t xml:space="preserve"> TOTAL VENTAS</t>
  </si>
  <si>
    <t>Total ingresos Co.Living</t>
  </si>
  <si>
    <t>Ocupación Co.Vivo House - Co.Living</t>
  </si>
  <si>
    <t>Total Coste Ventas</t>
  </si>
  <si>
    <t>Gastos Personal</t>
  </si>
  <si>
    <t>Gastos suministros</t>
  </si>
  <si>
    <t>Gastos Internet</t>
  </si>
  <si>
    <t>Total Gastos</t>
  </si>
  <si>
    <t>HOUSEKEEPING</t>
  </si>
  <si>
    <t>HOUSEKEEPING ZONAS COMUNES</t>
  </si>
  <si>
    <t>EXPEDIA</t>
  </si>
  <si>
    <t>% VENTAS AÑO 1 Y 2</t>
  </si>
  <si>
    <t>% VENTAS AÑO 3 Y 4</t>
  </si>
  <si>
    <t>% VENTAS AÑO 5</t>
  </si>
  <si>
    <t xml:space="preserve">ROS </t>
  </si>
  <si>
    <t xml:space="preserve">ROE </t>
  </si>
  <si>
    <t>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</si>
</sst>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6" formatCode="&quot;€&quot;#,##0;[Red]\-&quot;€&quot;#,##0"/>
    <numFmt numFmtId="8" formatCode="&quot;€&quot;#,##0.00;[Red]\-&quot;€&quot;#,##0.00"/>
    <numFmt numFmtId="43" formatCode="_-* #,##0.00_-;\-* #,##0.00_-;_-* &quot;-&quot;??_-;_-@_-"/>
    <numFmt numFmtId="164" formatCode="_-* #,##0.00\ &quot;€&quot;_-;\-* #,##0.00\ &quot;€&quot;_-;_-* &quot;-&quot;??\ &quot;€&quot;_-;_-@_-"/>
    <numFmt numFmtId="165" formatCode="_(&quot;€&quot;* #,##0.00_);_(&quot;€&quot;* \(#,##0.00\);_(&quot;€&quot;* &quot;-&quot;??_);_(@_)"/>
    <numFmt numFmtId="166" formatCode="_(* #,##0.00_);_(* \(#,##0.00\);_(* &quot;-&quot;??_);_(@_)"/>
    <numFmt numFmtId="167" formatCode="_-* #,##0_-;* \(#,##0\)_-;_-* &quot;-&quot;??_-;_-@_-"/>
    <numFmt numFmtId="168" formatCode="_-* #,##0_-;\-* #,##0_-;_-* &quot;-&quot;??_-;_-@_-"/>
    <numFmt numFmtId="169" formatCode="0.0%"/>
    <numFmt numFmtId="170" formatCode="_-* #,##0\ &quot;€&quot;_-;\-* #,##0\ &quot;€&quot;_-;_-* &quot;-&quot;??\ &quot;€&quot;_-;_-@_-"/>
    <numFmt numFmtId="171" formatCode="_-* #,##0\ &quot;€&quot;_-;\-* #,##0.0\ &quot;€&quot;_-;_-* &quot;-&quot;??\ &quot;€&quot;_-;_-@_-"/>
    <numFmt numFmtId="172" formatCode="#,##0.00&quot;€&quot;"/>
    <numFmt numFmtId="173" formatCode="&quot;€&quot;#,##0.00"/>
    <numFmt numFmtId="174" formatCode="_-* #,##0.0\ &quot;€&quot;_-;\-* #,##0.00\ &quot;€&quot;_-;_-* &quot;-&quot;??\ &quot;€&quot;_-;_-@_-"/>
    <numFmt numFmtId="175" formatCode="_-* #,##0.0_-;\-* #,##0.0_-;_-* &quot;-&quot;??_-;_-@_-"/>
    <numFmt numFmtId="176" formatCode="_-* #,##0.0\ &quot;€&quot;_-;\-* #,##0.0\ &quot;€&quot;_-;_-* &quot;-&quot;??\ &quot;€&quot;_-;_-@_-"/>
    <numFmt numFmtId="177" formatCode="&quot;€&quot;#,##0"/>
  </numFmts>
  <fonts count="38" x14ac:knownFonts="1">
    <font>
      <sz val="10"/>
      <name val="Verdana"/>
    </font>
    <font>
      <sz val="12"/>
      <color theme="1"/>
      <name val="Calibri"/>
      <family val="2"/>
      <scheme val="minor"/>
    </font>
    <font>
      <sz val="10"/>
      <name val="Verdana"/>
    </font>
    <font>
      <sz val="8"/>
      <name val="Verdana"/>
    </font>
    <font>
      <sz val="11"/>
      <color indexed="8"/>
      <name val="Calibri"/>
    </font>
    <font>
      <sz val="10"/>
      <color indexed="8"/>
      <name val="Arial"/>
      <family val="2"/>
    </font>
    <font>
      <sz val="10"/>
      <name val="Arial"/>
      <family val="2"/>
    </font>
    <font>
      <b/>
      <sz val="9"/>
      <color indexed="81"/>
      <name val="Verdana"/>
    </font>
    <font>
      <sz val="9"/>
      <color indexed="81"/>
      <name val="Verdana"/>
    </font>
    <font>
      <sz val="10"/>
      <name val="Verdana"/>
    </font>
    <font>
      <b/>
      <sz val="12"/>
      <color theme="1"/>
      <name val="Calibri"/>
      <family val="2"/>
      <scheme val="minor"/>
    </font>
    <font>
      <sz val="12"/>
      <name val="Calibri"/>
      <scheme val="minor"/>
    </font>
    <font>
      <b/>
      <sz val="12"/>
      <name val="Calibri"/>
      <scheme val="minor"/>
    </font>
    <font>
      <b/>
      <sz val="12"/>
      <color indexed="8"/>
      <name val="Calibri"/>
      <scheme val="minor"/>
    </font>
    <font>
      <u/>
      <sz val="10"/>
      <color indexed="12"/>
      <name val="Verdana"/>
    </font>
    <font>
      <u/>
      <sz val="10"/>
      <color indexed="20"/>
      <name val="Verdana"/>
    </font>
    <font>
      <sz val="12"/>
      <color rgb="FF000000"/>
      <name val="Calibri"/>
      <scheme val="minor"/>
    </font>
    <font>
      <b/>
      <sz val="12"/>
      <color rgb="FF000000"/>
      <name val="Calibri"/>
      <scheme val="minor"/>
    </font>
    <font>
      <sz val="12"/>
      <color indexed="8"/>
      <name val="Calibri"/>
      <family val="2"/>
      <scheme val="minor"/>
    </font>
    <font>
      <b/>
      <sz val="12"/>
      <color indexed="56"/>
      <name val="Calibri"/>
      <family val="2"/>
      <scheme val="minor"/>
    </font>
    <font>
      <b/>
      <sz val="12"/>
      <color indexed="62"/>
      <name val="Calibri"/>
      <family val="2"/>
      <scheme val="minor"/>
    </font>
    <font>
      <sz val="12"/>
      <color indexed="10"/>
      <name val="Calibri"/>
      <family val="2"/>
      <scheme val="minor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12"/>
      <name val="Calibri"/>
    </font>
    <font>
      <b/>
      <sz val="12"/>
      <name val="Calibri"/>
    </font>
    <font>
      <sz val="12"/>
      <color rgb="FF666666"/>
      <name val="Calibri"/>
      <scheme val="minor"/>
    </font>
    <font>
      <b/>
      <sz val="11"/>
      <color indexed="8"/>
      <name val="Century Gothic"/>
      <family val="2"/>
    </font>
    <font>
      <sz val="12"/>
      <color indexed="8"/>
      <name val="Calibri"/>
      <family val="2"/>
    </font>
    <font>
      <sz val="12"/>
      <color indexed="30"/>
      <name val="Calibri"/>
      <family val="2"/>
    </font>
    <font>
      <sz val="12"/>
      <color indexed="10"/>
      <name val="Calibri"/>
      <family val="2"/>
    </font>
    <font>
      <sz val="12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name val="Arial"/>
    </font>
    <font>
      <b/>
      <sz val="10"/>
      <name val="Verdana"/>
    </font>
  </fonts>
  <fills count="30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7DDE8"/>
        <bgColor indexed="64"/>
      </patternFill>
    </fill>
    <fill>
      <patternFill patternType="solid">
        <fgColor rgb="FF33CCCC"/>
        <bgColor rgb="FF000000"/>
      </patternFill>
    </fill>
    <fill>
      <patternFill patternType="solid">
        <fgColor rgb="FFFCF305"/>
        <bgColor rgb="FF000000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58">
    <xf numFmtId="0" fontId="0" fillId="0" borderId="0"/>
    <xf numFmtId="0" fontId="4" fillId="0" borderId="0"/>
    <xf numFmtId="0" fontId="5" fillId="0" borderId="0"/>
    <xf numFmtId="0" fontId="6" fillId="0" borderId="0"/>
    <xf numFmtId="166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</cellStyleXfs>
  <cellXfs count="676">
    <xf numFmtId="0" fontId="0" fillId="0" borderId="0" xfId="0"/>
    <xf numFmtId="0" fontId="0" fillId="0" borderId="0" xfId="0" applyBorder="1"/>
    <xf numFmtId="0" fontId="10" fillId="0" borderId="0" xfId="0" applyFont="1" applyAlignment="1">
      <alignment horizontal="center"/>
    </xf>
    <xf numFmtId="9" fontId="10" fillId="0" borderId="0" xfId="0" applyNumberFormat="1" applyFont="1" applyAlignment="1">
      <alignment horizontal="center"/>
    </xf>
    <xf numFmtId="0" fontId="10" fillId="0" borderId="0" xfId="0" applyFont="1"/>
    <xf numFmtId="3" fontId="10" fillId="0" borderId="0" xfId="0" applyNumberFormat="1" applyFont="1"/>
    <xf numFmtId="169" fontId="10" fillId="0" borderId="0" xfId="0" applyNumberFormat="1" applyFont="1"/>
    <xf numFmtId="0" fontId="11" fillId="0" borderId="0" xfId="0" applyFont="1"/>
    <xf numFmtId="3" fontId="11" fillId="0" borderId="0" xfId="0" applyNumberFormat="1" applyFont="1"/>
    <xf numFmtId="0" fontId="11" fillId="17" borderId="0" xfId="0" applyFont="1" applyFill="1"/>
    <xf numFmtId="3" fontId="12" fillId="17" borderId="0" xfId="0" applyNumberFormat="1" applyFont="1" applyFill="1" applyAlignment="1">
      <alignment horizontal="center"/>
    </xf>
    <xf numFmtId="0" fontId="12" fillId="17" borderId="0" xfId="0" applyFont="1" applyFill="1" applyAlignment="1">
      <alignment horizontal="center"/>
    </xf>
    <xf numFmtId="0" fontId="13" fillId="18" borderId="0" xfId="0" applyFont="1" applyFill="1"/>
    <xf numFmtId="0" fontId="12" fillId="18" borderId="0" xfId="0" applyFont="1" applyFill="1"/>
    <xf numFmtId="4" fontId="11" fillId="0" borderId="0" xfId="0" applyNumberFormat="1" applyFont="1"/>
    <xf numFmtId="0" fontId="11" fillId="0" borderId="0" xfId="0" applyFont="1" applyFill="1" applyBorder="1"/>
    <xf numFmtId="10" fontId="11" fillId="0" borderId="0" xfId="0" applyNumberFormat="1" applyFont="1"/>
    <xf numFmtId="9" fontId="11" fillId="19" borderId="0" xfId="0" applyNumberFormat="1" applyFont="1" applyFill="1" applyAlignment="1">
      <alignment horizontal="right"/>
    </xf>
    <xf numFmtId="9" fontId="12" fillId="19" borderId="0" xfId="0" applyNumberFormat="1" applyFont="1" applyFill="1" applyAlignment="1">
      <alignment horizontal="right"/>
    </xf>
    <xf numFmtId="0" fontId="16" fillId="0" borderId="0" xfId="0" applyFont="1"/>
    <xf numFmtId="9" fontId="11" fillId="0" borderId="0" xfId="6" applyFont="1"/>
    <xf numFmtId="169" fontId="11" fillId="0" borderId="0" xfId="0" applyNumberFormat="1" applyFont="1"/>
    <xf numFmtId="0" fontId="16" fillId="0" borderId="1" xfId="0" applyFont="1" applyBorder="1"/>
    <xf numFmtId="0" fontId="16" fillId="0" borderId="36" xfId="0" applyFont="1" applyBorder="1"/>
    <xf numFmtId="9" fontId="12" fillId="0" borderId="0" xfId="6" applyFont="1"/>
    <xf numFmtId="0" fontId="17" fillId="0" borderId="5" xfId="0" applyFont="1" applyBorder="1"/>
    <xf numFmtId="170" fontId="17" fillId="0" borderId="36" xfId="0" applyNumberFormat="1" applyFont="1" applyBorder="1"/>
    <xf numFmtId="0" fontId="16" fillId="0" borderId="5" xfId="0" applyFont="1" applyBorder="1"/>
    <xf numFmtId="170" fontId="16" fillId="0" borderId="36" xfId="0" applyNumberFormat="1" applyFont="1" applyBorder="1"/>
    <xf numFmtId="164" fontId="16" fillId="0" borderId="36" xfId="0" applyNumberFormat="1" applyFont="1" applyBorder="1"/>
    <xf numFmtId="0" fontId="17" fillId="20" borderId="5" xfId="0" applyFont="1" applyFill="1" applyBorder="1"/>
    <xf numFmtId="170" fontId="17" fillId="20" borderId="36" xfId="0" applyNumberFormat="1" applyFont="1" applyFill="1" applyBorder="1"/>
    <xf numFmtId="0" fontId="17" fillId="21" borderId="5" xfId="0" applyFont="1" applyFill="1" applyBorder="1"/>
    <xf numFmtId="170" fontId="17" fillId="21" borderId="36" xfId="0" applyNumberFormat="1" applyFont="1" applyFill="1" applyBorder="1"/>
    <xf numFmtId="0" fontId="17" fillId="20" borderId="30" xfId="0" applyFont="1" applyFill="1" applyBorder="1" applyAlignment="1">
      <alignment horizontal="center"/>
    </xf>
    <xf numFmtId="170" fontId="16" fillId="22" borderId="36" xfId="0" applyNumberFormat="1" applyFont="1" applyFill="1" applyBorder="1"/>
    <xf numFmtId="0" fontId="17" fillId="20" borderId="1" xfId="0" applyFont="1" applyFill="1" applyBorder="1" applyAlignment="1">
      <alignment horizontal="center"/>
    </xf>
    <xf numFmtId="170" fontId="16" fillId="0" borderId="1" xfId="0" applyNumberFormat="1" applyFont="1" applyBorder="1"/>
    <xf numFmtId="170" fontId="16" fillId="22" borderId="1" xfId="0" applyNumberFormat="1" applyFont="1" applyFill="1" applyBorder="1"/>
    <xf numFmtId="170" fontId="17" fillId="20" borderId="1" xfId="0" applyNumberFormat="1" applyFont="1" applyFill="1" applyBorder="1"/>
    <xf numFmtId="170" fontId="17" fillId="21" borderId="1" xfId="0" applyNumberFormat="1" applyFont="1" applyFill="1" applyBorder="1"/>
    <xf numFmtId="170" fontId="11" fillId="0" borderId="0" xfId="0" applyNumberFormat="1" applyFont="1"/>
    <xf numFmtId="0" fontId="11" fillId="14" borderId="0" xfId="0" applyFont="1" applyFill="1"/>
    <xf numFmtId="9" fontId="11" fillId="14" borderId="0" xfId="0" applyNumberFormat="1" applyFont="1" applyFill="1"/>
    <xf numFmtId="0" fontId="11" fillId="17" borderId="1" xfId="0" applyFont="1" applyFill="1" applyBorder="1"/>
    <xf numFmtId="0" fontId="10" fillId="17" borderId="1" xfId="0" applyFont="1" applyFill="1" applyBorder="1" applyAlignment="1">
      <alignment horizontal="center"/>
    </xf>
    <xf numFmtId="0" fontId="10" fillId="0" borderId="1" xfId="0" applyFont="1" applyBorder="1"/>
    <xf numFmtId="170" fontId="10" fillId="0" borderId="1" xfId="8" applyNumberFormat="1" applyFont="1" applyBorder="1"/>
    <xf numFmtId="0" fontId="11" fillId="0" borderId="1" xfId="0" applyFont="1" applyBorder="1"/>
    <xf numFmtId="170" fontId="11" fillId="18" borderId="1" xfId="8" applyNumberFormat="1" applyFont="1" applyFill="1" applyBorder="1"/>
    <xf numFmtId="170" fontId="11" fillId="0" borderId="1" xfId="8" applyNumberFormat="1" applyFont="1" applyBorder="1"/>
    <xf numFmtId="10" fontId="11" fillId="14" borderId="0" xfId="0" applyNumberFormat="1" applyFont="1" applyFill="1"/>
    <xf numFmtId="0" fontId="10" fillId="17" borderId="1" xfId="0" applyFont="1" applyFill="1" applyBorder="1" applyAlignment="1">
      <alignment horizontal="right"/>
    </xf>
    <xf numFmtId="0" fontId="10" fillId="17" borderId="1" xfId="0" applyFont="1" applyFill="1" applyBorder="1"/>
    <xf numFmtId="170" fontId="10" fillId="17" borderId="1" xfId="8" applyNumberFormat="1" applyFont="1" applyFill="1" applyBorder="1"/>
    <xf numFmtId="171" fontId="11" fillId="0" borderId="0" xfId="0" applyNumberFormat="1" applyFont="1"/>
    <xf numFmtId="170" fontId="12" fillId="17" borderId="1" xfId="0" applyNumberFormat="1" applyFont="1" applyFill="1" applyBorder="1"/>
    <xf numFmtId="171" fontId="12" fillId="17" borderId="1" xfId="0" applyNumberFormat="1" applyFont="1" applyFill="1" applyBorder="1"/>
    <xf numFmtId="0" fontId="12" fillId="16" borderId="0" xfId="0" applyFont="1" applyFill="1" applyAlignment="1">
      <alignment horizontal="center"/>
    </xf>
    <xf numFmtId="10" fontId="12" fillId="16" borderId="0" xfId="0" applyNumberFormat="1" applyFont="1" applyFill="1"/>
    <xf numFmtId="0" fontId="11" fillId="7" borderId="2" xfId="0" applyFont="1" applyFill="1" applyBorder="1"/>
    <xf numFmtId="0" fontId="18" fillId="0" borderId="30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4" fontId="11" fillId="0" borderId="1" xfId="0" applyNumberFormat="1" applyFont="1" applyBorder="1"/>
    <xf numFmtId="4" fontId="11" fillId="0" borderId="1" xfId="0" applyNumberFormat="1" applyFont="1" applyBorder="1"/>
    <xf numFmtId="4" fontId="13" fillId="0" borderId="1" xfId="0" applyNumberFormat="1" applyFont="1" applyBorder="1"/>
    <xf numFmtId="3" fontId="11" fillId="0" borderId="1" xfId="0" applyNumberFormat="1" applyFont="1" applyBorder="1"/>
    <xf numFmtId="3" fontId="13" fillId="0" borderId="1" xfId="0" applyNumberFormat="1" applyFont="1" applyBorder="1"/>
    <xf numFmtId="2" fontId="19" fillId="0" borderId="1" xfId="0" applyNumberFormat="1" applyFont="1" applyBorder="1"/>
    <xf numFmtId="0" fontId="11" fillId="8" borderId="2" xfId="0" applyFont="1" applyFill="1" applyBorder="1"/>
    <xf numFmtId="0" fontId="18" fillId="0" borderId="1" xfId="0" applyFont="1" applyBorder="1"/>
    <xf numFmtId="0" fontId="18" fillId="0" borderId="1" xfId="0" applyFont="1" applyFill="1" applyBorder="1" applyAlignment="1">
      <alignment horizontal="center"/>
    </xf>
    <xf numFmtId="4" fontId="12" fillId="0" borderId="1" xfId="0" applyNumberFormat="1" applyFont="1" applyBorder="1" applyAlignment="1">
      <alignment horizontal="center"/>
    </xf>
    <xf numFmtId="4" fontId="11" fillId="0" borderId="1" xfId="0" applyNumberFormat="1" applyFont="1" applyBorder="1" applyAlignment="1"/>
    <xf numFmtId="3" fontId="11" fillId="0" borderId="1" xfId="0" applyNumberFormat="1" applyFont="1" applyBorder="1" applyAlignment="1">
      <alignment horizontal="right"/>
    </xf>
    <xf numFmtId="14" fontId="11" fillId="0" borderId="1" xfId="0" applyNumberFormat="1" applyFont="1" applyBorder="1" applyAlignment="1">
      <alignment horizontal="right"/>
    </xf>
    <xf numFmtId="0" fontId="12" fillId="0" borderId="1" xfId="0" applyFont="1" applyBorder="1" applyAlignment="1">
      <alignment horizontal="right"/>
    </xf>
    <xf numFmtId="0" fontId="11" fillId="0" borderId="1" xfId="0" applyFont="1" applyBorder="1" applyAlignment="1">
      <alignment horizontal="right"/>
    </xf>
    <xf numFmtId="4" fontId="11" fillId="0" borderId="1" xfId="0" applyNumberFormat="1" applyFont="1" applyBorder="1" applyAlignment="1">
      <alignment horizontal="right"/>
    </xf>
    <xf numFmtId="3" fontId="19" fillId="0" borderId="1" xfId="0" applyNumberFormat="1" applyFont="1" applyBorder="1" applyAlignment="1">
      <alignment horizontal="right"/>
    </xf>
    <xf numFmtId="4" fontId="19" fillId="0" borderId="1" xfId="0" applyNumberFormat="1" applyFont="1" applyBorder="1" applyAlignment="1">
      <alignment horizontal="right"/>
    </xf>
    <xf numFmtId="2" fontId="11" fillId="0" borderId="1" xfId="0" applyNumberFormat="1" applyFont="1" applyBorder="1"/>
    <xf numFmtId="0" fontId="11" fillId="9" borderId="2" xfId="0" applyFont="1" applyFill="1" applyBorder="1"/>
    <xf numFmtId="0" fontId="11" fillId="0" borderId="1" xfId="0" applyFont="1" applyBorder="1" applyAlignment="1">
      <alignment horizontal="center"/>
    </xf>
    <xf numFmtId="3" fontId="11" fillId="0" borderId="1" xfId="0" applyNumberFormat="1" applyFont="1" applyBorder="1" applyAlignment="1">
      <alignment horizontal="center"/>
    </xf>
    <xf numFmtId="4" fontId="13" fillId="0" borderId="1" xfId="0" applyNumberFormat="1" applyFont="1" applyBorder="1" applyAlignment="1">
      <alignment horizontal="right"/>
    </xf>
    <xf numFmtId="3" fontId="12" fillId="0" borderId="1" xfId="0" applyNumberFormat="1" applyFont="1" applyBorder="1"/>
    <xf numFmtId="2" fontId="20" fillId="0" borderId="1" xfId="0" applyNumberFormat="1" applyFont="1" applyBorder="1" applyAlignment="1">
      <alignment horizontal="right"/>
    </xf>
    <xf numFmtId="2" fontId="11" fillId="0" borderId="0" xfId="0" applyNumberFormat="1" applyFont="1"/>
    <xf numFmtId="0" fontId="12" fillId="17" borderId="1" xfId="0" applyFont="1" applyFill="1" applyBorder="1"/>
    <xf numFmtId="0" fontId="21" fillId="0" borderId="0" xfId="0" applyFont="1"/>
    <xf numFmtId="0" fontId="12" fillId="17" borderId="1" xfId="0" applyFont="1" applyFill="1" applyBorder="1" applyAlignment="1">
      <alignment horizontal="center"/>
    </xf>
    <xf numFmtId="0" fontId="0" fillId="0" borderId="42" xfId="0" applyBorder="1"/>
    <xf numFmtId="0" fontId="11" fillId="10" borderId="16" xfId="0" applyFont="1" applyFill="1" applyBorder="1" applyAlignment="1">
      <alignment horizontal="left" vertical="center" wrapText="1"/>
    </xf>
    <xf numFmtId="0" fontId="11" fillId="10" borderId="10" xfId="0" applyFont="1" applyFill="1" applyBorder="1" applyAlignment="1">
      <alignment vertical="center" wrapText="1"/>
    </xf>
    <xf numFmtId="168" fontId="12" fillId="0" borderId="11" xfId="7" applyNumberFormat="1" applyFont="1" applyBorder="1" applyAlignment="1">
      <alignment horizontal="left" vertical="center"/>
    </xf>
    <xf numFmtId="0" fontId="11" fillId="10" borderId="10" xfId="0" applyFont="1" applyFill="1" applyBorder="1" applyAlignment="1">
      <alignment horizontal="left" vertical="center" wrapText="1"/>
    </xf>
    <xf numFmtId="1" fontId="12" fillId="0" borderId="11" xfId="0" applyNumberFormat="1" applyFont="1" applyBorder="1" applyAlignment="1">
      <alignment horizontal="right" vertical="center"/>
    </xf>
    <xf numFmtId="0" fontId="11" fillId="10" borderId="22" xfId="0" applyFont="1" applyFill="1" applyBorder="1" applyAlignment="1">
      <alignment horizontal="left" vertical="center" wrapText="1"/>
    </xf>
    <xf numFmtId="168" fontId="12" fillId="0" borderId="21" xfId="7" applyNumberFormat="1" applyFont="1" applyBorder="1" applyAlignment="1">
      <alignment horizontal="right" vertical="center"/>
    </xf>
    <xf numFmtId="0" fontId="12" fillId="17" borderId="5" xfId="0" applyFont="1" applyFill="1" applyBorder="1" applyAlignment="1">
      <alignment horizontal="center" vertical="center" wrapText="1"/>
    </xf>
    <xf numFmtId="0" fontId="12" fillId="17" borderId="1" xfId="0" applyFont="1" applyFill="1" applyBorder="1" applyAlignment="1">
      <alignment horizontal="center" vertical="center"/>
    </xf>
    <xf numFmtId="0" fontId="12" fillId="17" borderId="25" xfId="0" applyFont="1" applyFill="1" applyBorder="1" applyAlignment="1">
      <alignment wrapText="1"/>
    </xf>
    <xf numFmtId="0" fontId="12" fillId="17" borderId="26" xfId="0" applyFont="1" applyFill="1" applyBorder="1" applyAlignment="1">
      <alignment wrapText="1"/>
    </xf>
    <xf numFmtId="0" fontId="11" fillId="0" borderId="1" xfId="0" applyFont="1" applyBorder="1" applyAlignment="1">
      <alignment wrapText="1"/>
    </xf>
    <xf numFmtId="0" fontId="11" fillId="0" borderId="15" xfId="0" applyFont="1" applyBorder="1"/>
    <xf numFmtId="0" fontId="11" fillId="0" borderId="14" xfId="0" applyFont="1" applyBorder="1"/>
    <xf numFmtId="2" fontId="11" fillId="0" borderId="0" xfId="0" applyNumberFormat="1" applyFont="1" applyAlignment="1">
      <alignment horizontal="left" indent="1"/>
    </xf>
    <xf numFmtId="0" fontId="11" fillId="0" borderId="12" xfId="0" applyFont="1" applyBorder="1"/>
    <xf numFmtId="0" fontId="11" fillId="0" borderId="1" xfId="0" applyFont="1" applyFill="1" applyBorder="1"/>
    <xf numFmtId="0" fontId="11" fillId="0" borderId="4" xfId="0" applyFont="1" applyBorder="1"/>
    <xf numFmtId="0" fontId="11" fillId="0" borderId="0" xfId="0" applyFont="1" applyBorder="1"/>
    <xf numFmtId="168" fontId="12" fillId="0" borderId="2" xfId="7" applyNumberFormat="1" applyFont="1" applyBorder="1"/>
    <xf numFmtId="0" fontId="11" fillId="0" borderId="17" xfId="0" applyFont="1" applyBorder="1"/>
    <xf numFmtId="0" fontId="11" fillId="0" borderId="18" xfId="0" applyFont="1" applyBorder="1"/>
    <xf numFmtId="0" fontId="11" fillId="0" borderId="10" xfId="0" applyFont="1" applyBorder="1"/>
    <xf numFmtId="0" fontId="11" fillId="0" borderId="11" xfId="0" applyFont="1" applyBorder="1"/>
    <xf numFmtId="0" fontId="12" fillId="4" borderId="2" xfId="0" applyFont="1" applyFill="1" applyBorder="1"/>
    <xf numFmtId="0" fontId="11" fillId="0" borderId="13" xfId="0" applyFont="1" applyBorder="1"/>
    <xf numFmtId="0" fontId="11" fillId="0" borderId="0" xfId="0" applyFont="1" applyBorder="1" applyAlignment="1">
      <alignment horizontal="right"/>
    </xf>
    <xf numFmtId="0" fontId="11" fillId="0" borderId="3" xfId="0" applyFont="1" applyBorder="1" applyAlignment="1">
      <alignment horizontal="right"/>
    </xf>
    <xf numFmtId="2" fontId="11" fillId="0" borderId="1" xfId="0" applyNumberFormat="1" applyFont="1" applyBorder="1" applyAlignment="1">
      <alignment horizontal="right" vertical="center"/>
    </xf>
    <xf numFmtId="2" fontId="11" fillId="0" borderId="14" xfId="0" applyNumberFormat="1" applyFont="1" applyBorder="1" applyAlignment="1">
      <alignment horizontal="right" vertical="center"/>
    </xf>
    <xf numFmtId="168" fontId="11" fillId="0" borderId="1" xfId="7" applyNumberFormat="1" applyFont="1" applyBorder="1" applyAlignment="1">
      <alignment horizontal="right" vertical="center"/>
    </xf>
    <xf numFmtId="3" fontId="11" fillId="0" borderId="0" xfId="0" applyNumberFormat="1" applyFont="1" applyBorder="1" applyAlignment="1">
      <alignment horizontal="right" vertical="center"/>
    </xf>
    <xf numFmtId="3" fontId="11" fillId="0" borderId="11" xfId="0" applyNumberFormat="1" applyFont="1" applyBorder="1" applyAlignment="1">
      <alignment horizontal="right" vertical="center"/>
    </xf>
    <xf numFmtId="0" fontId="11" fillId="0" borderId="0" xfId="0" applyFont="1" applyAlignment="1">
      <alignment vertical="center"/>
    </xf>
    <xf numFmtId="0" fontId="11" fillId="0" borderId="10" xfId="0" applyFont="1" applyFill="1" applyBorder="1"/>
    <xf numFmtId="0" fontId="11" fillId="0" borderId="16" xfId="0" applyFont="1" applyBorder="1"/>
    <xf numFmtId="0" fontId="11" fillId="0" borderId="0" xfId="0" applyFont="1" applyAlignment="1">
      <alignment horizontal="center"/>
    </xf>
    <xf numFmtId="0" fontId="12" fillId="17" borderId="31" xfId="0" applyFont="1" applyFill="1" applyBorder="1" applyAlignment="1">
      <alignment horizontal="center"/>
    </xf>
    <xf numFmtId="9" fontId="11" fillId="0" borderId="31" xfId="0" applyNumberFormat="1" applyFont="1" applyBorder="1"/>
    <xf numFmtId="0" fontId="11" fillId="0" borderId="0" xfId="0" applyFont="1" applyFill="1"/>
    <xf numFmtId="9" fontId="11" fillId="0" borderId="1" xfId="6" applyFont="1" applyBorder="1"/>
    <xf numFmtId="0" fontId="13" fillId="17" borderId="1" xfId="0" applyFont="1" applyFill="1" applyBorder="1"/>
    <xf numFmtId="170" fontId="13" fillId="17" borderId="1" xfId="0" applyNumberFormat="1" applyFont="1" applyFill="1" applyBorder="1"/>
    <xf numFmtId="171" fontId="11" fillId="0" borderId="1" xfId="0" applyNumberFormat="1" applyFont="1" applyBorder="1" applyAlignment="1">
      <alignment horizontal="right" vertical="center"/>
    </xf>
    <xf numFmtId="171" fontId="11" fillId="0" borderId="14" xfId="0" applyNumberFormat="1" applyFont="1" applyBorder="1" applyAlignment="1">
      <alignment horizontal="right" vertical="center"/>
    </xf>
    <xf numFmtId="171" fontId="11" fillId="0" borderId="4" xfId="0" applyNumberFormat="1" applyFont="1" applyBorder="1" applyAlignment="1">
      <alignment horizontal="right" vertical="center"/>
    </xf>
    <xf numFmtId="0" fontId="12" fillId="17" borderId="37" xfId="0" applyFont="1" applyFill="1" applyBorder="1" applyAlignment="1">
      <alignment horizontal="center" vertical="center" wrapText="1"/>
    </xf>
    <xf numFmtId="0" fontId="12" fillId="17" borderId="26" xfId="0" applyFont="1" applyFill="1" applyBorder="1" applyAlignment="1">
      <alignment horizontal="center" vertical="center" wrapText="1"/>
    </xf>
    <xf numFmtId="0" fontId="12" fillId="23" borderId="34" xfId="0" applyFont="1" applyFill="1" applyBorder="1" applyAlignment="1">
      <alignment horizontal="center" vertical="center" wrapText="1"/>
    </xf>
    <xf numFmtId="2" fontId="22" fillId="0" borderId="21" xfId="0" applyNumberFormat="1" applyFont="1" applyBorder="1" applyAlignment="1">
      <alignment horizontal="right" vertical="center"/>
    </xf>
    <xf numFmtId="3" fontId="11" fillId="0" borderId="44" xfId="0" applyNumberFormat="1" applyFont="1" applyBorder="1"/>
    <xf numFmtId="0" fontId="11" fillId="0" borderId="41" xfId="0" applyFont="1" applyBorder="1"/>
    <xf numFmtId="0" fontId="22" fillId="0" borderId="42" xfId="0" applyFont="1" applyBorder="1" applyAlignment="1">
      <alignment vertical="center"/>
    </xf>
    <xf numFmtId="0" fontId="4" fillId="0" borderId="42" xfId="0" applyFont="1" applyBorder="1" applyAlignment="1">
      <alignment vertical="center"/>
    </xf>
    <xf numFmtId="3" fontId="11" fillId="0" borderId="42" xfId="0" applyNumberFormat="1" applyFont="1" applyBorder="1"/>
    <xf numFmtId="3" fontId="11" fillId="0" borderId="43" xfId="0" applyNumberFormat="1" applyFont="1" applyBorder="1"/>
    <xf numFmtId="0" fontId="11" fillId="0" borderId="7" xfId="0" applyFont="1" applyBorder="1"/>
    <xf numFmtId="0" fontId="23" fillId="9" borderId="2" xfId="0" applyFont="1" applyFill="1" applyBorder="1" applyAlignment="1">
      <alignment horizontal="center" vertical="center"/>
    </xf>
    <xf numFmtId="0" fontId="23" fillId="9" borderId="9" xfId="0" applyFont="1" applyFill="1" applyBorder="1" applyAlignment="1">
      <alignment horizontal="center" vertical="center"/>
    </xf>
    <xf numFmtId="9" fontId="11" fillId="0" borderId="0" xfId="0" applyNumberFormat="1" applyFont="1"/>
    <xf numFmtId="9" fontId="11" fillId="0" borderId="1" xfId="0" applyNumberFormat="1" applyFont="1" applyBorder="1"/>
    <xf numFmtId="9" fontId="12" fillId="2" borderId="2" xfId="6" applyFont="1" applyFill="1" applyBorder="1" applyAlignment="1">
      <alignment horizontal="right" vertical="center"/>
    </xf>
    <xf numFmtId="9" fontId="12" fillId="3" borderId="2" xfId="6" applyFont="1" applyFill="1" applyBorder="1" applyAlignment="1">
      <alignment horizontal="right" vertical="center"/>
    </xf>
    <xf numFmtId="9" fontId="12" fillId="4" borderId="2" xfId="6" applyFont="1" applyFill="1" applyBorder="1" applyAlignment="1">
      <alignment horizontal="right" vertical="center"/>
    </xf>
    <xf numFmtId="9" fontId="12" fillId="8" borderId="2" xfId="6" applyFont="1" applyFill="1" applyBorder="1" applyAlignment="1">
      <alignment horizontal="right" vertical="center"/>
    </xf>
    <xf numFmtId="9" fontId="12" fillId="25" borderId="2" xfId="6" applyFont="1" applyFill="1" applyBorder="1" applyAlignment="1">
      <alignment horizontal="right" vertical="center"/>
    </xf>
    <xf numFmtId="171" fontId="11" fillId="0" borderId="1" xfId="0" applyNumberFormat="1" applyFont="1" applyBorder="1"/>
    <xf numFmtId="171" fontId="13" fillId="18" borderId="0" xfId="0" applyNumberFormat="1" applyFont="1" applyFill="1"/>
    <xf numFmtId="171" fontId="12" fillId="18" borderId="0" xfId="0" applyNumberFormat="1" applyFont="1" applyFill="1"/>
    <xf numFmtId="0" fontId="12" fillId="17" borderId="16" xfId="0" applyFont="1" applyFill="1" applyBorder="1"/>
    <xf numFmtId="3" fontId="11" fillId="0" borderId="0" xfId="0" applyNumberFormat="1" applyFont="1" applyBorder="1"/>
    <xf numFmtId="0" fontId="12" fillId="17" borderId="6" xfId="0" applyFont="1" applyFill="1" applyBorder="1" applyAlignment="1">
      <alignment vertical="center"/>
    </xf>
    <xf numFmtId="0" fontId="12" fillId="17" borderId="32" xfId="0" applyFont="1" applyFill="1" applyBorder="1" applyAlignment="1">
      <alignment horizontal="center" vertical="center"/>
    </xf>
    <xf numFmtId="0" fontId="12" fillId="17" borderId="34" xfId="0" applyFont="1" applyFill="1" applyBorder="1" applyAlignment="1">
      <alignment horizontal="center" vertical="center" wrapText="1"/>
    </xf>
    <xf numFmtId="0" fontId="12" fillId="17" borderId="34" xfId="0" applyFont="1" applyFill="1" applyBorder="1" applyAlignment="1">
      <alignment horizontal="center" vertical="center"/>
    </xf>
    <xf numFmtId="0" fontId="12" fillId="17" borderId="35" xfId="0" applyFont="1" applyFill="1" applyBorder="1" applyAlignment="1">
      <alignment horizontal="center" vertical="center"/>
    </xf>
    <xf numFmtId="0" fontId="12" fillId="17" borderId="9" xfId="0" applyFont="1" applyFill="1" applyBorder="1" applyAlignment="1">
      <alignment horizontal="center" vertical="center"/>
    </xf>
    <xf numFmtId="0" fontId="11" fillId="0" borderId="27" xfId="0" applyFont="1" applyBorder="1"/>
    <xf numFmtId="9" fontId="11" fillId="0" borderId="5" xfId="6" applyFont="1" applyBorder="1"/>
    <xf numFmtId="9" fontId="11" fillId="0" borderId="36" xfId="6" applyFont="1" applyBorder="1"/>
    <xf numFmtId="171" fontId="11" fillId="0" borderId="36" xfId="0" applyNumberFormat="1" applyFont="1" applyBorder="1"/>
    <xf numFmtId="0" fontId="11" fillId="0" borderId="24" xfId="0" applyFont="1" applyBorder="1" applyAlignment="1">
      <alignment wrapText="1"/>
    </xf>
    <xf numFmtId="9" fontId="11" fillId="0" borderId="1" xfId="6" applyFont="1" applyBorder="1" applyAlignment="1">
      <alignment vertical="center"/>
    </xf>
    <xf numFmtId="9" fontId="11" fillId="0" borderId="30" xfId="6" applyFont="1" applyBorder="1" applyAlignment="1">
      <alignment vertical="center"/>
    </xf>
    <xf numFmtId="9" fontId="11" fillId="0" borderId="1" xfId="6" applyFont="1" applyFill="1" applyBorder="1"/>
    <xf numFmtId="9" fontId="11" fillId="0" borderId="30" xfId="6" applyFont="1" applyFill="1" applyBorder="1"/>
    <xf numFmtId="0" fontId="11" fillId="0" borderId="28" xfId="0" applyFont="1" applyBorder="1"/>
    <xf numFmtId="9" fontId="11" fillId="0" borderId="30" xfId="6" applyFont="1" applyBorder="1"/>
    <xf numFmtId="9" fontId="11" fillId="0" borderId="4" xfId="6" applyFont="1" applyBorder="1"/>
    <xf numFmtId="9" fontId="11" fillId="0" borderId="3" xfId="0" applyNumberFormat="1" applyFont="1" applyBorder="1"/>
    <xf numFmtId="0" fontId="12" fillId="17" borderId="22" xfId="0" applyFont="1" applyFill="1" applyBorder="1"/>
    <xf numFmtId="0" fontId="11" fillId="17" borderId="32" xfId="0" applyFont="1" applyFill="1" applyBorder="1"/>
    <xf numFmtId="9" fontId="12" fillId="17" borderId="33" xfId="0" applyNumberFormat="1" applyFont="1" applyFill="1" applyBorder="1"/>
    <xf numFmtId="171" fontId="12" fillId="17" borderId="33" xfId="0" applyNumberFormat="1" applyFont="1" applyFill="1" applyBorder="1"/>
    <xf numFmtId="0" fontId="12" fillId="17" borderId="6" xfId="0" applyFont="1" applyFill="1" applyBorder="1"/>
    <xf numFmtId="0" fontId="12" fillId="17" borderId="8" xfId="0" applyFont="1" applyFill="1" applyBorder="1"/>
    <xf numFmtId="0" fontId="12" fillId="17" borderId="34" xfId="0" applyFont="1" applyFill="1" applyBorder="1" applyAlignment="1">
      <alignment horizontal="center"/>
    </xf>
    <xf numFmtId="0" fontId="12" fillId="17" borderId="35" xfId="0" applyFont="1" applyFill="1" applyBorder="1" applyAlignment="1">
      <alignment horizontal="center"/>
    </xf>
    <xf numFmtId="0" fontId="12" fillId="23" borderId="5" xfId="0" applyFont="1" applyFill="1" applyBorder="1"/>
    <xf numFmtId="3" fontId="11" fillId="0" borderId="5" xfId="0" applyNumberFormat="1" applyFont="1" applyBorder="1"/>
    <xf numFmtId="171" fontId="11" fillId="0" borderId="5" xfId="0" applyNumberFormat="1" applyFont="1" applyBorder="1"/>
    <xf numFmtId="0" fontId="11" fillId="24" borderId="5" xfId="0" applyFont="1" applyFill="1" applyBorder="1"/>
    <xf numFmtId="0" fontId="12" fillId="23" borderId="1" xfId="0" applyFont="1" applyFill="1" applyBorder="1"/>
    <xf numFmtId="171" fontId="11" fillId="17" borderId="1" xfId="0" applyNumberFormat="1" applyFont="1" applyFill="1" applyBorder="1"/>
    <xf numFmtId="0" fontId="11" fillId="0" borderId="0" xfId="0" applyFont="1" applyBorder="1" applyAlignment="1">
      <alignment horizontal="center" vertical="center"/>
    </xf>
    <xf numFmtId="3" fontId="11" fillId="0" borderId="0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12" borderId="1" xfId="0" applyFont="1" applyFill="1" applyBorder="1" applyAlignment="1">
      <alignment horizontal="center"/>
    </xf>
    <xf numFmtId="2" fontId="11" fillId="0" borderId="0" xfId="0" applyNumberFormat="1" applyFont="1" applyBorder="1"/>
    <xf numFmtId="0" fontId="11" fillId="0" borderId="44" xfId="0" applyFont="1" applyBorder="1"/>
    <xf numFmtId="170" fontId="11" fillId="0" borderId="41" xfId="8" applyNumberFormat="1" applyFont="1" applyBorder="1"/>
    <xf numFmtId="0" fontId="11" fillId="0" borderId="42" xfId="0" applyFont="1" applyBorder="1"/>
    <xf numFmtId="170" fontId="11" fillId="0" borderId="0" xfId="8" applyNumberFormat="1" applyFont="1" applyBorder="1"/>
    <xf numFmtId="2" fontId="11" fillId="0" borderId="0" xfId="0" applyNumberFormat="1" applyFont="1" applyBorder="1" applyAlignment="1">
      <alignment horizontal="center" vertical="center"/>
    </xf>
    <xf numFmtId="0" fontId="12" fillId="0" borderId="18" xfId="0" applyFont="1" applyBorder="1" applyAlignment="1">
      <alignment horizontal="right" vertical="center"/>
    </xf>
    <xf numFmtId="168" fontId="12" fillId="0" borderId="11" xfId="7" applyNumberFormat="1" applyFont="1" applyBorder="1" applyAlignment="1">
      <alignment horizontal="right" vertical="center"/>
    </xf>
    <xf numFmtId="4" fontId="12" fillId="0" borderId="11" xfId="7" applyNumberFormat="1" applyFont="1" applyBorder="1" applyAlignment="1">
      <alignment horizontal="right" vertical="center"/>
    </xf>
    <xf numFmtId="10" fontId="12" fillId="0" borderId="21" xfId="7" applyNumberFormat="1" applyFont="1" applyBorder="1" applyAlignment="1">
      <alignment horizontal="right"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170" fontId="11" fillId="0" borderId="4" xfId="8" applyNumberFormat="1" applyFont="1" applyFill="1" applyBorder="1"/>
    <xf numFmtId="170" fontId="11" fillId="0" borderId="39" xfId="8" applyNumberFormat="1" applyFont="1" applyFill="1" applyBorder="1"/>
    <xf numFmtId="170" fontId="11" fillId="0" borderId="5" xfId="8" applyNumberFormat="1" applyFont="1" applyFill="1" applyBorder="1"/>
    <xf numFmtId="0" fontId="13" fillId="18" borderId="1" xfId="0" applyFont="1" applyFill="1" applyBorder="1" applyAlignment="1">
      <alignment horizontal="center"/>
    </xf>
    <xf numFmtId="0" fontId="12" fillId="18" borderId="1" xfId="0" applyFont="1" applyFill="1" applyBorder="1" applyAlignment="1">
      <alignment horizontal="center"/>
    </xf>
    <xf numFmtId="0" fontId="12" fillId="0" borderId="0" xfId="0" applyFont="1"/>
    <xf numFmtId="0" fontId="13" fillId="17" borderId="1" xfId="0" applyFont="1" applyFill="1" applyBorder="1" applyAlignment="1">
      <alignment horizontal="center"/>
    </xf>
    <xf numFmtId="170" fontId="13" fillId="17" borderId="1" xfId="0" applyNumberFormat="1" applyFont="1" applyFill="1" applyBorder="1" applyAlignment="1">
      <alignment horizontal="center"/>
    </xf>
    <xf numFmtId="169" fontId="13" fillId="0" borderId="0" xfId="6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70" fontId="11" fillId="0" borderId="0" xfId="0" applyNumberFormat="1" applyFont="1" applyFill="1"/>
    <xf numFmtId="0" fontId="11" fillId="0" borderId="42" xfId="0" applyFont="1" applyFill="1" applyBorder="1" applyAlignment="1">
      <alignment horizontal="center"/>
    </xf>
    <xf numFmtId="0" fontId="13" fillId="17" borderId="4" xfId="0" applyFont="1" applyFill="1" applyBorder="1" applyAlignment="1">
      <alignment horizontal="center"/>
    </xf>
    <xf numFmtId="171" fontId="13" fillId="17" borderId="4" xfId="0" applyNumberFormat="1" applyFont="1" applyFill="1" applyBorder="1"/>
    <xf numFmtId="0" fontId="11" fillId="0" borderId="44" xfId="0" applyFont="1" applyFill="1" applyBorder="1" applyAlignment="1">
      <alignment horizontal="center"/>
    </xf>
    <xf numFmtId="171" fontId="11" fillId="0" borderId="4" xfId="8" applyNumberFormat="1" applyFont="1" applyFill="1" applyBorder="1"/>
    <xf numFmtId="171" fontId="11" fillId="0" borderId="39" xfId="8" applyNumberFormat="1" applyFont="1" applyFill="1" applyBorder="1"/>
    <xf numFmtId="0" fontId="11" fillId="0" borderId="43" xfId="0" applyFont="1" applyFill="1" applyBorder="1" applyAlignment="1">
      <alignment horizontal="center"/>
    </xf>
    <xf numFmtId="171" fontId="11" fillId="0" borderId="5" xfId="8" applyNumberFormat="1" applyFont="1" applyFill="1" applyBorder="1"/>
    <xf numFmtId="0" fontId="10" fillId="17" borderId="23" xfId="0" applyFont="1" applyFill="1" applyBorder="1" applyAlignment="1">
      <alignment horizontal="center"/>
    </xf>
    <xf numFmtId="0" fontId="11" fillId="0" borderId="43" xfId="0" applyFont="1" applyBorder="1"/>
    <xf numFmtId="170" fontId="11" fillId="0" borderId="0" xfId="0" applyNumberFormat="1" applyFont="1" applyBorder="1"/>
    <xf numFmtId="0" fontId="11" fillId="17" borderId="31" xfId="0" applyFont="1" applyFill="1" applyBorder="1"/>
    <xf numFmtId="170" fontId="10" fillId="17" borderId="30" xfId="0" applyNumberFormat="1" applyFont="1" applyFill="1" applyBorder="1"/>
    <xf numFmtId="170" fontId="10" fillId="17" borderId="23" xfId="0" applyNumberFormat="1" applyFont="1" applyFill="1" applyBorder="1"/>
    <xf numFmtId="0" fontId="24" fillId="0" borderId="6" xfId="0" applyFont="1" applyBorder="1"/>
    <xf numFmtId="9" fontId="11" fillId="0" borderId="9" xfId="0" applyNumberFormat="1" applyFont="1" applyBorder="1"/>
    <xf numFmtId="0" fontId="25" fillId="23" borderId="0" xfId="0" applyFont="1" applyFill="1" applyBorder="1"/>
    <xf numFmtId="0" fontId="24" fillId="24" borderId="5" xfId="0" applyFont="1" applyFill="1" applyBorder="1"/>
    <xf numFmtId="0" fontId="25" fillId="17" borderId="8" xfId="0" applyFont="1" applyFill="1" applyBorder="1"/>
    <xf numFmtId="3" fontId="25" fillId="17" borderId="1" xfId="0" applyNumberFormat="1" applyFont="1" applyFill="1" applyBorder="1"/>
    <xf numFmtId="175" fontId="11" fillId="0" borderId="0" xfId="7" applyNumberFormat="1" applyFont="1"/>
    <xf numFmtId="0" fontId="26" fillId="0" borderId="0" xfId="0" applyFont="1"/>
    <xf numFmtId="170" fontId="12" fillId="18" borderId="0" xfId="0" applyNumberFormat="1" applyFont="1" applyFill="1"/>
    <xf numFmtId="176" fontId="11" fillId="0" borderId="1" xfId="0" applyNumberFormat="1" applyFont="1" applyBorder="1" applyAlignment="1">
      <alignment horizontal="right"/>
    </xf>
    <xf numFmtId="0" fontId="18" fillId="0" borderId="1" xfId="0" applyFont="1" applyBorder="1" applyAlignment="1">
      <alignment horizontal="center"/>
    </xf>
    <xf numFmtId="0" fontId="1" fillId="0" borderId="0" xfId="11"/>
    <xf numFmtId="0" fontId="27" fillId="0" borderId="0" xfId="11" applyFont="1" applyAlignment="1">
      <alignment horizontal="center"/>
    </xf>
    <xf numFmtId="0" fontId="1" fillId="0" borderId="0" xfId="11" applyAlignment="1">
      <alignment horizontal="center"/>
    </xf>
    <xf numFmtId="0" fontId="10" fillId="15" borderId="0" xfId="11" applyFont="1" applyFill="1"/>
    <xf numFmtId="0" fontId="1" fillId="26" borderId="0" xfId="11" applyFill="1"/>
    <xf numFmtId="9" fontId="1" fillId="26" borderId="0" xfId="11" applyNumberFormat="1" applyFill="1"/>
    <xf numFmtId="0" fontId="1" fillId="0" borderId="0" xfId="11" applyFill="1"/>
    <xf numFmtId="169" fontId="1" fillId="26" borderId="0" xfId="11" applyNumberFormat="1" applyFill="1"/>
    <xf numFmtId="169" fontId="1" fillId="0" borderId="0" xfId="11" applyNumberFormat="1"/>
    <xf numFmtId="9" fontId="1" fillId="0" borderId="0" xfId="11" applyNumberFormat="1"/>
    <xf numFmtId="3" fontId="1" fillId="26" borderId="0" xfId="11" applyNumberFormat="1" applyFill="1"/>
    <xf numFmtId="2" fontId="1" fillId="26" borderId="0" xfId="11" applyNumberFormat="1" applyFill="1"/>
    <xf numFmtId="2" fontId="1" fillId="0" borderId="0" xfId="11" applyNumberFormat="1"/>
    <xf numFmtId="3" fontId="1" fillId="0" borderId="0" xfId="11" applyNumberFormat="1"/>
    <xf numFmtId="10" fontId="1" fillId="0" borderId="0" xfId="11" applyNumberFormat="1"/>
    <xf numFmtId="4" fontId="1" fillId="0" borderId="0" xfId="11" applyNumberFormat="1"/>
    <xf numFmtId="0" fontId="10" fillId="0" borderId="0" xfId="11" applyFont="1"/>
    <xf numFmtId="3" fontId="10" fillId="0" borderId="0" xfId="11" applyNumberFormat="1" applyFont="1"/>
    <xf numFmtId="10" fontId="10" fillId="0" borderId="0" xfId="11" applyNumberFormat="1" applyFont="1"/>
    <xf numFmtId="1" fontId="1" fillId="0" borderId="0" xfId="11" applyNumberFormat="1"/>
    <xf numFmtId="0" fontId="1" fillId="11" borderId="0" xfId="11" applyFill="1"/>
    <xf numFmtId="3" fontId="1" fillId="11" borderId="0" xfId="11" applyNumberFormat="1" applyFill="1"/>
    <xf numFmtId="169" fontId="1" fillId="11" borderId="0" xfId="11" applyNumberFormat="1" applyFill="1"/>
    <xf numFmtId="0" fontId="1" fillId="0" borderId="0" xfId="11" applyAlignment="1">
      <alignment horizontal="right"/>
    </xf>
    <xf numFmtId="8" fontId="1" fillId="0" borderId="0" xfId="11" applyNumberFormat="1"/>
    <xf numFmtId="169" fontId="1" fillId="0" borderId="0" xfId="11" applyNumberFormat="1" applyFill="1"/>
    <xf numFmtId="3" fontId="1" fillId="0" borderId="0" xfId="11" applyNumberFormat="1" applyFill="1"/>
    <xf numFmtId="0" fontId="28" fillId="0" borderId="0" xfId="0" applyFont="1"/>
    <xf numFmtId="0" fontId="11" fillId="0" borderId="15" xfId="0" applyFont="1" applyBorder="1" applyAlignment="1">
      <alignment wrapText="1"/>
    </xf>
    <xf numFmtId="168" fontId="11" fillId="0" borderId="15" xfId="0" applyNumberFormat="1" applyFont="1" applyBorder="1"/>
    <xf numFmtId="168" fontId="11" fillId="0" borderId="14" xfId="0" applyNumberFormat="1" applyFont="1" applyBorder="1"/>
    <xf numFmtId="168" fontId="11" fillId="0" borderId="19" xfId="0" applyNumberFormat="1" applyFont="1" applyBorder="1"/>
    <xf numFmtId="168" fontId="11" fillId="0" borderId="12" xfId="0" applyNumberFormat="1" applyFont="1" applyBorder="1"/>
    <xf numFmtId="0" fontId="11" fillId="0" borderId="19" xfId="0" applyFont="1" applyBorder="1"/>
    <xf numFmtId="168" fontId="12" fillId="0" borderId="1" xfId="0" applyNumberFormat="1" applyFont="1" applyBorder="1"/>
    <xf numFmtId="0" fontId="11" fillId="0" borderId="49" xfId="0" applyFont="1" applyBorder="1"/>
    <xf numFmtId="0" fontId="11" fillId="0" borderId="50" xfId="0" applyFont="1" applyBorder="1"/>
    <xf numFmtId="0" fontId="11" fillId="0" borderId="51" xfId="0" applyFont="1" applyBorder="1"/>
    <xf numFmtId="0" fontId="12" fillId="2" borderId="6" xfId="0" applyFont="1" applyFill="1" applyBorder="1"/>
    <xf numFmtId="0" fontId="12" fillId="0" borderId="37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12" fillId="0" borderId="0" xfId="0" applyFont="1" applyAlignment="1">
      <alignment horizontal="center"/>
    </xf>
    <xf numFmtId="9" fontId="11" fillId="0" borderId="14" xfId="0" applyNumberFormat="1" applyFont="1" applyBorder="1"/>
    <xf numFmtId="0" fontId="11" fillId="0" borderId="24" xfId="0" applyFont="1" applyBorder="1"/>
    <xf numFmtId="0" fontId="11" fillId="0" borderId="31" xfId="0" applyFont="1" applyBorder="1"/>
    <xf numFmtId="172" fontId="11" fillId="0" borderId="1" xfId="0" applyNumberFormat="1" applyFont="1" applyBorder="1"/>
    <xf numFmtId="172" fontId="11" fillId="0" borderId="31" xfId="0" applyNumberFormat="1" applyFont="1" applyBorder="1"/>
    <xf numFmtId="172" fontId="11" fillId="0" borderId="14" xfId="0" applyNumberFormat="1" applyFont="1" applyBorder="1"/>
    <xf numFmtId="0" fontId="12" fillId="0" borderId="6" xfId="0" applyFont="1" applyBorder="1"/>
    <xf numFmtId="171" fontId="12" fillId="0" borderId="32" xfId="0" applyNumberFormat="1" applyFont="1" applyBorder="1"/>
    <xf numFmtId="173" fontId="11" fillId="0" borderId="0" xfId="0" applyNumberFormat="1" applyFont="1"/>
    <xf numFmtId="0" fontId="12" fillId="0" borderId="10" xfId="0" applyFont="1" applyBorder="1"/>
    <xf numFmtId="3" fontId="12" fillId="0" borderId="0" xfId="0" applyNumberFormat="1" applyFont="1"/>
    <xf numFmtId="171" fontId="12" fillId="0" borderId="34" xfId="0" applyNumberFormat="1" applyFont="1" applyBorder="1"/>
    <xf numFmtId="171" fontId="12" fillId="0" borderId="35" xfId="0" applyNumberFormat="1" applyFont="1" applyBorder="1"/>
    <xf numFmtId="0" fontId="12" fillId="0" borderId="0" xfId="0" applyFont="1" applyBorder="1"/>
    <xf numFmtId="0" fontId="12" fillId="4" borderId="16" xfId="0" applyFont="1" applyFill="1" applyBorder="1"/>
    <xf numFmtId="0" fontId="11" fillId="0" borderId="0" xfId="0" applyFont="1" applyAlignment="1">
      <alignment horizontal="center" vertical="center"/>
    </xf>
    <xf numFmtId="0" fontId="12" fillId="4" borderId="6" xfId="0" applyFont="1" applyFill="1" applyBorder="1"/>
    <xf numFmtId="164" fontId="11" fillId="0" borderId="1" xfId="0" applyNumberFormat="1" applyFont="1" applyBorder="1"/>
    <xf numFmtId="164" fontId="11" fillId="0" borderId="14" xfId="0" applyNumberFormat="1" applyFont="1" applyBorder="1"/>
    <xf numFmtId="3" fontId="11" fillId="0" borderId="0" xfId="0" applyNumberFormat="1" applyFont="1" applyAlignment="1">
      <alignment horizontal="center" vertical="center"/>
    </xf>
    <xf numFmtId="0" fontId="12" fillId="0" borderId="48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47" xfId="0" applyFont="1" applyBorder="1" applyAlignment="1">
      <alignment horizontal="center"/>
    </xf>
    <xf numFmtId="174" fontId="11" fillId="0" borderId="1" xfId="0" applyNumberFormat="1" applyFont="1" applyBorder="1"/>
    <xf numFmtId="174" fontId="11" fillId="0" borderId="14" xfId="0" applyNumberFormat="1" applyFont="1" applyBorder="1"/>
    <xf numFmtId="0" fontId="12" fillId="7" borderId="16" xfId="0" applyFont="1" applyFill="1" applyBorder="1"/>
    <xf numFmtId="0" fontId="12" fillId="7" borderId="6" xfId="0" applyFont="1" applyFill="1" applyBorder="1"/>
    <xf numFmtId="171" fontId="12" fillId="0" borderId="2" xfId="0" applyNumberFormat="1" applyFont="1" applyBorder="1"/>
    <xf numFmtId="171" fontId="12" fillId="17" borderId="34" xfId="0" applyNumberFormat="1" applyFont="1" applyFill="1" applyBorder="1" applyAlignment="1">
      <alignment horizontal="center" vertical="center"/>
    </xf>
    <xf numFmtId="0" fontId="22" fillId="0" borderId="0" xfId="1" applyFont="1" applyProtection="1"/>
    <xf numFmtId="0" fontId="22" fillId="0" borderId="0" xfId="2" applyFont="1" applyProtection="1"/>
    <xf numFmtId="0" fontId="23" fillId="0" borderId="0" xfId="2" applyFont="1" applyBorder="1" applyAlignment="1" applyProtection="1">
      <alignment horizontal="left"/>
    </xf>
    <xf numFmtId="0" fontId="22" fillId="0" borderId="0" xfId="1" applyFont="1" applyBorder="1" applyAlignment="1" applyProtection="1"/>
    <xf numFmtId="167" fontId="22" fillId="0" borderId="0" xfId="1" applyNumberFormat="1" applyFont="1" applyBorder="1" applyAlignment="1" applyProtection="1">
      <alignment horizontal="left" wrapText="1"/>
    </xf>
    <xf numFmtId="0" fontId="23" fillId="0" borderId="0" xfId="2" applyFont="1" applyAlignment="1" applyProtection="1">
      <alignment horizontal="right"/>
    </xf>
    <xf numFmtId="0" fontId="23" fillId="0" borderId="0" xfId="2" applyFont="1" applyBorder="1" applyAlignment="1" applyProtection="1">
      <alignment vertical="center"/>
    </xf>
    <xf numFmtId="17" fontId="23" fillId="0" borderId="0" xfId="2" applyNumberFormat="1" applyFont="1" applyBorder="1" applyAlignment="1" applyProtection="1">
      <alignment vertical="center"/>
    </xf>
    <xf numFmtId="0" fontId="23" fillId="0" borderId="0" xfId="2" applyFont="1" applyBorder="1" applyAlignment="1" applyProtection="1"/>
    <xf numFmtId="0" fontId="29" fillId="0" borderId="0" xfId="1" applyFont="1" applyBorder="1" applyAlignment="1" applyProtection="1">
      <alignment horizontal="left"/>
    </xf>
    <xf numFmtId="0" fontId="29" fillId="0" borderId="0" xfId="1" applyFont="1" applyBorder="1" applyAlignment="1" applyProtection="1">
      <alignment horizontal="right"/>
    </xf>
    <xf numFmtId="0" fontId="29" fillId="0" borderId="0" xfId="1" applyFont="1" applyAlignment="1" applyProtection="1">
      <alignment horizontal="left" indent="1"/>
    </xf>
    <xf numFmtId="167" fontId="22" fillId="0" borderId="1" xfId="1" applyNumberFormat="1" applyFont="1" applyBorder="1" applyProtection="1">
      <protection locked="0"/>
    </xf>
    <xf numFmtId="167" fontId="22" fillId="0" borderId="0" xfId="1" applyNumberFormat="1" applyFont="1" applyBorder="1" applyAlignment="1" applyProtection="1"/>
    <xf numFmtId="167" fontId="22" fillId="0" borderId="0" xfId="1" applyNumberFormat="1" applyFont="1" applyProtection="1"/>
    <xf numFmtId="167" fontId="22" fillId="0" borderId="7" xfId="1" applyNumberFormat="1" applyFont="1" applyBorder="1" applyAlignment="1" applyProtection="1"/>
    <xf numFmtId="167" fontId="22" fillId="0" borderId="7" xfId="1" applyNumberFormat="1" applyFont="1" applyBorder="1" applyAlignment="1" applyProtection="1">
      <alignment horizontal="left" wrapText="1"/>
    </xf>
    <xf numFmtId="167" fontId="23" fillId="0" borderId="1" xfId="1" applyNumberFormat="1" applyFont="1" applyBorder="1" applyAlignment="1" applyProtection="1">
      <alignment vertical="center" wrapText="1"/>
      <protection locked="0"/>
    </xf>
    <xf numFmtId="0" fontId="22" fillId="0" borderId="0" xfId="1" applyFont="1" applyAlignment="1" applyProtection="1">
      <alignment wrapText="1"/>
      <protection locked="0"/>
    </xf>
    <xf numFmtId="167" fontId="23" fillId="0" borderId="5" xfId="1" applyNumberFormat="1" applyFont="1" applyBorder="1" applyAlignment="1" applyProtection="1">
      <alignment vertical="center" wrapText="1"/>
      <protection locked="0"/>
    </xf>
    <xf numFmtId="167" fontId="23" fillId="0" borderId="5" xfId="1" applyNumberFormat="1" applyFont="1" applyBorder="1" applyAlignment="1" applyProtection="1">
      <alignment horizontal="center" vertical="center" wrapText="1"/>
      <protection locked="0"/>
    </xf>
    <xf numFmtId="17" fontId="23" fillId="0" borderId="0" xfId="2" applyNumberFormat="1" applyFont="1" applyBorder="1" applyAlignment="1" applyProtection="1">
      <alignment horizontal="right" wrapText="1"/>
      <protection locked="0"/>
    </xf>
    <xf numFmtId="17" fontId="23" fillId="0" borderId="0" xfId="2" applyNumberFormat="1" applyFont="1" applyBorder="1" applyAlignment="1" applyProtection="1">
      <alignment horizontal="right" wrapText="1"/>
    </xf>
    <xf numFmtId="0" fontId="22" fillId="0" borderId="0" xfId="1" applyFont="1" applyAlignment="1" applyProtection="1">
      <alignment wrapText="1"/>
    </xf>
    <xf numFmtId="0" fontId="22" fillId="14" borderId="0" xfId="1" applyFont="1" applyFill="1" applyProtection="1">
      <protection locked="0"/>
    </xf>
    <xf numFmtId="0" fontId="22" fillId="14" borderId="0" xfId="2" applyFont="1" applyFill="1" applyProtection="1">
      <protection locked="0"/>
    </xf>
    <xf numFmtId="167" fontId="22" fillId="14" borderId="0" xfId="1" applyNumberFormat="1" applyFont="1" applyFill="1" applyProtection="1">
      <protection locked="0"/>
    </xf>
    <xf numFmtId="9" fontId="22" fillId="14" borderId="0" xfId="5" applyFont="1" applyFill="1" applyProtection="1">
      <protection locked="0"/>
    </xf>
    <xf numFmtId="9" fontId="22" fillId="14" borderId="0" xfId="5" applyFont="1" applyFill="1" applyAlignment="1" applyProtection="1">
      <alignment horizontal="center"/>
      <protection locked="0"/>
    </xf>
    <xf numFmtId="166" fontId="22" fillId="14" borderId="0" xfId="4" applyFont="1" applyFill="1" applyAlignment="1" applyProtection="1">
      <alignment horizontal="center"/>
      <protection locked="0"/>
    </xf>
    <xf numFmtId="166" fontId="22" fillId="14" borderId="0" xfId="2" applyNumberFormat="1" applyFont="1" applyFill="1" applyBorder="1" applyAlignment="1" applyProtection="1">
      <alignment horizontal="right"/>
      <protection locked="0"/>
    </xf>
    <xf numFmtId="168" fontId="22" fillId="14" borderId="0" xfId="4" applyNumberFormat="1" applyFont="1" applyFill="1" applyBorder="1" applyAlignment="1" applyProtection="1">
      <alignment horizontal="right"/>
      <protection locked="0"/>
    </xf>
    <xf numFmtId="168" fontId="22" fillId="14" borderId="0" xfId="4" applyNumberFormat="1" applyFont="1" applyFill="1" applyBorder="1" applyAlignment="1" applyProtection="1">
      <alignment horizontal="right"/>
    </xf>
    <xf numFmtId="0" fontId="22" fillId="14" borderId="0" xfId="1" applyFont="1" applyFill="1" applyProtection="1"/>
    <xf numFmtId="168" fontId="22" fillId="14" borderId="0" xfId="1" applyNumberFormat="1" applyFont="1" applyFill="1" applyProtection="1">
      <protection locked="0"/>
    </xf>
    <xf numFmtId="168" fontId="23" fillId="14" borderId="0" xfId="4" applyNumberFormat="1" applyFont="1" applyFill="1" applyBorder="1" applyAlignment="1" applyProtection="1">
      <alignment horizontal="right"/>
    </xf>
    <xf numFmtId="0" fontId="22" fillId="0" borderId="0" xfId="1" applyFont="1" applyProtection="1">
      <protection locked="0"/>
    </xf>
    <xf numFmtId="0" fontId="22" fillId="0" borderId="0" xfId="2" applyFont="1" applyFill="1" applyProtection="1">
      <protection locked="0"/>
    </xf>
    <xf numFmtId="0" fontId="22" fillId="5" borderId="0" xfId="2" applyFont="1" applyFill="1" applyProtection="1">
      <protection locked="0"/>
    </xf>
    <xf numFmtId="167" fontId="22" fillId="5" borderId="0" xfId="1" applyNumberFormat="1" applyFont="1" applyFill="1" applyProtection="1">
      <protection locked="0"/>
    </xf>
    <xf numFmtId="167" fontId="24" fillId="5" borderId="0" xfId="1" applyNumberFormat="1" applyFont="1" applyFill="1" applyProtection="1">
      <protection locked="0"/>
    </xf>
    <xf numFmtId="9" fontId="22" fillId="5" borderId="0" xfId="5" applyFont="1" applyFill="1" applyProtection="1">
      <protection locked="0"/>
    </xf>
    <xf numFmtId="167" fontId="22" fillId="0" borderId="0" xfId="1" applyNumberFormat="1" applyFont="1" applyProtection="1">
      <protection locked="0"/>
    </xf>
    <xf numFmtId="9" fontId="22" fillId="5" borderId="0" xfId="5" applyFont="1" applyFill="1" applyAlignment="1" applyProtection="1">
      <alignment horizontal="center"/>
      <protection locked="0"/>
    </xf>
    <xf numFmtId="166" fontId="22" fillId="5" borderId="0" xfId="4" applyFont="1" applyFill="1" applyAlignment="1" applyProtection="1">
      <alignment horizontal="center"/>
      <protection locked="0"/>
    </xf>
    <xf numFmtId="166" fontId="22" fillId="5" borderId="0" xfId="2" applyNumberFormat="1" applyFont="1" applyFill="1" applyBorder="1" applyAlignment="1" applyProtection="1">
      <alignment horizontal="right"/>
      <protection locked="0"/>
    </xf>
    <xf numFmtId="168" fontId="22" fillId="0" borderId="0" xfId="4" applyNumberFormat="1" applyFont="1" applyBorder="1" applyAlignment="1" applyProtection="1">
      <alignment horizontal="right"/>
      <protection locked="0"/>
    </xf>
    <xf numFmtId="168" fontId="22" fillId="0" borderId="0" xfId="4" applyNumberFormat="1" applyFont="1" applyBorder="1" applyAlignment="1" applyProtection="1">
      <alignment horizontal="right"/>
    </xf>
    <xf numFmtId="168" fontId="23" fillId="15" borderId="0" xfId="4" applyNumberFormat="1" applyFont="1" applyFill="1" applyBorder="1" applyAlignment="1" applyProtection="1">
      <alignment horizontal="right"/>
    </xf>
    <xf numFmtId="168" fontId="23" fillId="0" borderId="0" xfId="4" applyNumberFormat="1" applyFont="1" applyBorder="1" applyAlignment="1" applyProtection="1">
      <alignment horizontal="right"/>
    </xf>
    <xf numFmtId="167" fontId="30" fillId="5" borderId="0" xfId="1" quotePrefix="1" applyNumberFormat="1" applyFont="1" applyFill="1" applyProtection="1">
      <protection locked="0"/>
    </xf>
    <xf numFmtId="167" fontId="24" fillId="5" borderId="0" xfId="1" quotePrefix="1" applyNumberFormat="1" applyFont="1" applyFill="1" applyProtection="1">
      <protection locked="0"/>
    </xf>
    <xf numFmtId="167" fontId="30" fillId="5" borderId="0" xfId="1" applyNumberFormat="1" applyFont="1" applyFill="1" applyProtection="1">
      <protection locked="0"/>
    </xf>
    <xf numFmtId="0" fontId="23" fillId="0" borderId="0" xfId="1" applyFont="1" applyProtection="1"/>
    <xf numFmtId="168" fontId="22" fillId="0" borderId="0" xfId="1" applyNumberFormat="1" applyFont="1" applyProtection="1"/>
    <xf numFmtId="0" fontId="10" fillId="16" borderId="1" xfId="0" applyFont="1" applyFill="1" applyBorder="1" applyAlignment="1">
      <alignment horizontal="center"/>
    </xf>
    <xf numFmtId="0" fontId="18" fillId="0" borderId="0" xfId="1" applyFont="1" applyProtection="1"/>
    <xf numFmtId="167" fontId="18" fillId="0" borderId="0" xfId="1" applyNumberFormat="1" applyFont="1" applyFill="1" applyProtection="1">
      <protection locked="0"/>
    </xf>
    <xf numFmtId="170" fontId="11" fillId="0" borderId="39" xfId="8" applyNumberFormat="1" applyFont="1" applyBorder="1"/>
    <xf numFmtId="0" fontId="31" fillId="0" borderId="0" xfId="0" applyFont="1"/>
    <xf numFmtId="170" fontId="11" fillId="0" borderId="36" xfId="8" applyNumberFormat="1" applyFont="1" applyBorder="1"/>
    <xf numFmtId="170" fontId="11" fillId="0" borderId="40" xfId="8" applyNumberFormat="1" applyFont="1" applyBorder="1"/>
    <xf numFmtId="0" fontId="16" fillId="13" borderId="1" xfId="0" applyFont="1" applyFill="1" applyBorder="1"/>
    <xf numFmtId="0" fontId="17" fillId="13" borderId="30" xfId="0" applyFont="1" applyFill="1" applyBorder="1"/>
    <xf numFmtId="0" fontId="17" fillId="13" borderId="23" xfId="0" applyFont="1" applyFill="1" applyBorder="1"/>
    <xf numFmtId="170" fontId="16" fillId="0" borderId="7" xfId="0" applyNumberFormat="1" applyFont="1" applyBorder="1"/>
    <xf numFmtId="0" fontId="17" fillId="13" borderId="5" xfId="0" applyFont="1" applyFill="1" applyBorder="1"/>
    <xf numFmtId="170" fontId="17" fillId="13" borderId="36" xfId="0" applyNumberFormat="1" applyFont="1" applyFill="1" applyBorder="1"/>
    <xf numFmtId="170" fontId="11" fillId="0" borderId="36" xfId="0" applyNumberFormat="1" applyFont="1" applyFill="1" applyBorder="1"/>
    <xf numFmtId="0" fontId="11" fillId="0" borderId="0" xfId="0" applyFont="1" applyAlignment="1">
      <alignment horizontal="right"/>
    </xf>
    <xf numFmtId="0" fontId="11" fillId="0" borderId="0" xfId="0" applyNumberFormat="1" applyFont="1"/>
    <xf numFmtId="0" fontId="12" fillId="27" borderId="1" xfId="0" applyFont="1" applyFill="1" applyBorder="1"/>
    <xf numFmtId="0" fontId="12" fillId="27" borderId="1" xfId="0" applyFont="1" applyFill="1" applyBorder="1" applyAlignment="1">
      <alignment horizontal="center"/>
    </xf>
    <xf numFmtId="0" fontId="11" fillId="27" borderId="1" xfId="0" applyFont="1" applyFill="1" applyBorder="1"/>
    <xf numFmtId="171" fontId="24" fillId="0" borderId="0" xfId="0" applyNumberFormat="1" applyFont="1"/>
    <xf numFmtId="169" fontId="11" fillId="19" borderId="0" xfId="0" applyNumberFormat="1" applyFont="1" applyFill="1" applyAlignment="1">
      <alignment horizontal="right"/>
    </xf>
    <xf numFmtId="170" fontId="13" fillId="18" borderId="0" xfId="0" applyNumberFormat="1" applyFont="1" applyFill="1"/>
    <xf numFmtId="3" fontId="11" fillId="0" borderId="0" xfId="0" applyNumberFormat="1" applyFont="1" applyAlignment="1">
      <alignment horizontal="right"/>
    </xf>
    <xf numFmtId="0" fontId="12" fillId="17" borderId="0" xfId="0" applyFont="1" applyFill="1" applyAlignment="1">
      <alignment horizontal="right"/>
    </xf>
    <xf numFmtId="4" fontId="11" fillId="0" borderId="0" xfId="0" applyNumberFormat="1" applyFont="1" applyAlignment="1">
      <alignment horizontal="right"/>
    </xf>
    <xf numFmtId="10" fontId="11" fillId="0" borderId="0" xfId="0" applyNumberFormat="1" applyFont="1" applyAlignment="1">
      <alignment horizontal="right"/>
    </xf>
    <xf numFmtId="0" fontId="11" fillId="0" borderId="41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11" fillId="0" borderId="7" xfId="0" applyFont="1" applyBorder="1" applyAlignment="1">
      <alignment horizontal="right"/>
    </xf>
    <xf numFmtId="9" fontId="11" fillId="0" borderId="0" xfId="0" applyNumberFormat="1" applyFont="1" applyAlignment="1">
      <alignment horizontal="right"/>
    </xf>
    <xf numFmtId="0" fontId="23" fillId="9" borderId="9" xfId="0" applyFont="1" applyFill="1" applyBorder="1" applyAlignment="1">
      <alignment horizontal="right" vertical="center"/>
    </xf>
    <xf numFmtId="0" fontId="11" fillId="17" borderId="0" xfId="0" applyFont="1" applyFill="1" applyAlignment="1">
      <alignment horizontal="right"/>
    </xf>
    <xf numFmtId="0" fontId="11" fillId="0" borderId="40" xfId="0" applyFont="1" applyBorder="1" applyAlignment="1">
      <alignment horizontal="right"/>
    </xf>
    <xf numFmtId="0" fontId="11" fillId="0" borderId="36" xfId="0" applyFont="1" applyBorder="1" applyAlignment="1">
      <alignment horizontal="right"/>
    </xf>
    <xf numFmtId="0" fontId="13" fillId="17" borderId="31" xfId="0" applyFont="1" applyFill="1" applyBorder="1"/>
    <xf numFmtId="170" fontId="13" fillId="17" borderId="23" xfId="0" applyNumberFormat="1" applyFont="1" applyFill="1" applyBorder="1"/>
    <xf numFmtId="0" fontId="12" fillId="16" borderId="1" xfId="0" applyFont="1" applyFill="1" applyBorder="1" applyAlignment="1">
      <alignment horizontal="center"/>
    </xf>
    <xf numFmtId="170" fontId="11" fillId="16" borderId="1" xfId="0" applyNumberFormat="1" applyFont="1" applyFill="1" applyBorder="1"/>
    <xf numFmtId="9" fontId="12" fillId="16" borderId="1" xfId="0" applyNumberFormat="1" applyFont="1" applyFill="1" applyBorder="1"/>
    <xf numFmtId="6" fontId="12" fillId="16" borderId="1" xfId="0" applyNumberFormat="1" applyFont="1" applyFill="1" applyBorder="1" applyAlignment="1">
      <alignment horizontal="left" indent="4"/>
    </xf>
    <xf numFmtId="9" fontId="11" fillId="0" borderId="0" xfId="6" applyNumberFormat="1" applyFont="1" applyAlignment="1">
      <alignment horizontal="right"/>
    </xf>
    <xf numFmtId="0" fontId="11" fillId="0" borderId="0" xfId="0" applyFont="1" applyAlignment="1">
      <alignment wrapText="1"/>
    </xf>
    <xf numFmtId="0" fontId="34" fillId="0" borderId="0" xfId="0" applyFont="1"/>
    <xf numFmtId="9" fontId="35" fillId="0" borderId="0" xfId="0" applyNumberFormat="1" applyFont="1"/>
    <xf numFmtId="9" fontId="34" fillId="0" borderId="0" xfId="0" applyNumberFormat="1" applyFont="1"/>
    <xf numFmtId="171" fontId="13" fillId="17" borderId="1" xfId="0" applyNumberFormat="1" applyFont="1" applyFill="1" applyBorder="1"/>
    <xf numFmtId="0" fontId="36" fillId="0" borderId="0" xfId="0" applyFont="1"/>
    <xf numFmtId="0" fontId="12" fillId="17" borderId="37" xfId="0" applyFont="1" applyFill="1" applyBorder="1" applyAlignment="1">
      <alignment horizontal="center" vertical="center"/>
    </xf>
    <xf numFmtId="0" fontId="12" fillId="17" borderId="26" xfId="0" applyFont="1" applyFill="1" applyBorder="1" applyAlignment="1">
      <alignment horizontal="center" vertical="center"/>
    </xf>
    <xf numFmtId="0" fontId="10" fillId="17" borderId="31" xfId="0" applyFont="1" applyFill="1" applyBorder="1"/>
    <xf numFmtId="0" fontId="10" fillId="17" borderId="23" xfId="0" applyFont="1" applyFill="1" applyBorder="1"/>
    <xf numFmtId="170" fontId="10" fillId="17" borderId="1" xfId="0" applyNumberFormat="1" applyFont="1" applyFill="1" applyBorder="1"/>
    <xf numFmtId="0" fontId="11" fillId="17" borderId="23" xfId="0" applyFont="1" applyFill="1" applyBorder="1"/>
    <xf numFmtId="167" fontId="18" fillId="0" borderId="41" xfId="1" applyNumberFormat="1" applyFont="1" applyFill="1" applyBorder="1" applyProtection="1">
      <protection locked="0"/>
    </xf>
    <xf numFmtId="170" fontId="11" fillId="0" borderId="4" xfId="8" applyNumberFormat="1" applyFont="1" applyBorder="1"/>
    <xf numFmtId="167" fontId="18" fillId="0" borderId="0" xfId="1" applyNumberFormat="1" applyFont="1" applyFill="1" applyBorder="1" applyProtection="1">
      <protection locked="0"/>
    </xf>
    <xf numFmtId="167" fontId="18" fillId="0" borderId="7" xfId="1" applyNumberFormat="1" applyFont="1" applyFill="1" applyBorder="1" applyProtection="1">
      <protection locked="0"/>
    </xf>
    <xf numFmtId="170" fontId="11" fillId="0" borderId="5" xfId="8" applyNumberFormat="1" applyFont="1" applyBorder="1"/>
    <xf numFmtId="0" fontId="10" fillId="16" borderId="30" xfId="0" applyFont="1" applyFill="1" applyBorder="1" applyAlignment="1">
      <alignment horizontal="center"/>
    </xf>
    <xf numFmtId="0" fontId="10" fillId="16" borderId="31" xfId="0" applyFont="1" applyFill="1" applyBorder="1" applyAlignment="1">
      <alignment horizontal="center"/>
    </xf>
    <xf numFmtId="0" fontId="18" fillId="0" borderId="42" xfId="1" applyNumberFormat="1" applyFont="1" applyFill="1" applyBorder="1" applyProtection="1">
      <protection locked="0"/>
    </xf>
    <xf numFmtId="0" fontId="18" fillId="0" borderId="43" xfId="1" applyNumberFormat="1" applyFont="1" applyFill="1" applyBorder="1" applyProtection="1">
      <protection locked="0"/>
    </xf>
    <xf numFmtId="0" fontId="10" fillId="17" borderId="31" xfId="0" applyNumberFormat="1" applyFont="1" applyFill="1" applyBorder="1"/>
    <xf numFmtId="0" fontId="16" fillId="0" borderId="42" xfId="0" applyNumberFormat="1" applyFont="1" applyFill="1" applyBorder="1" applyProtection="1">
      <protection locked="0"/>
    </xf>
    <xf numFmtId="0" fontId="11" fillId="0" borderId="43" xfId="0" applyNumberFormat="1" applyFont="1" applyBorder="1"/>
    <xf numFmtId="0" fontId="11" fillId="0" borderId="42" xfId="0" applyNumberFormat="1" applyFont="1" applyBorder="1"/>
    <xf numFmtId="3" fontId="12" fillId="0" borderId="0" xfId="0" applyNumberFormat="1" applyFont="1" applyBorder="1" applyAlignment="1">
      <alignment horizontal="right" vertical="center"/>
    </xf>
    <xf numFmtId="0" fontId="11" fillId="0" borderId="0" xfId="6" applyNumberFormat="1" applyFont="1" applyBorder="1" applyAlignment="1">
      <alignment horizontal="right" vertical="center"/>
    </xf>
    <xf numFmtId="177" fontId="11" fillId="0" borderId="0" xfId="0" applyNumberFormat="1" applyFont="1" applyBorder="1" applyAlignment="1">
      <alignment horizontal="right" vertical="center"/>
    </xf>
    <xf numFmtId="0" fontId="12" fillId="2" borderId="1" xfId="0" applyFont="1" applyFill="1" applyBorder="1" applyAlignment="1">
      <alignment horizontal="center" vertical="center" wrapText="1"/>
    </xf>
    <xf numFmtId="177" fontId="11" fillId="0" borderId="1" xfId="0" applyNumberFormat="1" applyFont="1" applyBorder="1" applyAlignment="1">
      <alignment horizontal="center" vertical="center"/>
    </xf>
    <xf numFmtId="0" fontId="25" fillId="28" borderId="1" xfId="0" applyFont="1" applyFill="1" applyBorder="1" applyAlignment="1">
      <alignment horizontal="center" vertical="center" wrapText="1"/>
    </xf>
    <xf numFmtId="171" fontId="11" fillId="0" borderId="1" xfId="0" applyNumberFormat="1" applyFont="1" applyBorder="1" applyAlignment="1">
      <alignment horizontal="center" vertical="center"/>
    </xf>
    <xf numFmtId="168" fontId="11" fillId="0" borderId="14" xfId="7" applyNumberFormat="1" applyFont="1" applyBorder="1" applyAlignment="1">
      <alignment horizontal="right" vertical="center"/>
    </xf>
    <xf numFmtId="171" fontId="11" fillId="0" borderId="12" xfId="0" applyNumberFormat="1" applyFont="1" applyBorder="1" applyAlignment="1">
      <alignment horizontal="right"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25" fillId="29" borderId="1" xfId="0" applyFont="1" applyFill="1" applyBorder="1" applyAlignment="1">
      <alignment horizontal="center" vertical="center" wrapText="1"/>
    </xf>
    <xf numFmtId="177" fontId="24" fillId="0" borderId="30" xfId="0" applyNumberFormat="1" applyFont="1" applyBorder="1" applyAlignment="1">
      <alignment horizontal="center" vertical="center"/>
    </xf>
    <xf numFmtId="171" fontId="24" fillId="0" borderId="30" xfId="0" applyNumberFormat="1" applyFont="1" applyBorder="1" applyAlignment="1">
      <alignment horizontal="center" vertical="center"/>
    </xf>
    <xf numFmtId="0" fontId="12" fillId="25" borderId="1" xfId="0" applyFont="1" applyFill="1" applyBorder="1" applyAlignment="1">
      <alignment horizontal="center" vertical="center" wrapText="1"/>
    </xf>
    <xf numFmtId="0" fontId="16" fillId="0" borderId="0" xfId="0" applyFont="1" applyBorder="1"/>
    <xf numFmtId="0" fontId="17" fillId="20" borderId="1" xfId="0" applyFont="1" applyFill="1" applyBorder="1"/>
    <xf numFmtId="168" fontId="12" fillId="0" borderId="53" xfId="0" applyNumberFormat="1" applyFont="1" applyBorder="1"/>
    <xf numFmtId="168" fontId="12" fillId="0" borderId="17" xfId="0" applyNumberFormat="1" applyFont="1" applyBorder="1"/>
    <xf numFmtId="168" fontId="12" fillId="0" borderId="0" xfId="0" applyNumberFormat="1" applyFont="1" applyBorder="1"/>
    <xf numFmtId="3" fontId="12" fillId="0" borderId="0" xfId="0" applyNumberFormat="1" applyFont="1" applyBorder="1"/>
    <xf numFmtId="3" fontId="12" fillId="0" borderId="11" xfId="0" applyNumberFormat="1" applyFont="1" applyBorder="1"/>
    <xf numFmtId="0" fontId="11" fillId="0" borderId="11" xfId="0" applyFont="1" applyBorder="1" applyAlignment="1">
      <alignment horizontal="center" vertical="center"/>
    </xf>
    <xf numFmtId="3" fontId="11" fillId="0" borderId="1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/>
    </xf>
    <xf numFmtId="176" fontId="11" fillId="0" borderId="1" xfId="0" applyNumberFormat="1" applyFont="1" applyBorder="1" applyAlignment="1">
      <alignment horizontal="left"/>
    </xf>
    <xf numFmtId="0" fontId="11" fillId="0" borderId="1" xfId="0" applyFont="1" applyBorder="1" applyAlignment="1">
      <alignment horizontal="left" vertical="center"/>
    </xf>
    <xf numFmtId="176" fontId="12" fillId="0" borderId="1" xfId="0" applyNumberFormat="1" applyFont="1" applyBorder="1" applyAlignment="1">
      <alignment horizontal="center" vertical="center"/>
    </xf>
    <xf numFmtId="0" fontId="12" fillId="17" borderId="1" xfId="0" applyFont="1" applyFill="1" applyBorder="1" applyAlignment="1">
      <alignment horizontal="left"/>
    </xf>
    <xf numFmtId="0" fontId="12" fillId="7" borderId="1" xfId="0" applyFont="1" applyFill="1" applyBorder="1"/>
    <xf numFmtId="0" fontId="12" fillId="0" borderId="0" xfId="0" applyFont="1" applyBorder="1" applyAlignment="1">
      <alignment horizontal="center" vertical="center"/>
    </xf>
    <xf numFmtId="176" fontId="12" fillId="0" borderId="0" xfId="0" applyNumberFormat="1" applyFont="1" applyBorder="1" applyAlignment="1">
      <alignment horizontal="center" vertical="center"/>
    </xf>
    <xf numFmtId="170" fontId="11" fillId="0" borderId="1" xfId="0" applyNumberFormat="1" applyFont="1" applyBorder="1" applyAlignment="1">
      <alignment horizontal="right" vertical="center"/>
    </xf>
    <xf numFmtId="170" fontId="11" fillId="0" borderId="14" xfId="0" applyNumberFormat="1" applyFont="1" applyBorder="1" applyAlignment="1">
      <alignment horizontal="right" vertical="center"/>
    </xf>
    <xf numFmtId="0" fontId="12" fillId="14" borderId="0" xfId="0" applyFont="1" applyFill="1" applyAlignment="1">
      <alignment vertical="center"/>
    </xf>
    <xf numFmtId="0" fontId="12" fillId="0" borderId="18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68" fontId="11" fillId="0" borderId="0" xfId="7" applyNumberFormat="1" applyFont="1" applyAlignment="1">
      <alignment vertical="center"/>
    </xf>
    <xf numFmtId="168" fontId="12" fillId="0" borderId="1" xfId="7" applyNumberFormat="1" applyFont="1" applyBorder="1" applyAlignment="1">
      <alignment vertical="center"/>
    </xf>
    <xf numFmtId="0" fontId="12" fillId="17" borderId="25" xfId="0" applyFont="1" applyFill="1" applyBorder="1" applyAlignment="1">
      <alignment vertical="center" wrapText="1"/>
    </xf>
    <xf numFmtId="0" fontId="12" fillId="17" borderId="26" xfId="0" applyFont="1" applyFill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168" fontId="11" fillId="0" borderId="15" xfId="7" applyNumberFormat="1" applyFont="1" applyBorder="1" applyAlignment="1">
      <alignment vertical="center"/>
    </xf>
    <xf numFmtId="168" fontId="11" fillId="0" borderId="14" xfId="7" applyNumberFormat="1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0" fontId="11" fillId="0" borderId="14" xfId="0" applyFont="1" applyBorder="1" applyAlignment="1">
      <alignment vertical="center"/>
    </xf>
    <xf numFmtId="2" fontId="11" fillId="0" borderId="0" xfId="0" applyNumberFormat="1" applyFont="1" applyAlignment="1">
      <alignment horizontal="left" vertical="center" indent="1"/>
    </xf>
    <xf numFmtId="2" fontId="11" fillId="0" borderId="15" xfId="0" applyNumberFormat="1" applyFont="1" applyBorder="1" applyAlignment="1">
      <alignment vertical="center"/>
    </xf>
    <xf numFmtId="2" fontId="11" fillId="0" borderId="14" xfId="0" applyNumberFormat="1" applyFont="1" applyBorder="1" applyAlignment="1">
      <alignment vertical="center"/>
    </xf>
    <xf numFmtId="168" fontId="11" fillId="0" borderId="19" xfId="7" applyNumberFormat="1" applyFont="1" applyBorder="1" applyAlignment="1">
      <alignment vertical="center"/>
    </xf>
    <xf numFmtId="168" fontId="11" fillId="0" borderId="12" xfId="7" applyNumberFormat="1" applyFont="1" applyBorder="1" applyAlignment="1">
      <alignment vertical="center"/>
    </xf>
    <xf numFmtId="0" fontId="11" fillId="0" borderId="31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1" fontId="11" fillId="0" borderId="19" xfId="0" applyNumberFormat="1" applyFont="1" applyBorder="1" applyAlignment="1">
      <alignment vertical="center"/>
    </xf>
    <xf numFmtId="0" fontId="11" fillId="0" borderId="12" xfId="0" applyFont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168" fontId="12" fillId="0" borderId="31" xfId="7" applyNumberFormat="1" applyFont="1" applyBorder="1" applyAlignment="1">
      <alignment vertical="center"/>
    </xf>
    <xf numFmtId="168" fontId="12" fillId="0" borderId="49" xfId="7" applyNumberFormat="1" applyFont="1" applyBorder="1" applyAlignment="1">
      <alignment vertical="center"/>
    </xf>
    <xf numFmtId="168" fontId="12" fillId="0" borderId="51" xfId="7" applyNumberFormat="1" applyFont="1" applyFill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9" fontId="25" fillId="3" borderId="9" xfId="0" applyNumberFormat="1" applyFont="1" applyFill="1" applyBorder="1" applyAlignment="1">
      <alignment vertical="center"/>
    </xf>
    <xf numFmtId="9" fontId="25" fillId="4" borderId="9" xfId="0" applyNumberFormat="1" applyFont="1" applyFill="1" applyBorder="1" applyAlignment="1">
      <alignment vertical="center"/>
    </xf>
    <xf numFmtId="9" fontId="11" fillId="8" borderId="9" xfId="0" applyNumberFormat="1" applyFont="1" applyFill="1" applyBorder="1" applyAlignment="1">
      <alignment vertical="center"/>
    </xf>
    <xf numFmtId="9" fontId="25" fillId="25" borderId="9" xfId="0" applyNumberFormat="1" applyFont="1" applyFill="1" applyBorder="1" applyAlignment="1">
      <alignment vertical="center"/>
    </xf>
    <xf numFmtId="168" fontId="12" fillId="0" borderId="2" xfId="7" applyNumberFormat="1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0" fontId="11" fillId="0" borderId="11" xfId="0" applyFont="1" applyBorder="1" applyAlignment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170" fontId="11" fillId="0" borderId="0" xfId="0" applyNumberFormat="1" applyFont="1" applyAlignment="1">
      <alignment vertical="center"/>
    </xf>
    <xf numFmtId="170" fontId="11" fillId="0" borderId="1" xfId="7" applyNumberFormat="1" applyFont="1" applyBorder="1" applyAlignment="1">
      <alignment horizontal="right" vertical="center"/>
    </xf>
    <xf numFmtId="170" fontId="11" fillId="0" borderId="1" xfId="0" applyNumberFormat="1" applyFont="1" applyBorder="1" applyAlignment="1">
      <alignment horizontal="right" vertical="center" indent="1"/>
    </xf>
    <xf numFmtId="170" fontId="11" fillId="0" borderId="14" xfId="0" applyNumberFormat="1" applyFont="1" applyBorder="1" applyAlignment="1">
      <alignment horizontal="right" vertical="center" indent="1"/>
    </xf>
    <xf numFmtId="171" fontId="11" fillId="0" borderId="0" xfId="0" applyNumberFormat="1" applyFont="1" applyAlignment="1">
      <alignment vertical="center"/>
    </xf>
    <xf numFmtId="171" fontId="12" fillId="2" borderId="2" xfId="0" applyNumberFormat="1" applyFont="1" applyFill="1" applyBorder="1" applyAlignment="1">
      <alignment horizontal="right" vertical="center"/>
    </xf>
    <xf numFmtId="171" fontId="11" fillId="0" borderId="0" xfId="0" applyNumberFormat="1" applyFont="1" applyBorder="1" applyAlignment="1">
      <alignment horizontal="right" vertical="center"/>
    </xf>
    <xf numFmtId="171" fontId="11" fillId="0" borderId="11" xfId="0" applyNumberFormat="1" applyFont="1" applyBorder="1" applyAlignment="1">
      <alignment horizontal="right" vertical="center"/>
    </xf>
    <xf numFmtId="171" fontId="12" fillId="3" borderId="2" xfId="0" applyNumberFormat="1" applyFont="1" applyFill="1" applyBorder="1" applyAlignment="1">
      <alignment horizontal="right" vertical="center"/>
    </xf>
    <xf numFmtId="171" fontId="12" fillId="4" borderId="2" xfId="0" applyNumberFormat="1" applyFont="1" applyFill="1" applyBorder="1" applyAlignment="1">
      <alignment horizontal="right" vertical="center"/>
    </xf>
    <xf numFmtId="171" fontId="12" fillId="11" borderId="2" xfId="0" applyNumberFormat="1" applyFont="1" applyFill="1" applyBorder="1" applyAlignment="1">
      <alignment horizontal="right" vertical="center"/>
    </xf>
    <xf numFmtId="171" fontId="12" fillId="25" borderId="2" xfId="0" applyNumberFormat="1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176" fontId="11" fillId="0" borderId="0" xfId="0" applyNumberFormat="1" applyFont="1" applyBorder="1" applyAlignment="1">
      <alignment horizontal="right" vertical="center"/>
    </xf>
    <xf numFmtId="176" fontId="11" fillId="0" borderId="11" xfId="0" applyNumberFormat="1" applyFont="1" applyBorder="1" applyAlignment="1">
      <alignment horizontal="right" vertical="center"/>
    </xf>
    <xf numFmtId="3" fontId="24" fillId="0" borderId="0" xfId="0" applyNumberFormat="1" applyFont="1" applyAlignment="1">
      <alignment horizontal="right" vertical="center"/>
    </xf>
    <xf numFmtId="176" fontId="11" fillId="0" borderId="0" xfId="0" applyNumberFormat="1" applyFont="1" applyBorder="1" applyAlignment="1">
      <alignment vertical="center"/>
    </xf>
    <xf numFmtId="176" fontId="11" fillId="0" borderId="11" xfId="0" applyNumberFormat="1" applyFont="1" applyBorder="1" applyAlignment="1">
      <alignment vertical="center"/>
    </xf>
    <xf numFmtId="9" fontId="25" fillId="8" borderId="9" xfId="0" applyNumberFormat="1" applyFont="1" applyFill="1" applyBorder="1" applyAlignment="1">
      <alignment vertical="center"/>
    </xf>
    <xf numFmtId="171" fontId="12" fillId="3" borderId="29" xfId="0" applyNumberFormat="1" applyFont="1" applyFill="1" applyBorder="1" applyAlignment="1">
      <alignment horizontal="right" vertical="center"/>
    </xf>
    <xf numFmtId="171" fontId="12" fillId="4" borderId="29" xfId="0" applyNumberFormat="1" applyFont="1" applyFill="1" applyBorder="1" applyAlignment="1">
      <alignment horizontal="right" vertical="center"/>
    </xf>
    <xf numFmtId="171" fontId="12" fillId="8" borderId="29" xfId="0" applyNumberFormat="1" applyFont="1" applyFill="1" applyBorder="1" applyAlignment="1">
      <alignment horizontal="right" vertical="center"/>
    </xf>
    <xf numFmtId="171" fontId="12" fillId="25" borderId="29" xfId="0" applyNumberFormat="1" applyFont="1" applyFill="1" applyBorder="1" applyAlignment="1">
      <alignment horizontal="right" vertical="center"/>
    </xf>
    <xf numFmtId="3" fontId="12" fillId="4" borderId="0" xfId="0" applyNumberFormat="1" applyFont="1" applyFill="1" applyBorder="1" applyAlignment="1">
      <alignment horizontal="right" vertical="center"/>
    </xf>
    <xf numFmtId="9" fontId="11" fillId="4" borderId="9" xfId="0" applyNumberFormat="1" applyFont="1" applyFill="1" applyBorder="1" applyAlignment="1">
      <alignment vertical="center"/>
    </xf>
    <xf numFmtId="171" fontId="11" fillId="0" borderId="20" xfId="0" applyNumberFormat="1" applyFont="1" applyBorder="1" applyAlignment="1">
      <alignment horizontal="right" vertical="center"/>
    </xf>
    <xf numFmtId="171" fontId="11" fillId="0" borderId="21" xfId="0" applyNumberFormat="1" applyFont="1" applyBorder="1" applyAlignment="1">
      <alignment horizontal="right" vertical="center"/>
    </xf>
    <xf numFmtId="10" fontId="11" fillId="0" borderId="0" xfId="0" applyNumberFormat="1" applyFont="1" applyAlignment="1">
      <alignment vertical="center"/>
    </xf>
    <xf numFmtId="0" fontId="24" fillId="0" borderId="0" xfId="0" applyFont="1" applyAlignment="1">
      <alignment vertical="center"/>
    </xf>
    <xf numFmtId="0" fontId="11" fillId="0" borderId="0" xfId="0" applyFont="1" applyAlignment="1">
      <alignment horizontal="right" vertical="center"/>
    </xf>
    <xf numFmtId="0" fontId="12" fillId="27" borderId="0" xfId="0" applyFont="1" applyFill="1" applyAlignment="1">
      <alignment horizontal="center" vertical="center"/>
    </xf>
    <xf numFmtId="0" fontId="12" fillId="27" borderId="0" xfId="0" applyFont="1" applyFill="1" applyAlignment="1">
      <alignment vertical="center"/>
    </xf>
    <xf numFmtId="9" fontId="11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69" fontId="11" fillId="0" borderId="5" xfId="0" applyNumberFormat="1" applyFont="1" applyBorder="1" applyAlignment="1">
      <alignment vertical="center"/>
    </xf>
    <xf numFmtId="9" fontId="11" fillId="0" borderId="1" xfId="0" applyNumberFormat="1" applyFont="1" applyBorder="1" applyAlignment="1">
      <alignment vertical="center"/>
    </xf>
    <xf numFmtId="9" fontId="11" fillId="0" borderId="31" xfId="0" applyNumberFormat="1" applyFont="1" applyBorder="1" applyAlignment="1">
      <alignment vertical="center"/>
    </xf>
    <xf numFmtId="169" fontId="11" fillId="0" borderId="1" xfId="0" applyNumberFormat="1" applyFont="1" applyBorder="1" applyAlignment="1">
      <alignment vertical="center"/>
    </xf>
    <xf numFmtId="10" fontId="0" fillId="0" borderId="0" xfId="0" applyNumberFormat="1" applyAlignment="1">
      <alignment vertical="center"/>
    </xf>
    <xf numFmtId="9" fontId="12" fillId="23" borderId="1" xfId="0" applyNumberFormat="1" applyFont="1" applyFill="1" applyBorder="1" applyAlignment="1">
      <alignment vertical="center"/>
    </xf>
    <xf numFmtId="9" fontId="12" fillId="17" borderId="1" xfId="0" applyNumberFormat="1" applyFont="1" applyFill="1" applyBorder="1" applyAlignment="1">
      <alignment vertical="center"/>
    </xf>
    <xf numFmtId="9" fontId="0" fillId="0" borderId="0" xfId="6" applyFont="1" applyAlignment="1">
      <alignment vertical="center"/>
    </xf>
    <xf numFmtId="0" fontId="11" fillId="0" borderId="2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9" fontId="11" fillId="0" borderId="0" xfId="6" applyFont="1" applyAlignment="1">
      <alignment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31" xfId="0" applyFont="1" applyFill="1" applyBorder="1" applyAlignment="1">
      <alignment horizontal="center" vertical="center"/>
    </xf>
    <xf numFmtId="0" fontId="12" fillId="17" borderId="31" xfId="0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170" fontId="11" fillId="0" borderId="1" xfId="0" applyNumberFormat="1" applyFont="1" applyBorder="1" applyAlignment="1">
      <alignment vertical="center"/>
    </xf>
    <xf numFmtId="170" fontId="11" fillId="0" borderId="31" xfId="0" applyNumberFormat="1" applyFont="1" applyBorder="1" applyAlignment="1">
      <alignment vertical="center"/>
    </xf>
    <xf numFmtId="9" fontId="11" fillId="0" borderId="31" xfId="6" applyFont="1" applyBorder="1" applyAlignment="1">
      <alignment vertical="center"/>
    </xf>
    <xf numFmtId="9" fontId="13" fillId="0" borderId="1" xfId="6" applyFont="1" applyBorder="1" applyAlignment="1">
      <alignment vertical="center"/>
    </xf>
    <xf numFmtId="170" fontId="13" fillId="0" borderId="1" xfId="0" applyNumberFormat="1" applyFont="1" applyBorder="1" applyAlignment="1">
      <alignment vertical="center"/>
    </xf>
    <xf numFmtId="9" fontId="13" fillId="0" borderId="31" xfId="6" applyFont="1" applyBorder="1" applyAlignment="1">
      <alignment vertical="center"/>
    </xf>
    <xf numFmtId="170" fontId="13" fillId="0" borderId="31" xfId="0" applyNumberFormat="1" applyFont="1" applyBorder="1" applyAlignment="1">
      <alignment vertical="center"/>
    </xf>
    <xf numFmtId="9" fontId="13" fillId="17" borderId="1" xfId="6" applyFont="1" applyFill="1" applyBorder="1" applyAlignment="1">
      <alignment vertical="center"/>
    </xf>
    <xf numFmtId="170" fontId="13" fillId="17" borderId="1" xfId="0" applyNumberFormat="1" applyFont="1" applyFill="1" applyBorder="1" applyAlignment="1">
      <alignment vertical="center"/>
    </xf>
    <xf numFmtId="9" fontId="13" fillId="17" borderId="31" xfId="6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24" fillId="0" borderId="13" xfId="0" applyFont="1" applyBorder="1" applyAlignment="1">
      <alignment horizontal="left" vertical="center"/>
    </xf>
    <xf numFmtId="170" fontId="11" fillId="0" borderId="15" xfId="0" applyNumberFormat="1" applyFont="1" applyBorder="1" applyAlignment="1">
      <alignment horizontal="left" vertical="center"/>
    </xf>
    <xf numFmtId="171" fontId="11" fillId="0" borderId="15" xfId="0" applyNumberFormat="1" applyFont="1" applyBorder="1" applyAlignment="1">
      <alignment horizontal="left" vertical="center"/>
    </xf>
    <xf numFmtId="171" fontId="12" fillId="2" borderId="6" xfId="0" applyNumberFormat="1" applyFont="1" applyFill="1" applyBorder="1" applyAlignment="1">
      <alignment horizontal="left" vertical="center"/>
    </xf>
    <xf numFmtId="0" fontId="12" fillId="2" borderId="6" xfId="0" applyFont="1" applyFill="1" applyBorder="1" applyAlignment="1">
      <alignment horizontal="left" vertical="center" wrapText="1"/>
    </xf>
    <xf numFmtId="0" fontId="24" fillId="0" borderId="13" xfId="0" applyNumberFormat="1" applyFont="1" applyBorder="1" applyAlignment="1">
      <alignment horizontal="left" vertical="center"/>
    </xf>
    <xf numFmtId="170" fontId="24" fillId="0" borderId="15" xfId="0" applyNumberFormat="1" applyFont="1" applyBorder="1" applyAlignment="1">
      <alignment horizontal="left" vertical="center"/>
    </xf>
    <xf numFmtId="0" fontId="24" fillId="0" borderId="19" xfId="0" applyNumberFormat="1" applyFont="1" applyBorder="1" applyAlignment="1">
      <alignment horizontal="left" vertical="center"/>
    </xf>
    <xf numFmtId="0" fontId="12" fillId="2" borderId="6" xfId="0" applyNumberFormat="1" applyFont="1" applyFill="1" applyBorder="1" applyAlignment="1">
      <alignment horizontal="left" vertical="center"/>
    </xf>
    <xf numFmtId="0" fontId="12" fillId="2" borderId="6" xfId="0" applyNumberFormat="1" applyFont="1" applyFill="1" applyBorder="1" applyAlignment="1">
      <alignment horizontal="left" vertical="center" wrapText="1"/>
    </xf>
    <xf numFmtId="0" fontId="12" fillId="0" borderId="10" xfId="0" applyFont="1" applyFill="1" applyBorder="1" applyAlignment="1">
      <alignment horizontal="left" vertical="center"/>
    </xf>
    <xf numFmtId="0" fontId="25" fillId="0" borderId="3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2" fillId="17" borderId="38" xfId="0" applyFont="1" applyFill="1" applyBorder="1" applyAlignment="1">
      <alignment horizontal="left" vertical="center"/>
    </xf>
    <xf numFmtId="0" fontId="12" fillId="0" borderId="38" xfId="0" applyFont="1" applyFill="1" applyBorder="1" applyAlignment="1">
      <alignment horizontal="left" vertical="center"/>
    </xf>
    <xf numFmtId="0" fontId="11" fillId="0" borderId="22" xfId="0" applyFont="1" applyBorder="1" applyAlignment="1">
      <alignment horizontal="left" vertical="center" wrapText="1"/>
    </xf>
    <xf numFmtId="0" fontId="12" fillId="17" borderId="1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3" fillId="17" borderId="1" xfId="0" applyFont="1" applyFill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22" xfId="0" applyFont="1" applyBorder="1" applyAlignment="1">
      <alignment horizontal="left" vertical="center"/>
    </xf>
    <xf numFmtId="0" fontId="11" fillId="0" borderId="19" xfId="0" applyNumberFormat="1" applyFont="1" applyBorder="1" applyAlignment="1">
      <alignment horizontal="left" vertical="center"/>
    </xf>
    <xf numFmtId="0" fontId="12" fillId="3" borderId="2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left" vertical="center"/>
    </xf>
    <xf numFmtId="0" fontId="12" fillId="8" borderId="2" xfId="0" applyFont="1" applyFill="1" applyBorder="1" applyAlignment="1">
      <alignment horizontal="left" vertical="center"/>
    </xf>
    <xf numFmtId="0" fontId="12" fillId="25" borderId="2" xfId="0" applyFont="1" applyFill="1" applyBorder="1" applyAlignment="1">
      <alignment horizontal="left" vertical="center"/>
    </xf>
    <xf numFmtId="0" fontId="12" fillId="3" borderId="6" xfId="0" applyFont="1" applyFill="1" applyBorder="1" applyAlignment="1">
      <alignment horizontal="left" vertical="center"/>
    </xf>
    <xf numFmtId="0" fontId="25" fillId="3" borderId="6" xfId="0" applyFont="1" applyFill="1" applyBorder="1" applyAlignment="1">
      <alignment horizontal="left" vertical="center"/>
    </xf>
    <xf numFmtId="171" fontId="12" fillId="3" borderId="6" xfId="0" applyNumberFormat="1" applyFont="1" applyFill="1" applyBorder="1" applyAlignment="1">
      <alignment horizontal="left" vertical="center"/>
    </xf>
    <xf numFmtId="0" fontId="12" fillId="3" borderId="6" xfId="0" applyFont="1" applyFill="1" applyBorder="1" applyAlignment="1">
      <alignment horizontal="left" vertical="center" wrapText="1"/>
    </xf>
    <xf numFmtId="171" fontId="11" fillId="0" borderId="19" xfId="0" applyNumberFormat="1" applyFont="1" applyBorder="1" applyAlignment="1">
      <alignment horizontal="left" vertical="center"/>
    </xf>
    <xf numFmtId="0" fontId="11" fillId="0" borderId="1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5" fillId="4" borderId="6" xfId="0" applyFont="1" applyFill="1" applyBorder="1" applyAlignment="1">
      <alignment horizontal="left" vertical="center"/>
    </xf>
    <xf numFmtId="171" fontId="12" fillId="4" borderId="6" xfId="0" applyNumberFormat="1" applyFont="1" applyFill="1" applyBorder="1" applyAlignment="1">
      <alignment horizontal="left" vertical="center"/>
    </xf>
    <xf numFmtId="0" fontId="12" fillId="4" borderId="6" xfId="0" applyFont="1" applyFill="1" applyBorder="1" applyAlignment="1">
      <alignment horizontal="left" vertical="center" wrapText="1"/>
    </xf>
    <xf numFmtId="170" fontId="11" fillId="0" borderId="13" xfId="0" applyNumberFormat="1" applyFont="1" applyBorder="1" applyAlignment="1">
      <alignment horizontal="left" vertical="center"/>
    </xf>
    <xf numFmtId="171" fontId="11" fillId="0" borderId="38" xfId="0" applyNumberFormat="1" applyFont="1" applyBorder="1" applyAlignment="1">
      <alignment horizontal="left" vertical="center"/>
    </xf>
    <xf numFmtId="0" fontId="12" fillId="4" borderId="22" xfId="0" applyFont="1" applyFill="1" applyBorder="1" applyAlignment="1">
      <alignment horizontal="left" vertical="center" wrapText="1"/>
    </xf>
    <xf numFmtId="0" fontId="12" fillId="4" borderId="10" xfId="0" applyFont="1" applyFill="1" applyBorder="1" applyAlignment="1">
      <alignment horizontal="left" vertical="center"/>
    </xf>
    <xf numFmtId="0" fontId="11" fillId="4" borderId="6" xfId="0" applyFont="1" applyFill="1" applyBorder="1" applyAlignment="1">
      <alignment horizontal="left" vertical="center"/>
    </xf>
    <xf numFmtId="0" fontId="12" fillId="8" borderId="6" xfId="0" applyFont="1" applyFill="1" applyBorder="1" applyAlignment="1">
      <alignment horizontal="left" vertical="center"/>
    </xf>
    <xf numFmtId="171" fontId="12" fillId="11" borderId="6" xfId="0" applyNumberFormat="1" applyFont="1" applyFill="1" applyBorder="1" applyAlignment="1">
      <alignment horizontal="left" vertical="center"/>
    </xf>
    <xf numFmtId="0" fontId="12" fillId="8" borderId="6" xfId="0" applyFont="1" applyFill="1" applyBorder="1" applyAlignment="1">
      <alignment horizontal="left" vertical="center" wrapText="1"/>
    </xf>
    <xf numFmtId="0" fontId="25" fillId="8" borderId="6" xfId="0" applyFont="1" applyFill="1" applyBorder="1" applyAlignment="1">
      <alignment horizontal="left" vertical="center"/>
    </xf>
    <xf numFmtId="0" fontId="12" fillId="8" borderId="22" xfId="0" applyFont="1" applyFill="1" applyBorder="1" applyAlignment="1">
      <alignment horizontal="left" vertical="center" wrapText="1"/>
    </xf>
    <xf numFmtId="0" fontId="25" fillId="25" borderId="2" xfId="0" applyFont="1" applyFill="1" applyBorder="1" applyAlignment="1">
      <alignment horizontal="left" vertical="center"/>
    </xf>
    <xf numFmtId="171" fontId="12" fillId="25" borderId="6" xfId="0" applyNumberFormat="1" applyFont="1" applyFill="1" applyBorder="1" applyAlignment="1">
      <alignment horizontal="left" vertical="center"/>
    </xf>
    <xf numFmtId="0" fontId="12" fillId="25" borderId="6" xfId="0" applyFont="1" applyFill="1" applyBorder="1" applyAlignment="1">
      <alignment horizontal="left" vertical="center" wrapText="1"/>
    </xf>
    <xf numFmtId="0" fontId="12" fillId="25" borderId="22" xfId="0" applyFont="1" applyFill="1" applyBorder="1" applyAlignment="1">
      <alignment horizontal="left" vertical="center" wrapText="1"/>
    </xf>
    <xf numFmtId="0" fontId="12" fillId="17" borderId="1" xfId="0" applyFont="1" applyFill="1" applyBorder="1" applyAlignment="1">
      <alignment horizontal="center" vertical="center" wrapText="1"/>
    </xf>
    <xf numFmtId="9" fontId="11" fillId="0" borderId="1" xfId="0" applyNumberFormat="1" applyFont="1" applyBorder="1" applyAlignment="1">
      <alignment horizontal="center" vertical="center"/>
    </xf>
    <xf numFmtId="9" fontId="12" fillId="1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27" borderId="1" xfId="0" applyFont="1" applyFill="1" applyBorder="1" applyAlignment="1">
      <alignment horizontal="center" vertical="center"/>
    </xf>
    <xf numFmtId="0" fontId="12" fillId="27" borderId="1" xfId="0" applyFont="1" applyFill="1" applyBorder="1" applyAlignment="1">
      <alignment vertical="center"/>
    </xf>
    <xf numFmtId="9" fontId="11" fillId="0" borderId="1" xfId="0" applyNumberFormat="1" applyFont="1" applyFill="1" applyBorder="1" applyAlignment="1">
      <alignment horizontal="center" vertical="center"/>
    </xf>
    <xf numFmtId="0" fontId="12" fillId="2" borderId="16" xfId="0" applyFont="1" applyFill="1" applyBorder="1"/>
    <xf numFmtId="0" fontId="11" fillId="0" borderId="24" xfId="0" applyFont="1" applyBorder="1" applyAlignment="1">
      <alignment vertical="center" wrapText="1"/>
    </xf>
    <xf numFmtId="171" fontId="11" fillId="0" borderId="36" xfId="0" applyNumberFormat="1" applyFont="1" applyBorder="1" applyAlignment="1">
      <alignment vertical="center"/>
    </xf>
    <xf numFmtId="9" fontId="11" fillId="0" borderId="5" xfId="6" applyFont="1" applyBorder="1" applyAlignment="1">
      <alignment horizontal="center"/>
    </xf>
    <xf numFmtId="9" fontId="11" fillId="0" borderId="36" xfId="6" applyFont="1" applyBorder="1" applyAlignment="1">
      <alignment horizontal="center"/>
    </xf>
    <xf numFmtId="9" fontId="11" fillId="0" borderId="1" xfId="6" applyFont="1" applyBorder="1" applyAlignment="1">
      <alignment horizontal="center" vertical="center"/>
    </xf>
    <xf numFmtId="9" fontId="11" fillId="0" borderId="30" xfId="6" applyFont="1" applyBorder="1" applyAlignment="1">
      <alignment horizontal="center" vertical="center"/>
    </xf>
    <xf numFmtId="9" fontId="11" fillId="0" borderId="1" xfId="6" applyFont="1" applyFill="1" applyBorder="1" applyAlignment="1">
      <alignment horizontal="center"/>
    </xf>
    <xf numFmtId="9" fontId="11" fillId="0" borderId="30" xfId="6" applyFont="1" applyFill="1" applyBorder="1" applyAlignment="1">
      <alignment horizontal="center"/>
    </xf>
    <xf numFmtId="9" fontId="11" fillId="0" borderId="1" xfId="6" applyFont="1" applyBorder="1" applyAlignment="1">
      <alignment horizontal="center"/>
    </xf>
    <xf numFmtId="9" fontId="11" fillId="0" borderId="30" xfId="6" applyFont="1" applyBorder="1" applyAlignment="1">
      <alignment horizontal="center"/>
    </xf>
    <xf numFmtId="9" fontId="11" fillId="0" borderId="4" xfId="6" applyFont="1" applyBorder="1" applyAlignment="1">
      <alignment horizontal="center"/>
    </xf>
    <xf numFmtId="9" fontId="11" fillId="0" borderId="3" xfId="0" applyNumberFormat="1" applyFont="1" applyBorder="1" applyAlignment="1">
      <alignment horizontal="center"/>
    </xf>
    <xf numFmtId="0" fontId="11" fillId="17" borderId="32" xfId="0" applyFont="1" applyFill="1" applyBorder="1" applyAlignment="1">
      <alignment horizontal="center"/>
    </xf>
    <xf numFmtId="9" fontId="12" fillId="17" borderId="33" xfId="0" applyNumberFormat="1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17" borderId="6" xfId="0" applyFont="1" applyFill="1" applyBorder="1" applyAlignment="1">
      <alignment horizontal="center" vertical="center"/>
    </xf>
    <xf numFmtId="0" fontId="37" fillId="17" borderId="1" xfId="0" applyFont="1" applyFill="1" applyBorder="1" applyAlignment="1">
      <alignment horizontal="center"/>
    </xf>
    <xf numFmtId="9" fontId="35" fillId="0" borderId="1" xfId="0" applyNumberFormat="1" applyFont="1" applyBorder="1" applyAlignment="1">
      <alignment horizontal="center"/>
    </xf>
    <xf numFmtId="0" fontId="34" fillId="17" borderId="1" xfId="0" applyFont="1" applyFill="1" applyBorder="1" applyAlignment="1">
      <alignment horizontal="center"/>
    </xf>
    <xf numFmtId="0" fontId="23" fillId="6" borderId="6" xfId="2" applyFont="1" applyFill="1" applyBorder="1" applyAlignment="1" applyProtection="1">
      <alignment horizontal="center"/>
    </xf>
    <xf numFmtId="0" fontId="23" fillId="6" borderId="8" xfId="2" applyFont="1" applyFill="1" applyBorder="1" applyAlignment="1" applyProtection="1">
      <alignment horizontal="center"/>
    </xf>
    <xf numFmtId="0" fontId="23" fillId="6" borderId="9" xfId="2" applyFont="1" applyFill="1" applyBorder="1" applyAlignment="1" applyProtection="1">
      <alignment horizontal="center"/>
    </xf>
    <xf numFmtId="0" fontId="18" fillId="0" borderId="31" xfId="0" applyFont="1" applyBorder="1" applyAlignment="1">
      <alignment horizontal="center"/>
    </xf>
    <xf numFmtId="0" fontId="18" fillId="0" borderId="23" xfId="0" applyFont="1" applyBorder="1" applyAlignment="1">
      <alignment horizontal="center"/>
    </xf>
    <xf numFmtId="0" fontId="18" fillId="0" borderId="30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31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</cellXfs>
  <cellStyles count="58">
    <cellStyle name="Comma" xfId="7" builtinId="3"/>
    <cellStyle name="Comma 13" xfId="4"/>
    <cellStyle name="Currency" xfId="8" builtinId="4"/>
    <cellStyle name="Followed Hyperlink" xfId="10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9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  <cellStyle name="Normal 10" xfId="3"/>
    <cellStyle name="Normal 2" xfId="11"/>
    <cellStyle name="Normal 32" xfId="1"/>
    <cellStyle name="Normal 5 4" xfId="2"/>
    <cellStyle name="Percent" xfId="6" builtinId="5"/>
    <cellStyle name="Percent 8" xfId="5"/>
  </cellStyles>
  <dxfs count="0"/>
  <tableStyles count="0" defaultTableStyle="TableStyleMedium9" defaultPivotStyle="PivotStyleMedium7"/>
  <colors>
    <mruColors>
      <color rgb="FFF92A1F"/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externalLink" Target="externalLinks/externalLink1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Inversión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'Flujo de Caja'!$F$26:$G$26</c:f>
              <c:strCache>
                <c:ptCount val="2"/>
                <c:pt idx="0">
                  <c:v>Co.Vivo Team</c:v>
                </c:pt>
                <c:pt idx="1">
                  <c:v>Inversor</c:v>
                </c:pt>
              </c:strCache>
            </c:strRef>
          </c:cat>
          <c:val>
            <c:numRef>
              <c:f>'Flujo de Caja'!$F$27:$G$27</c:f>
              <c:numCache>
                <c:formatCode>0%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609600</xdr:colOff>
      <xdr:row>88</xdr:row>
      <xdr:rowOff>0</xdr:rowOff>
    </xdr:from>
    <xdr:to>
      <xdr:col>24</xdr:col>
      <xdr:colOff>26867</xdr:colOff>
      <xdr:row>88</xdr:row>
      <xdr:rowOff>25400</xdr:rowOff>
    </xdr:to>
    <xdr:pic>
      <xdr:nvPicPr>
        <xdr:cNvPr id="2053" name="Picture 5" descr="http://www.bcn.cat/estadistica/castella/images/cpbk.gif">
          <a:extLst>
            <a:ext uri="{FF2B5EF4-FFF2-40B4-BE49-F238E27FC236}">
              <a16:creationId xmlns:a16="http://schemas.microsoft.com/office/drawing/2014/main" xmlns="" id="{00000000-0008-0000-01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57300" y="12814300"/>
          <a:ext cx="13004800" cy="254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609600</xdr:colOff>
      <xdr:row>90</xdr:row>
      <xdr:rowOff>0</xdr:rowOff>
    </xdr:from>
    <xdr:to>
      <xdr:col>24</xdr:col>
      <xdr:colOff>26867</xdr:colOff>
      <xdr:row>90</xdr:row>
      <xdr:rowOff>25400</xdr:rowOff>
    </xdr:to>
    <xdr:pic>
      <xdr:nvPicPr>
        <xdr:cNvPr id="2054" name="Picture 6" descr="http://www.bcn.cat/estadistica/castella/images/cpbk.gif">
          <a:extLst>
            <a:ext uri="{FF2B5EF4-FFF2-40B4-BE49-F238E27FC236}">
              <a16:creationId xmlns:a16="http://schemas.microsoft.com/office/drawing/2014/main" xmlns="" id="{00000000-0008-0000-01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57300" y="13144500"/>
          <a:ext cx="13004800" cy="254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609600</xdr:colOff>
      <xdr:row>92</xdr:row>
      <xdr:rowOff>0</xdr:rowOff>
    </xdr:from>
    <xdr:to>
      <xdr:col>24</xdr:col>
      <xdr:colOff>26867</xdr:colOff>
      <xdr:row>92</xdr:row>
      <xdr:rowOff>12700</xdr:rowOff>
    </xdr:to>
    <xdr:pic>
      <xdr:nvPicPr>
        <xdr:cNvPr id="2055" name="Picture 7" descr="http://www.bcn.cat/estadistica/castella/images/cpbk.gif">
          <a:extLst>
            <a:ext uri="{FF2B5EF4-FFF2-40B4-BE49-F238E27FC236}">
              <a16:creationId xmlns:a16="http://schemas.microsoft.com/office/drawing/2014/main" xmlns="" id="{00000000-0008-0000-01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57300" y="13474700"/>
          <a:ext cx="13004800" cy="127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609600</xdr:colOff>
      <xdr:row>97</xdr:row>
      <xdr:rowOff>0</xdr:rowOff>
    </xdr:from>
    <xdr:to>
      <xdr:col>24</xdr:col>
      <xdr:colOff>26867</xdr:colOff>
      <xdr:row>97</xdr:row>
      <xdr:rowOff>25400</xdr:rowOff>
    </xdr:to>
    <xdr:pic>
      <xdr:nvPicPr>
        <xdr:cNvPr id="2056" name="Picture 8" descr="http://www.bcn.cat/estadistica/castella/images/cpbk.gif">
          <a:extLst>
            <a:ext uri="{FF2B5EF4-FFF2-40B4-BE49-F238E27FC236}">
              <a16:creationId xmlns:a16="http://schemas.microsoft.com/office/drawing/2014/main" xmlns="" id="{00000000-0008-0000-01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57300" y="14300200"/>
          <a:ext cx="13004800" cy="254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529167</xdr:colOff>
      <xdr:row>28</xdr:row>
      <xdr:rowOff>124177</xdr:rowOff>
    </xdr:from>
    <xdr:to>
      <xdr:col>6</xdr:col>
      <xdr:colOff>670278</xdr:colOff>
      <xdr:row>42</xdr:row>
      <xdr:rowOff>2821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/Reporting/Barcelona/2017/Budget/2017%20Budget%20Pac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P&amp;L input"/>
      <sheetName val="Statistics"/>
      <sheetName val="Additional info"/>
      <sheetName val="CAPEX"/>
      <sheetName val="Employee numbers"/>
      <sheetName val="List"/>
      <sheetName val="Workings&gt;&gt;"/>
      <sheetName val="Mix Plan"/>
      <sheetName val="Payroll"/>
      <sheetName val="Management fees"/>
    </sheetNames>
    <sheetDataSet>
      <sheetData sheetId="0">
        <row r="2">
          <cell r="D2" t="str">
            <v>BCN - Generator BCN 1 , S.L.</v>
          </cell>
        </row>
      </sheetData>
      <sheetData sheetId="1">
        <row r="17">
          <cell r="K17">
            <v>198393.42249999999</v>
          </cell>
        </row>
      </sheetData>
      <sheetData sheetId="2">
        <row r="54">
          <cell r="K54">
            <v>0</v>
          </cell>
        </row>
      </sheetData>
      <sheetData sheetId="3"/>
      <sheetData sheetId="4"/>
      <sheetData sheetId="5">
        <row r="29">
          <cell r="K29">
            <v>42</v>
          </cell>
        </row>
      </sheetData>
      <sheetData sheetId="6">
        <row r="2">
          <cell r="I2" t="str">
            <v xml:space="preserve">Apartment </v>
          </cell>
        </row>
        <row r="3">
          <cell r="I3" t="str">
            <v>Acquisition</v>
          </cell>
        </row>
        <row r="4">
          <cell r="I4" t="str">
            <v>Bar</v>
          </cell>
        </row>
        <row r="5">
          <cell r="I5" t="str">
            <v>Breakfast</v>
          </cell>
        </row>
        <row r="6">
          <cell r="I6" t="str">
            <v>Café</v>
          </cell>
        </row>
        <row r="7">
          <cell r="I7" t="str">
            <v>Development admin</v>
          </cell>
        </row>
        <row r="8">
          <cell r="I8" t="str">
            <v>Development PAD</v>
          </cell>
        </row>
        <row r="9">
          <cell r="I9" t="str">
            <v>Events &amp; meetings</v>
          </cell>
        </row>
        <row r="10">
          <cell r="I10" t="str">
            <v>Executive</v>
          </cell>
        </row>
        <row r="11">
          <cell r="I11" t="str">
            <v>Finance</v>
          </cell>
        </row>
        <row r="12">
          <cell r="I12" t="str">
            <v>Food</v>
          </cell>
        </row>
        <row r="13">
          <cell r="I13" t="str">
            <v>Housekeeping</v>
          </cell>
        </row>
        <row r="14">
          <cell r="I14" t="str">
            <v>HR</v>
          </cell>
        </row>
        <row r="15">
          <cell r="I15" t="str">
            <v>IT</v>
          </cell>
        </row>
        <row r="16">
          <cell r="I16" t="str">
            <v>Maintenance</v>
          </cell>
        </row>
        <row r="17">
          <cell r="I17" t="str">
            <v>Management</v>
          </cell>
        </row>
        <row r="18">
          <cell r="I18" t="str">
            <v>Marketing</v>
          </cell>
        </row>
        <row r="19">
          <cell r="I19" t="str">
            <v>Operations</v>
          </cell>
        </row>
        <row r="20">
          <cell r="I20" t="str">
            <v>Pre-opening</v>
          </cell>
        </row>
        <row r="21">
          <cell r="I21" t="str">
            <v>Reception</v>
          </cell>
        </row>
        <row r="22">
          <cell r="I22" t="str">
            <v>Revenue</v>
          </cell>
        </row>
        <row r="23">
          <cell r="I23" t="str">
            <v>Sales</v>
          </cell>
        </row>
        <row r="24">
          <cell r="I24" t="str">
            <v>Security</v>
          </cell>
        </row>
        <row r="25">
          <cell r="I25" t="str">
            <v>Shop</v>
          </cell>
        </row>
      </sheetData>
      <sheetData sheetId="7"/>
      <sheetData sheetId="8">
        <row r="4">
          <cell r="D4">
            <v>728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02"/>
  <sheetViews>
    <sheetView topLeftCell="BN20" zoomScale="140" zoomScaleNormal="140" zoomScalePageLayoutView="140" workbookViewId="0">
      <selection activeCell="BP82" sqref="BP82"/>
    </sheetView>
  </sheetViews>
  <sheetFormatPr baseColWidth="10" defaultColWidth="8.5" defaultRowHeight="18" customHeight="1" outlineLevelCol="1" x14ac:dyDescent="0.2"/>
  <cols>
    <col min="1" max="1" width="16.5" style="358" hidden="1" customWidth="1" outlineLevel="1"/>
    <col min="2" max="4" width="8" style="358" hidden="1" customWidth="1" outlineLevel="1"/>
    <col min="5" max="5" width="26.5" style="358" hidden="1" customWidth="1" outlineLevel="1"/>
    <col min="6" max="10" width="2.5" style="358" hidden="1" customWidth="1" outlineLevel="1"/>
    <col min="11" max="11" width="21.5" style="358" customWidth="1" collapsed="1"/>
    <col min="12" max="12" width="16.83203125" style="358" customWidth="1"/>
    <col min="13" max="13" width="24.1640625" style="358" bestFit="1" customWidth="1"/>
    <col min="14" max="14" width="25.83203125" style="358" customWidth="1"/>
    <col min="15" max="20" width="12.5" style="358" customWidth="1"/>
    <col min="21" max="21" width="1.1640625" style="358" customWidth="1"/>
    <col min="22" max="33" width="6.83203125" style="358" customWidth="1"/>
    <col min="34" max="34" width="1.1640625" style="358" customWidth="1"/>
    <col min="35" max="46" width="8.5" style="358" customWidth="1" outlineLevel="1"/>
    <col min="47" max="47" width="1.1640625" style="358" customWidth="1" outlineLevel="1"/>
    <col min="48" max="48" width="1.1640625" style="358" customWidth="1"/>
    <col min="49" max="60" width="8" style="358" customWidth="1"/>
    <col min="61" max="61" width="1.1640625" style="358" customWidth="1"/>
    <col min="62" max="62" width="8.83203125" style="322" bestFit="1" customWidth="1" outlineLevel="1"/>
    <col min="63" max="73" width="8" style="322" customWidth="1" outlineLevel="1"/>
    <col min="74" max="74" width="1.5" style="322" customWidth="1" outlineLevel="1"/>
    <col min="75" max="75" width="32.33203125" style="322" customWidth="1" outlineLevel="1"/>
    <col min="76" max="76" width="12.83203125" style="322" customWidth="1" outlineLevel="1"/>
    <col min="77" max="77" width="15.83203125" style="322" customWidth="1" outlineLevel="1"/>
    <col min="78" max="78" width="18.1640625" style="322" customWidth="1" outlineLevel="1"/>
    <col min="79" max="79" width="15.83203125" style="322" customWidth="1" outlineLevel="1"/>
    <col min="80" max="81" width="12.83203125" style="322" customWidth="1" outlineLevel="1"/>
    <col min="82" max="84" width="8" style="322" customWidth="1" outlineLevel="1"/>
    <col min="85" max="85" width="9.5" style="322" customWidth="1" outlineLevel="1"/>
    <col min="86" max="86" width="9.5" style="322" bestFit="1" customWidth="1" outlineLevel="1"/>
    <col min="87" max="87" width="1.1640625" style="358" customWidth="1"/>
    <col min="88" max="88" width="9" style="358" bestFit="1" customWidth="1"/>
    <col min="89" max="99" width="8.5" style="358"/>
    <col min="100" max="127" width="8.5" style="358" outlineLevel="1"/>
    <col min="128" max="16384" width="8.5" style="358"/>
  </cols>
  <sheetData>
    <row r="1" spans="5:88" s="322" customFormat="1" ht="16" x14ac:dyDescent="0.2">
      <c r="F1" s="323"/>
      <c r="K1" s="324" t="s">
        <v>328</v>
      </c>
      <c r="L1" s="324"/>
      <c r="M1" s="325"/>
      <c r="N1" s="325"/>
      <c r="O1" s="326"/>
      <c r="P1" s="325"/>
      <c r="Q1" s="325"/>
      <c r="R1" s="325"/>
      <c r="S1" s="325"/>
      <c r="T1" s="325"/>
    </row>
    <row r="2" spans="5:88" s="322" customFormat="1" ht="16" x14ac:dyDescent="0.2">
      <c r="F2" s="327"/>
      <c r="K2" s="328"/>
      <c r="L2" s="328"/>
      <c r="M2" s="325"/>
      <c r="N2" s="325"/>
      <c r="O2" s="326"/>
      <c r="P2" s="325"/>
      <c r="Q2" s="325"/>
      <c r="R2" s="325"/>
      <c r="S2" s="325"/>
      <c r="T2" s="325"/>
    </row>
    <row r="3" spans="5:88" s="322" customFormat="1" ht="16" x14ac:dyDescent="0.2">
      <c r="F3" s="327"/>
      <c r="K3" s="324" t="s">
        <v>329</v>
      </c>
      <c r="L3" s="329" t="s">
        <v>330</v>
      </c>
      <c r="M3" s="325"/>
      <c r="N3" s="325"/>
      <c r="O3" s="326"/>
      <c r="P3" s="325"/>
      <c r="Q3" s="325"/>
      <c r="R3" s="325"/>
      <c r="S3" s="325"/>
      <c r="T3" s="325"/>
    </row>
    <row r="4" spans="5:88" s="322" customFormat="1" ht="16" x14ac:dyDescent="0.2">
      <c r="F4" s="323"/>
      <c r="K4" s="328" t="s">
        <v>331</v>
      </c>
      <c r="L4" s="330"/>
      <c r="M4" s="331"/>
      <c r="N4" s="331"/>
      <c r="O4" s="326">
        <f>O10*(1+0.31)</f>
        <v>62880</v>
      </c>
      <c r="P4" s="331"/>
      <c r="Q4" s="331"/>
      <c r="R4" s="331"/>
      <c r="S4" s="332" t="s">
        <v>332</v>
      </c>
      <c r="T4" s="331"/>
      <c r="V4" s="333"/>
      <c r="W4" s="333"/>
    </row>
    <row r="5" spans="5:88" s="322" customFormat="1" ht="16" x14ac:dyDescent="0.2">
      <c r="F5" s="323"/>
      <c r="K5" s="328"/>
      <c r="L5" s="330"/>
      <c r="M5" s="331"/>
      <c r="N5" s="331"/>
      <c r="O5" s="326"/>
      <c r="Q5" s="331"/>
      <c r="R5" s="331"/>
      <c r="S5" s="334"/>
      <c r="T5" s="331"/>
      <c r="V5" s="333"/>
      <c r="W5" s="333"/>
    </row>
    <row r="6" spans="5:88" s="322" customFormat="1" ht="16" x14ac:dyDescent="0.2">
      <c r="F6" s="323"/>
      <c r="K6" s="328"/>
      <c r="L6" s="330"/>
      <c r="M6" s="331"/>
      <c r="N6" s="331"/>
      <c r="O6" s="326"/>
      <c r="P6" s="331"/>
      <c r="Q6" s="335"/>
      <c r="R6" s="335"/>
      <c r="S6" s="334"/>
      <c r="T6" s="335"/>
      <c r="V6" s="333"/>
      <c r="W6" s="333"/>
    </row>
    <row r="7" spans="5:88" s="322" customFormat="1" ht="17" thickBot="1" x14ac:dyDescent="0.25">
      <c r="F7" s="323"/>
      <c r="K7" s="328"/>
      <c r="L7" s="330"/>
      <c r="M7" s="331"/>
      <c r="N7" s="331"/>
      <c r="O7" s="326"/>
      <c r="P7" s="325"/>
      <c r="Q7" s="325"/>
      <c r="R7" s="325"/>
      <c r="S7" s="325"/>
      <c r="T7" s="325"/>
      <c r="V7" s="333"/>
      <c r="W7" s="333"/>
    </row>
    <row r="8" spans="5:88" s="336" customFormat="1" ht="17" thickBot="1" x14ac:dyDescent="0.25">
      <c r="K8" s="337"/>
      <c r="L8" s="337"/>
      <c r="M8" s="337"/>
      <c r="N8" s="337"/>
      <c r="O8" s="338"/>
      <c r="P8" s="337"/>
      <c r="Q8" s="337"/>
      <c r="R8" s="337"/>
      <c r="S8" s="337"/>
      <c r="T8" s="337"/>
      <c r="V8" s="664" t="s">
        <v>333</v>
      </c>
      <c r="W8" s="665"/>
      <c r="X8" s="665"/>
      <c r="Y8" s="665"/>
      <c r="Z8" s="665"/>
      <c r="AA8" s="665"/>
      <c r="AB8" s="665"/>
      <c r="AC8" s="665"/>
      <c r="AD8" s="665"/>
      <c r="AE8" s="665"/>
      <c r="AF8" s="665"/>
      <c r="AG8" s="666"/>
      <c r="AI8" s="664" t="s">
        <v>334</v>
      </c>
      <c r="AJ8" s="665"/>
      <c r="AK8" s="665"/>
      <c r="AL8" s="665"/>
      <c r="AM8" s="665"/>
      <c r="AN8" s="665"/>
      <c r="AO8" s="665"/>
      <c r="AP8" s="665"/>
      <c r="AQ8" s="665"/>
      <c r="AR8" s="665"/>
      <c r="AS8" s="665"/>
      <c r="AT8" s="666"/>
      <c r="AW8" s="664" t="s">
        <v>335</v>
      </c>
      <c r="AX8" s="665"/>
      <c r="AY8" s="665"/>
      <c r="AZ8" s="665"/>
      <c r="BA8" s="665"/>
      <c r="BB8" s="665"/>
      <c r="BC8" s="665"/>
      <c r="BD8" s="665"/>
      <c r="BE8" s="665"/>
      <c r="BF8" s="665"/>
      <c r="BG8" s="665"/>
      <c r="BH8" s="666"/>
      <c r="BJ8" s="664" t="s">
        <v>336</v>
      </c>
      <c r="BK8" s="665"/>
      <c r="BL8" s="665"/>
      <c r="BM8" s="665"/>
      <c r="BN8" s="665"/>
      <c r="BO8" s="665"/>
      <c r="BP8" s="665"/>
      <c r="BQ8" s="665"/>
      <c r="BR8" s="665"/>
      <c r="BS8" s="665"/>
      <c r="BT8" s="665"/>
      <c r="BU8" s="666"/>
      <c r="BW8" s="664" t="s">
        <v>337</v>
      </c>
      <c r="BX8" s="665"/>
      <c r="BY8" s="665"/>
      <c r="BZ8" s="665"/>
      <c r="CA8" s="665"/>
      <c r="CB8" s="665"/>
      <c r="CC8" s="665"/>
      <c r="CD8" s="665"/>
      <c r="CE8" s="665"/>
      <c r="CF8" s="665"/>
      <c r="CG8" s="665"/>
      <c r="CH8" s="666"/>
    </row>
    <row r="9" spans="5:88" s="340" customFormat="1" ht="64" x14ac:dyDescent="0.2">
      <c r="E9" s="339" t="s">
        <v>338</v>
      </c>
      <c r="K9" s="341" t="s">
        <v>339</v>
      </c>
      <c r="L9" s="341" t="s">
        <v>340</v>
      </c>
      <c r="M9" s="341" t="s">
        <v>341</v>
      </c>
      <c r="N9" s="341" t="s">
        <v>342</v>
      </c>
      <c r="O9" s="342" t="s">
        <v>343</v>
      </c>
      <c r="P9" s="342" t="s">
        <v>344</v>
      </c>
      <c r="Q9" s="342" t="s">
        <v>345</v>
      </c>
      <c r="R9" s="342" t="s">
        <v>346</v>
      </c>
      <c r="S9" s="342" t="s">
        <v>347</v>
      </c>
      <c r="T9" s="342" t="s">
        <v>472</v>
      </c>
      <c r="V9" s="343">
        <v>41640</v>
      </c>
      <c r="W9" s="343">
        <f>DATE(YEAR(V9),MONTH(V9)+1,1)</f>
        <v>41670</v>
      </c>
      <c r="X9" s="343">
        <f t="shared" ref="X9:AG9" si="0">DATE(YEAR(W9),MONTH(W9)+1,1)</f>
        <v>41698</v>
      </c>
      <c r="Y9" s="343">
        <f t="shared" si="0"/>
        <v>41729</v>
      </c>
      <c r="Z9" s="343">
        <f t="shared" si="0"/>
        <v>41759</v>
      </c>
      <c r="AA9" s="343">
        <f t="shared" si="0"/>
        <v>41790</v>
      </c>
      <c r="AB9" s="343">
        <f t="shared" si="0"/>
        <v>41820</v>
      </c>
      <c r="AC9" s="343">
        <f t="shared" si="0"/>
        <v>41851</v>
      </c>
      <c r="AD9" s="343">
        <f t="shared" si="0"/>
        <v>41882</v>
      </c>
      <c r="AE9" s="343">
        <f t="shared" si="0"/>
        <v>41912</v>
      </c>
      <c r="AF9" s="343">
        <f t="shared" si="0"/>
        <v>41943</v>
      </c>
      <c r="AG9" s="343">
        <f t="shared" si="0"/>
        <v>41973</v>
      </c>
      <c r="AI9" s="343">
        <f>V9</f>
        <v>41640</v>
      </c>
      <c r="AJ9" s="343">
        <f t="shared" ref="AJ9:AT9" si="1">W9</f>
        <v>41670</v>
      </c>
      <c r="AK9" s="343">
        <f t="shared" si="1"/>
        <v>41698</v>
      </c>
      <c r="AL9" s="343">
        <f t="shared" si="1"/>
        <v>41729</v>
      </c>
      <c r="AM9" s="343">
        <f t="shared" si="1"/>
        <v>41759</v>
      </c>
      <c r="AN9" s="343">
        <f t="shared" si="1"/>
        <v>41790</v>
      </c>
      <c r="AO9" s="343">
        <f t="shared" si="1"/>
        <v>41820</v>
      </c>
      <c r="AP9" s="343">
        <f t="shared" si="1"/>
        <v>41851</v>
      </c>
      <c r="AQ9" s="343">
        <f t="shared" si="1"/>
        <v>41882</v>
      </c>
      <c r="AR9" s="343">
        <f t="shared" si="1"/>
        <v>41912</v>
      </c>
      <c r="AS9" s="343">
        <f t="shared" si="1"/>
        <v>41943</v>
      </c>
      <c r="AT9" s="343">
        <f t="shared" si="1"/>
        <v>41973</v>
      </c>
      <c r="AW9" s="343">
        <f>AI9</f>
        <v>41640</v>
      </c>
      <c r="AX9" s="343">
        <f t="shared" ref="AX9:AZ9" si="2">AJ9</f>
        <v>41670</v>
      </c>
      <c r="AY9" s="343">
        <f t="shared" si="2"/>
        <v>41698</v>
      </c>
      <c r="AZ9" s="343">
        <f t="shared" si="2"/>
        <v>41729</v>
      </c>
      <c r="BA9" s="343">
        <f t="shared" ref="BA9" si="3">AM9</f>
        <v>41759</v>
      </c>
      <c r="BB9" s="343">
        <f t="shared" ref="BB9:BC9" si="4">AN9</f>
        <v>41790</v>
      </c>
      <c r="BC9" s="343">
        <f t="shared" si="4"/>
        <v>41820</v>
      </c>
      <c r="BD9" s="343">
        <f t="shared" ref="BD9" si="5">AP9</f>
        <v>41851</v>
      </c>
      <c r="BE9" s="343">
        <f t="shared" ref="BE9:BF9" si="6">AQ9</f>
        <v>41882</v>
      </c>
      <c r="BF9" s="343">
        <f t="shared" si="6"/>
        <v>41912</v>
      </c>
      <c r="BG9" s="343">
        <f t="shared" ref="BG9" si="7">AS9</f>
        <v>41943</v>
      </c>
      <c r="BH9" s="343">
        <f t="shared" ref="BH9" si="8">AT9</f>
        <v>41973</v>
      </c>
      <c r="BJ9" s="344">
        <f t="shared" ref="BJ9:BU9" si="9">+AI9</f>
        <v>41640</v>
      </c>
      <c r="BK9" s="344">
        <f t="shared" si="9"/>
        <v>41670</v>
      </c>
      <c r="BL9" s="344">
        <f t="shared" si="9"/>
        <v>41698</v>
      </c>
      <c r="BM9" s="344">
        <f t="shared" si="9"/>
        <v>41729</v>
      </c>
      <c r="BN9" s="344">
        <f t="shared" si="9"/>
        <v>41759</v>
      </c>
      <c r="BO9" s="344">
        <f t="shared" si="9"/>
        <v>41790</v>
      </c>
      <c r="BP9" s="344">
        <f t="shared" si="9"/>
        <v>41820</v>
      </c>
      <c r="BQ9" s="344">
        <f t="shared" si="9"/>
        <v>41851</v>
      </c>
      <c r="BR9" s="344">
        <f t="shared" si="9"/>
        <v>41882</v>
      </c>
      <c r="BS9" s="344">
        <f t="shared" si="9"/>
        <v>41912</v>
      </c>
      <c r="BT9" s="344">
        <f t="shared" si="9"/>
        <v>41943</v>
      </c>
      <c r="BU9" s="344">
        <f t="shared" si="9"/>
        <v>41973</v>
      </c>
      <c r="BV9" s="345"/>
      <c r="BW9" s="344">
        <f>BJ9</f>
        <v>41640</v>
      </c>
      <c r="BX9" s="344">
        <f t="shared" ref="BX9:CH9" si="10">BK9</f>
        <v>41670</v>
      </c>
      <c r="BY9" s="344">
        <f t="shared" si="10"/>
        <v>41698</v>
      </c>
      <c r="BZ9" s="344">
        <f t="shared" si="10"/>
        <v>41729</v>
      </c>
      <c r="CA9" s="344">
        <f t="shared" si="10"/>
        <v>41759</v>
      </c>
      <c r="CB9" s="344">
        <f t="shared" si="10"/>
        <v>41790</v>
      </c>
      <c r="CC9" s="344">
        <f t="shared" si="10"/>
        <v>41820</v>
      </c>
      <c r="CD9" s="344">
        <f t="shared" si="10"/>
        <v>41851</v>
      </c>
      <c r="CE9" s="344">
        <f t="shared" si="10"/>
        <v>41882</v>
      </c>
      <c r="CF9" s="344">
        <f t="shared" si="10"/>
        <v>41912</v>
      </c>
      <c r="CG9" s="344">
        <f t="shared" si="10"/>
        <v>41943</v>
      </c>
      <c r="CH9" s="344">
        <f t="shared" si="10"/>
        <v>41973</v>
      </c>
    </row>
    <row r="10" spans="5:88" s="346" customFormat="1" ht="16" x14ac:dyDescent="0.2">
      <c r="E10" s="346" t="s">
        <v>348</v>
      </c>
      <c r="K10" s="347" t="s">
        <v>349</v>
      </c>
      <c r="L10" s="347" t="s">
        <v>350</v>
      </c>
      <c r="M10" s="348" t="s">
        <v>351</v>
      </c>
      <c r="N10" s="348" t="s">
        <v>352</v>
      </c>
      <c r="O10" s="348">
        <v>48000</v>
      </c>
      <c r="P10" s="349">
        <v>5.0000000000000001E-3</v>
      </c>
      <c r="Q10" s="348">
        <f>+O10*(100%+P10)</f>
        <v>48239.999999999993</v>
      </c>
      <c r="R10" s="350">
        <v>0</v>
      </c>
      <c r="S10" s="350">
        <v>0.30499999999999999</v>
      </c>
      <c r="T10" s="351">
        <f>O10/(5*52)</f>
        <v>184.61538461538461</v>
      </c>
      <c r="V10" s="352">
        <v>1</v>
      </c>
      <c r="W10" s="352">
        <v>1</v>
      </c>
      <c r="X10" s="352">
        <v>1</v>
      </c>
      <c r="Y10" s="352">
        <v>1</v>
      </c>
      <c r="Z10" s="352">
        <v>1</v>
      </c>
      <c r="AA10" s="352">
        <v>1</v>
      </c>
      <c r="AB10" s="352">
        <v>1</v>
      </c>
      <c r="AC10" s="352">
        <v>1</v>
      </c>
      <c r="AD10" s="352">
        <v>1</v>
      </c>
      <c r="AE10" s="352">
        <v>1</v>
      </c>
      <c r="AF10" s="352">
        <v>1</v>
      </c>
      <c r="AG10" s="352">
        <v>1</v>
      </c>
      <c r="AI10" s="353">
        <f t="shared" ref="AI10:AT31" si="11">$Q10/12*V10</f>
        <v>4019.9999999999995</v>
      </c>
      <c r="AJ10" s="353">
        <f t="shared" si="11"/>
        <v>4019.9999999999995</v>
      </c>
      <c r="AK10" s="353">
        <f t="shared" si="11"/>
        <v>4019.9999999999995</v>
      </c>
      <c r="AL10" s="353">
        <f t="shared" si="11"/>
        <v>4019.9999999999995</v>
      </c>
      <c r="AM10" s="353">
        <f t="shared" si="11"/>
        <v>4019.9999999999995</v>
      </c>
      <c r="AN10" s="353">
        <f t="shared" si="11"/>
        <v>4019.9999999999995</v>
      </c>
      <c r="AO10" s="353">
        <f t="shared" si="11"/>
        <v>4019.9999999999995</v>
      </c>
      <c r="AP10" s="353">
        <f t="shared" si="11"/>
        <v>4019.9999999999995</v>
      </c>
      <c r="AQ10" s="353">
        <f t="shared" si="11"/>
        <v>4019.9999999999995</v>
      </c>
      <c r="AR10" s="353">
        <f t="shared" si="11"/>
        <v>4019.9999999999995</v>
      </c>
      <c r="AS10" s="353">
        <f t="shared" si="11"/>
        <v>4019.9999999999995</v>
      </c>
      <c r="AT10" s="353">
        <f t="shared" si="11"/>
        <v>4019.9999999999995</v>
      </c>
      <c r="AW10" s="348">
        <v>0</v>
      </c>
      <c r="AX10" s="348">
        <v>0</v>
      </c>
      <c r="AY10" s="348">
        <v>0</v>
      </c>
      <c r="AZ10" s="348">
        <v>0</v>
      </c>
      <c r="BA10" s="348">
        <v>0</v>
      </c>
      <c r="BB10" s="348">
        <v>0</v>
      </c>
      <c r="BC10" s="348">
        <v>0</v>
      </c>
      <c r="BD10" s="348">
        <v>0</v>
      </c>
      <c r="BE10" s="348">
        <v>0</v>
      </c>
      <c r="BF10" s="348">
        <v>0</v>
      </c>
      <c r="BG10" s="348">
        <v>0</v>
      </c>
      <c r="BH10" s="348">
        <v>0</v>
      </c>
      <c r="BJ10" s="354">
        <f t="shared" ref="BJ10:BU31" si="12">$Q10*$S10/12*V10</f>
        <v>1226.0999999999997</v>
      </c>
      <c r="BK10" s="354">
        <f t="shared" si="12"/>
        <v>1226.0999999999997</v>
      </c>
      <c r="BL10" s="354">
        <f t="shared" si="12"/>
        <v>1226.0999999999997</v>
      </c>
      <c r="BM10" s="354">
        <f t="shared" si="12"/>
        <v>1226.0999999999997</v>
      </c>
      <c r="BN10" s="354">
        <f t="shared" si="12"/>
        <v>1226.0999999999997</v>
      </c>
      <c r="BO10" s="354">
        <f t="shared" si="12"/>
        <v>1226.0999999999997</v>
      </c>
      <c r="BP10" s="354">
        <f t="shared" si="12"/>
        <v>1226.0999999999997</v>
      </c>
      <c r="BQ10" s="354">
        <f t="shared" si="12"/>
        <v>1226.0999999999997</v>
      </c>
      <c r="BR10" s="354">
        <f t="shared" si="12"/>
        <v>1226.0999999999997</v>
      </c>
      <c r="BS10" s="354">
        <f t="shared" si="12"/>
        <v>1226.0999999999997</v>
      </c>
      <c r="BT10" s="354">
        <f t="shared" si="12"/>
        <v>1226.0999999999997</v>
      </c>
      <c r="BU10" s="354">
        <f t="shared" si="12"/>
        <v>1226.0999999999997</v>
      </c>
      <c r="BV10" s="355"/>
      <c r="BW10" s="354">
        <f>AI10+AW10+BJ10</f>
        <v>5246.0999999999995</v>
      </c>
      <c r="BX10" s="354">
        <f t="shared" ref="BX10:CH22" si="13">AJ10+AX10+BK10</f>
        <v>5246.0999999999995</v>
      </c>
      <c r="BY10" s="354">
        <f t="shared" si="13"/>
        <v>5246.0999999999995</v>
      </c>
      <c r="BZ10" s="354">
        <f t="shared" si="13"/>
        <v>5246.0999999999995</v>
      </c>
      <c r="CA10" s="354">
        <f t="shared" si="13"/>
        <v>5246.0999999999995</v>
      </c>
      <c r="CB10" s="354">
        <f t="shared" si="13"/>
        <v>5246.0999999999995</v>
      </c>
      <c r="CC10" s="354">
        <f t="shared" si="13"/>
        <v>5246.0999999999995</v>
      </c>
      <c r="CD10" s="354">
        <f t="shared" si="13"/>
        <v>5246.0999999999995</v>
      </c>
      <c r="CE10" s="354">
        <f t="shared" si="13"/>
        <v>5246.0999999999995</v>
      </c>
      <c r="CF10" s="354">
        <f t="shared" si="13"/>
        <v>5246.0999999999995</v>
      </c>
      <c r="CG10" s="354">
        <f t="shared" si="13"/>
        <v>5246.0999999999995</v>
      </c>
      <c r="CH10" s="354">
        <f t="shared" si="13"/>
        <v>5246.0999999999995</v>
      </c>
      <c r="CJ10" s="356">
        <f>SUM(BW10:CH10)</f>
        <v>62953.19999999999</v>
      </c>
    </row>
    <row r="11" spans="5:88" s="346" customFormat="1" ht="16" x14ac:dyDescent="0.2">
      <c r="E11" s="346" t="s">
        <v>348</v>
      </c>
      <c r="K11" s="347" t="s">
        <v>353</v>
      </c>
      <c r="L11" s="347"/>
      <c r="M11" s="348" t="s">
        <v>354</v>
      </c>
      <c r="N11" s="348" t="s">
        <v>355</v>
      </c>
      <c r="O11" s="348">
        <v>35000</v>
      </c>
      <c r="P11" s="349">
        <v>5.0000000000000001E-3</v>
      </c>
      <c r="Q11" s="348">
        <f t="shared" ref="Q11:Q75" si="14">+O11*(100%+P11)</f>
        <v>35174.999999999993</v>
      </c>
      <c r="R11" s="350">
        <v>0</v>
      </c>
      <c r="S11" s="350">
        <v>0.30499999999999999</v>
      </c>
      <c r="T11" s="351">
        <f t="shared" ref="T11:T75" si="15">O11/(5*52)</f>
        <v>134.61538461538461</v>
      </c>
      <c r="V11" s="352">
        <v>1</v>
      </c>
      <c r="W11" s="352">
        <v>1</v>
      </c>
      <c r="X11" s="352">
        <v>1</v>
      </c>
      <c r="Y11" s="352">
        <v>1</v>
      </c>
      <c r="Z11" s="352">
        <v>1</v>
      </c>
      <c r="AA11" s="352">
        <v>1</v>
      </c>
      <c r="AB11" s="352">
        <v>1</v>
      </c>
      <c r="AC11" s="352">
        <v>1</v>
      </c>
      <c r="AD11" s="352">
        <v>1</v>
      </c>
      <c r="AE11" s="352">
        <v>1</v>
      </c>
      <c r="AF11" s="352">
        <v>1</v>
      </c>
      <c r="AG11" s="352">
        <v>1</v>
      </c>
      <c r="AI11" s="353">
        <f t="shared" si="11"/>
        <v>2931.2499999999995</v>
      </c>
      <c r="AJ11" s="353">
        <f t="shared" si="11"/>
        <v>2931.2499999999995</v>
      </c>
      <c r="AK11" s="353">
        <f t="shared" si="11"/>
        <v>2931.2499999999995</v>
      </c>
      <c r="AL11" s="353">
        <f t="shared" si="11"/>
        <v>2931.2499999999995</v>
      </c>
      <c r="AM11" s="353">
        <f t="shared" si="11"/>
        <v>2931.2499999999995</v>
      </c>
      <c r="AN11" s="353">
        <f t="shared" si="11"/>
        <v>2931.2499999999995</v>
      </c>
      <c r="AO11" s="353">
        <f t="shared" si="11"/>
        <v>2931.2499999999995</v>
      </c>
      <c r="AP11" s="353">
        <f t="shared" si="11"/>
        <v>2931.2499999999995</v>
      </c>
      <c r="AQ11" s="353">
        <f t="shared" si="11"/>
        <v>2931.2499999999995</v>
      </c>
      <c r="AR11" s="353">
        <f t="shared" si="11"/>
        <v>2931.2499999999995</v>
      </c>
      <c r="AS11" s="353">
        <f t="shared" si="11"/>
        <v>2931.2499999999995</v>
      </c>
      <c r="AT11" s="353">
        <f t="shared" si="11"/>
        <v>2931.2499999999995</v>
      </c>
      <c r="AW11" s="348"/>
      <c r="AX11" s="348"/>
      <c r="AY11" s="348"/>
      <c r="AZ11" s="348"/>
      <c r="BA11" s="348"/>
      <c r="BB11" s="348"/>
      <c r="BC11" s="348"/>
      <c r="BD11" s="348"/>
      <c r="BE11" s="348"/>
      <c r="BF11" s="348"/>
      <c r="BG11" s="348"/>
      <c r="BH11" s="348"/>
      <c r="BJ11" s="354">
        <f t="shared" si="12"/>
        <v>894.03124999999989</v>
      </c>
      <c r="BK11" s="354">
        <f t="shared" si="12"/>
        <v>894.03124999999989</v>
      </c>
      <c r="BL11" s="354">
        <f t="shared" si="12"/>
        <v>894.03124999999989</v>
      </c>
      <c r="BM11" s="354">
        <f t="shared" si="12"/>
        <v>894.03124999999989</v>
      </c>
      <c r="BN11" s="354">
        <f t="shared" si="12"/>
        <v>894.03124999999989</v>
      </c>
      <c r="BO11" s="354">
        <f t="shared" si="12"/>
        <v>894.03124999999989</v>
      </c>
      <c r="BP11" s="354">
        <f t="shared" si="12"/>
        <v>894.03124999999989</v>
      </c>
      <c r="BQ11" s="354">
        <f t="shared" si="12"/>
        <v>894.03124999999989</v>
      </c>
      <c r="BR11" s="354">
        <f t="shared" si="12"/>
        <v>894.03124999999989</v>
      </c>
      <c r="BS11" s="354">
        <f t="shared" si="12"/>
        <v>894.03124999999989</v>
      </c>
      <c r="BT11" s="354">
        <f t="shared" si="12"/>
        <v>894.03124999999989</v>
      </c>
      <c r="BU11" s="354">
        <f t="shared" si="12"/>
        <v>894.03124999999989</v>
      </c>
      <c r="BV11" s="355"/>
      <c r="BW11" s="354">
        <f t="shared" ref="BW11:BW22" si="16">AI11+AW11+BJ11</f>
        <v>3825.2812499999995</v>
      </c>
      <c r="BX11" s="354">
        <f t="shared" si="13"/>
        <v>3825.2812499999995</v>
      </c>
      <c r="BY11" s="354">
        <f t="shared" si="13"/>
        <v>3825.2812499999995</v>
      </c>
      <c r="BZ11" s="354">
        <f t="shared" si="13"/>
        <v>3825.2812499999995</v>
      </c>
      <c r="CA11" s="354">
        <f t="shared" si="13"/>
        <v>3825.2812499999995</v>
      </c>
      <c r="CB11" s="354">
        <f t="shared" si="13"/>
        <v>3825.2812499999995</v>
      </c>
      <c r="CC11" s="354">
        <f t="shared" si="13"/>
        <v>3825.2812499999995</v>
      </c>
      <c r="CD11" s="354">
        <f t="shared" si="13"/>
        <v>3825.2812499999995</v>
      </c>
      <c r="CE11" s="354">
        <f t="shared" si="13"/>
        <v>3825.2812499999995</v>
      </c>
      <c r="CF11" s="354">
        <f t="shared" si="13"/>
        <v>3825.2812499999995</v>
      </c>
      <c r="CG11" s="354">
        <f t="shared" si="13"/>
        <v>3825.2812499999995</v>
      </c>
      <c r="CH11" s="354">
        <f t="shared" si="13"/>
        <v>3825.2812499999995</v>
      </c>
    </row>
    <row r="12" spans="5:88" s="346" customFormat="1" ht="16" x14ac:dyDescent="0.2">
      <c r="E12" s="346" t="s">
        <v>348</v>
      </c>
      <c r="K12" s="347" t="s">
        <v>356</v>
      </c>
      <c r="L12" s="347"/>
      <c r="M12" s="348" t="s">
        <v>357</v>
      </c>
      <c r="N12" s="348" t="s">
        <v>358</v>
      </c>
      <c r="O12" s="348">
        <v>35000</v>
      </c>
      <c r="P12" s="349">
        <v>5.0000000000000001E-3</v>
      </c>
      <c r="Q12" s="348">
        <f t="shared" si="14"/>
        <v>35174.999999999993</v>
      </c>
      <c r="R12" s="350">
        <v>0</v>
      </c>
      <c r="S12" s="350">
        <v>0.30499999999999999</v>
      </c>
      <c r="T12" s="351">
        <f t="shared" si="15"/>
        <v>134.61538461538461</v>
      </c>
      <c r="V12" s="352">
        <v>1</v>
      </c>
      <c r="W12" s="352">
        <v>1</v>
      </c>
      <c r="X12" s="352">
        <v>1</v>
      </c>
      <c r="Y12" s="352">
        <v>1</v>
      </c>
      <c r="Z12" s="352">
        <v>1</v>
      </c>
      <c r="AA12" s="352">
        <v>1</v>
      </c>
      <c r="AB12" s="352">
        <v>1</v>
      </c>
      <c r="AC12" s="352">
        <v>1</v>
      </c>
      <c r="AD12" s="352">
        <v>1</v>
      </c>
      <c r="AE12" s="352">
        <v>1</v>
      </c>
      <c r="AF12" s="352">
        <v>1</v>
      </c>
      <c r="AG12" s="352">
        <v>1</v>
      </c>
      <c r="AI12" s="353">
        <f t="shared" si="11"/>
        <v>2931.2499999999995</v>
      </c>
      <c r="AJ12" s="353">
        <f t="shared" si="11"/>
        <v>2931.2499999999995</v>
      </c>
      <c r="AK12" s="353">
        <f t="shared" si="11"/>
        <v>2931.2499999999995</v>
      </c>
      <c r="AL12" s="353">
        <f t="shared" si="11"/>
        <v>2931.2499999999995</v>
      </c>
      <c r="AM12" s="353">
        <f t="shared" si="11"/>
        <v>2931.2499999999995</v>
      </c>
      <c r="AN12" s="353">
        <f t="shared" si="11"/>
        <v>2931.2499999999995</v>
      </c>
      <c r="AO12" s="353">
        <f t="shared" si="11"/>
        <v>2931.2499999999995</v>
      </c>
      <c r="AP12" s="353">
        <f t="shared" si="11"/>
        <v>2931.2499999999995</v>
      </c>
      <c r="AQ12" s="353">
        <f t="shared" si="11"/>
        <v>2931.2499999999995</v>
      </c>
      <c r="AR12" s="353">
        <f t="shared" si="11"/>
        <v>2931.2499999999995</v>
      </c>
      <c r="AS12" s="353">
        <f t="shared" si="11"/>
        <v>2931.2499999999995</v>
      </c>
      <c r="AT12" s="353">
        <f t="shared" si="11"/>
        <v>2931.2499999999995</v>
      </c>
      <c r="AW12" s="348"/>
      <c r="AX12" s="348"/>
      <c r="AY12" s="348"/>
      <c r="AZ12" s="348"/>
      <c r="BA12" s="348"/>
      <c r="BB12" s="348"/>
      <c r="BC12" s="348"/>
      <c r="BD12" s="348"/>
      <c r="BE12" s="348"/>
      <c r="BF12" s="348"/>
      <c r="BG12" s="348"/>
      <c r="BH12" s="348"/>
      <c r="BJ12" s="354">
        <f t="shared" si="12"/>
        <v>894.03124999999989</v>
      </c>
      <c r="BK12" s="354">
        <f t="shared" si="12"/>
        <v>894.03124999999989</v>
      </c>
      <c r="BL12" s="354">
        <f t="shared" si="12"/>
        <v>894.03124999999989</v>
      </c>
      <c r="BM12" s="354">
        <f t="shared" si="12"/>
        <v>894.03124999999989</v>
      </c>
      <c r="BN12" s="354">
        <f t="shared" si="12"/>
        <v>894.03124999999989</v>
      </c>
      <c r="BO12" s="354">
        <f t="shared" si="12"/>
        <v>894.03124999999989</v>
      </c>
      <c r="BP12" s="354">
        <f t="shared" si="12"/>
        <v>894.03124999999989</v>
      </c>
      <c r="BQ12" s="354">
        <f t="shared" si="12"/>
        <v>894.03124999999989</v>
      </c>
      <c r="BR12" s="354">
        <f t="shared" si="12"/>
        <v>894.03124999999989</v>
      </c>
      <c r="BS12" s="354">
        <f t="shared" si="12"/>
        <v>894.03124999999989</v>
      </c>
      <c r="BT12" s="354">
        <f t="shared" si="12"/>
        <v>894.03124999999989</v>
      </c>
      <c r="BU12" s="354">
        <f t="shared" si="12"/>
        <v>894.03124999999989</v>
      </c>
      <c r="BV12" s="355"/>
      <c r="BW12" s="354">
        <f t="shared" si="16"/>
        <v>3825.2812499999995</v>
      </c>
      <c r="BX12" s="354">
        <f t="shared" si="13"/>
        <v>3825.2812499999995</v>
      </c>
      <c r="BY12" s="354">
        <f t="shared" si="13"/>
        <v>3825.2812499999995</v>
      </c>
      <c r="BZ12" s="354">
        <f t="shared" si="13"/>
        <v>3825.2812499999995</v>
      </c>
      <c r="CA12" s="354">
        <f t="shared" si="13"/>
        <v>3825.2812499999995</v>
      </c>
      <c r="CB12" s="354">
        <f t="shared" si="13"/>
        <v>3825.2812499999995</v>
      </c>
      <c r="CC12" s="354">
        <f t="shared" si="13"/>
        <v>3825.2812499999995</v>
      </c>
      <c r="CD12" s="354">
        <f t="shared" si="13"/>
        <v>3825.2812499999995</v>
      </c>
      <c r="CE12" s="354">
        <f t="shared" si="13"/>
        <v>3825.2812499999995</v>
      </c>
      <c r="CF12" s="354">
        <f t="shared" si="13"/>
        <v>3825.2812499999995</v>
      </c>
      <c r="CG12" s="354">
        <f t="shared" si="13"/>
        <v>3825.2812499999995</v>
      </c>
      <c r="CH12" s="354">
        <f t="shared" si="13"/>
        <v>3825.2812499999995</v>
      </c>
    </row>
    <row r="13" spans="5:88" s="346" customFormat="1" ht="16" x14ac:dyDescent="0.2">
      <c r="K13" s="347" t="s">
        <v>359</v>
      </c>
      <c r="L13" s="347"/>
      <c r="M13" s="348" t="s">
        <v>360</v>
      </c>
      <c r="N13" s="348" t="s">
        <v>361</v>
      </c>
      <c r="O13" s="348">
        <v>35000</v>
      </c>
      <c r="P13" s="349">
        <v>5.0000000000000001E-3</v>
      </c>
      <c r="Q13" s="348">
        <f t="shared" si="14"/>
        <v>35174.999999999993</v>
      </c>
      <c r="R13" s="350">
        <v>0</v>
      </c>
      <c r="S13" s="350">
        <v>0.30499999999999999</v>
      </c>
      <c r="T13" s="351">
        <f t="shared" si="15"/>
        <v>134.61538461538461</v>
      </c>
      <c r="V13" s="352">
        <v>1</v>
      </c>
      <c r="W13" s="352">
        <v>1</v>
      </c>
      <c r="X13" s="352">
        <v>1</v>
      </c>
      <c r="Y13" s="352">
        <v>1</v>
      </c>
      <c r="Z13" s="352">
        <v>1</v>
      </c>
      <c r="AA13" s="352">
        <v>1</v>
      </c>
      <c r="AB13" s="352">
        <v>1</v>
      </c>
      <c r="AC13" s="352">
        <v>1</v>
      </c>
      <c r="AD13" s="352">
        <v>1</v>
      </c>
      <c r="AE13" s="352">
        <v>1</v>
      </c>
      <c r="AF13" s="352">
        <v>1</v>
      </c>
      <c r="AG13" s="352">
        <v>1</v>
      </c>
      <c r="AI13" s="353">
        <f t="shared" si="11"/>
        <v>2931.2499999999995</v>
      </c>
      <c r="AJ13" s="353">
        <f t="shared" si="11"/>
        <v>2931.2499999999995</v>
      </c>
      <c r="AK13" s="353">
        <f t="shared" si="11"/>
        <v>2931.2499999999995</v>
      </c>
      <c r="AL13" s="353">
        <f t="shared" si="11"/>
        <v>2931.2499999999995</v>
      </c>
      <c r="AM13" s="353">
        <f t="shared" si="11"/>
        <v>2931.2499999999995</v>
      </c>
      <c r="AN13" s="353">
        <f t="shared" si="11"/>
        <v>2931.2499999999995</v>
      </c>
      <c r="AO13" s="353">
        <f t="shared" si="11"/>
        <v>2931.2499999999995</v>
      </c>
      <c r="AP13" s="353">
        <f t="shared" si="11"/>
        <v>2931.2499999999995</v>
      </c>
      <c r="AQ13" s="353">
        <f t="shared" si="11"/>
        <v>2931.2499999999995</v>
      </c>
      <c r="AR13" s="353">
        <f t="shared" si="11"/>
        <v>2931.2499999999995</v>
      </c>
      <c r="AS13" s="353">
        <f t="shared" si="11"/>
        <v>2931.2499999999995</v>
      </c>
      <c r="AT13" s="353">
        <f t="shared" si="11"/>
        <v>2931.2499999999995</v>
      </c>
      <c r="AW13" s="348"/>
      <c r="AX13" s="348"/>
      <c r="AY13" s="348"/>
      <c r="AZ13" s="348"/>
      <c r="BA13" s="348"/>
      <c r="BB13" s="348"/>
      <c r="BC13" s="348"/>
      <c r="BD13" s="348"/>
      <c r="BE13" s="348"/>
      <c r="BF13" s="348"/>
      <c r="BG13" s="348"/>
      <c r="BH13" s="348"/>
      <c r="BJ13" s="354">
        <f t="shared" si="12"/>
        <v>894.03124999999989</v>
      </c>
      <c r="BK13" s="354">
        <f t="shared" si="12"/>
        <v>894.03124999999989</v>
      </c>
      <c r="BL13" s="354">
        <f t="shared" si="12"/>
        <v>894.03124999999989</v>
      </c>
      <c r="BM13" s="354">
        <f t="shared" si="12"/>
        <v>894.03124999999989</v>
      </c>
      <c r="BN13" s="354">
        <f t="shared" si="12"/>
        <v>894.03124999999989</v>
      </c>
      <c r="BO13" s="354">
        <f t="shared" si="12"/>
        <v>894.03124999999989</v>
      </c>
      <c r="BP13" s="354">
        <f t="shared" si="12"/>
        <v>894.03124999999989</v>
      </c>
      <c r="BQ13" s="354">
        <f t="shared" si="12"/>
        <v>894.03124999999989</v>
      </c>
      <c r="BR13" s="354">
        <f t="shared" si="12"/>
        <v>894.03124999999989</v>
      </c>
      <c r="BS13" s="354">
        <f t="shared" si="12"/>
        <v>894.03124999999989</v>
      </c>
      <c r="BT13" s="354">
        <f t="shared" si="12"/>
        <v>894.03124999999989</v>
      </c>
      <c r="BU13" s="354">
        <f t="shared" si="12"/>
        <v>894.03124999999989</v>
      </c>
      <c r="BV13" s="355"/>
      <c r="BW13" s="354">
        <f t="shared" si="16"/>
        <v>3825.2812499999995</v>
      </c>
      <c r="BX13" s="354">
        <f t="shared" si="13"/>
        <v>3825.2812499999995</v>
      </c>
      <c r="BY13" s="354">
        <f t="shared" si="13"/>
        <v>3825.2812499999995</v>
      </c>
      <c r="BZ13" s="354">
        <f t="shared" si="13"/>
        <v>3825.2812499999995</v>
      </c>
      <c r="CA13" s="354">
        <f t="shared" si="13"/>
        <v>3825.2812499999995</v>
      </c>
      <c r="CB13" s="354">
        <f t="shared" si="13"/>
        <v>3825.2812499999995</v>
      </c>
      <c r="CC13" s="354">
        <f t="shared" si="13"/>
        <v>3825.2812499999995</v>
      </c>
      <c r="CD13" s="354">
        <f t="shared" si="13"/>
        <v>3825.2812499999995</v>
      </c>
      <c r="CE13" s="354">
        <f t="shared" si="13"/>
        <v>3825.2812499999995</v>
      </c>
      <c r="CF13" s="354">
        <f t="shared" si="13"/>
        <v>3825.2812499999995</v>
      </c>
      <c r="CG13" s="354">
        <f t="shared" si="13"/>
        <v>3825.2812499999995</v>
      </c>
      <c r="CH13" s="354">
        <f t="shared" si="13"/>
        <v>3825.2812499999995</v>
      </c>
    </row>
    <row r="14" spans="5:88" s="346" customFormat="1" ht="16" x14ac:dyDescent="0.2">
      <c r="K14" s="347"/>
      <c r="L14" s="347"/>
      <c r="M14" s="348"/>
      <c r="N14" s="348"/>
      <c r="O14" s="348"/>
      <c r="P14" s="349"/>
      <c r="Q14" s="348"/>
      <c r="R14" s="350"/>
      <c r="S14" s="350"/>
      <c r="T14" s="351"/>
      <c r="V14" s="352"/>
      <c r="W14" s="352"/>
      <c r="X14" s="352"/>
      <c r="Y14" s="352"/>
      <c r="Z14" s="352"/>
      <c r="AA14" s="352"/>
      <c r="AB14" s="352"/>
      <c r="AC14" s="352"/>
      <c r="AD14" s="352"/>
      <c r="AE14" s="352"/>
      <c r="AF14" s="352"/>
      <c r="AG14" s="352"/>
      <c r="AI14" s="353"/>
      <c r="AJ14" s="353"/>
      <c r="AK14" s="353"/>
      <c r="AL14" s="353"/>
      <c r="AM14" s="353"/>
      <c r="AN14" s="353"/>
      <c r="AO14" s="353"/>
      <c r="AP14" s="353"/>
      <c r="AQ14" s="353"/>
      <c r="AR14" s="353"/>
      <c r="AS14" s="353"/>
      <c r="AT14" s="353"/>
      <c r="AW14" s="348"/>
      <c r="AX14" s="348"/>
      <c r="AY14" s="348"/>
      <c r="AZ14" s="348"/>
      <c r="BA14" s="348"/>
      <c r="BB14" s="348"/>
      <c r="BC14" s="348"/>
      <c r="BD14" s="348"/>
      <c r="BE14" s="348"/>
      <c r="BF14" s="348"/>
      <c r="BG14" s="348"/>
      <c r="BH14" s="348"/>
      <c r="BJ14" s="354"/>
      <c r="BK14" s="354"/>
      <c r="BL14" s="354"/>
      <c r="BM14" s="354"/>
      <c r="BN14" s="354"/>
      <c r="BO14" s="354"/>
      <c r="BP14" s="354"/>
      <c r="BQ14" s="354"/>
      <c r="BR14" s="354"/>
      <c r="BS14" s="354"/>
      <c r="BT14" s="354"/>
      <c r="BU14" s="354"/>
      <c r="BV14" s="355"/>
      <c r="BW14" s="357">
        <f>SUM(BW10:BW13)</f>
        <v>16721.943749999999</v>
      </c>
      <c r="BX14" s="357">
        <f t="shared" ref="BX14:CH14" si="17">SUM(BX10:BX13)</f>
        <v>16721.943749999999</v>
      </c>
      <c r="BY14" s="357">
        <f t="shared" si="17"/>
        <v>16721.943749999999</v>
      </c>
      <c r="BZ14" s="357">
        <f t="shared" si="17"/>
        <v>16721.943749999999</v>
      </c>
      <c r="CA14" s="357">
        <f t="shared" si="17"/>
        <v>16721.943749999999</v>
      </c>
      <c r="CB14" s="357">
        <f t="shared" si="17"/>
        <v>16721.943749999999</v>
      </c>
      <c r="CC14" s="357">
        <f>SUM(CC10:CC13)</f>
        <v>16721.943749999999</v>
      </c>
      <c r="CD14" s="357">
        <f t="shared" si="17"/>
        <v>16721.943749999999</v>
      </c>
      <c r="CE14" s="357">
        <f t="shared" si="17"/>
        <v>16721.943749999999</v>
      </c>
      <c r="CF14" s="357">
        <f t="shared" si="17"/>
        <v>16721.943749999999</v>
      </c>
      <c r="CG14" s="357">
        <f t="shared" si="17"/>
        <v>16721.943749999999</v>
      </c>
      <c r="CH14" s="357">
        <f t="shared" si="17"/>
        <v>16721.943749999999</v>
      </c>
      <c r="CJ14" s="356">
        <f>SUM(BW14:CH14)</f>
        <v>200663.32500000004</v>
      </c>
    </row>
    <row r="15" spans="5:88" ht="16" x14ac:dyDescent="0.2">
      <c r="K15" s="359" t="s">
        <v>356</v>
      </c>
      <c r="L15" s="360"/>
      <c r="M15" s="361" t="s">
        <v>362</v>
      </c>
      <c r="N15" s="362" t="s">
        <v>352</v>
      </c>
      <c r="O15" s="361">
        <v>28000</v>
      </c>
      <c r="P15" s="363">
        <v>5.0000000000000001E-3</v>
      </c>
      <c r="Q15" s="364">
        <f t="shared" si="14"/>
        <v>28139.999999999996</v>
      </c>
      <c r="R15" s="365">
        <v>0</v>
      </c>
      <c r="S15" s="365">
        <v>0.30499999999999999</v>
      </c>
      <c r="T15" s="366">
        <f t="shared" si="15"/>
        <v>107.69230769230769</v>
      </c>
      <c r="V15" s="367">
        <v>1</v>
      </c>
      <c r="W15" s="367">
        <v>1</v>
      </c>
      <c r="X15" s="367">
        <v>1</v>
      </c>
      <c r="Y15" s="367">
        <v>1</v>
      </c>
      <c r="Z15" s="367">
        <v>1</v>
      </c>
      <c r="AA15" s="367">
        <v>1</v>
      </c>
      <c r="AB15" s="367">
        <v>1</v>
      </c>
      <c r="AC15" s="367">
        <v>1</v>
      </c>
      <c r="AD15" s="367">
        <v>1</v>
      </c>
      <c r="AE15" s="367">
        <v>1</v>
      </c>
      <c r="AF15" s="367">
        <v>1</v>
      </c>
      <c r="AG15" s="367">
        <v>1</v>
      </c>
      <c r="AI15" s="368">
        <f t="shared" si="11"/>
        <v>2344.9999999999995</v>
      </c>
      <c r="AJ15" s="368">
        <f t="shared" si="11"/>
        <v>2344.9999999999995</v>
      </c>
      <c r="AK15" s="368">
        <f t="shared" si="11"/>
        <v>2344.9999999999995</v>
      </c>
      <c r="AL15" s="368">
        <f t="shared" si="11"/>
        <v>2344.9999999999995</v>
      </c>
      <c r="AM15" s="368">
        <f t="shared" si="11"/>
        <v>2344.9999999999995</v>
      </c>
      <c r="AN15" s="368">
        <f t="shared" si="11"/>
        <v>2344.9999999999995</v>
      </c>
      <c r="AO15" s="368">
        <f t="shared" si="11"/>
        <v>2344.9999999999995</v>
      </c>
      <c r="AP15" s="368">
        <f t="shared" si="11"/>
        <v>2344.9999999999995</v>
      </c>
      <c r="AQ15" s="368">
        <f t="shared" si="11"/>
        <v>2344.9999999999995</v>
      </c>
      <c r="AR15" s="368">
        <f t="shared" si="11"/>
        <v>2344.9999999999995</v>
      </c>
      <c r="AS15" s="368">
        <f t="shared" si="11"/>
        <v>2344.9999999999995</v>
      </c>
      <c r="AT15" s="368">
        <f t="shared" si="11"/>
        <v>2344.9999999999995</v>
      </c>
      <c r="AW15" s="361"/>
      <c r="AX15" s="361"/>
      <c r="AY15" s="361"/>
      <c r="AZ15" s="361"/>
      <c r="BA15" s="361"/>
      <c r="BB15" s="361"/>
      <c r="BC15" s="361"/>
      <c r="BD15" s="361"/>
      <c r="BE15" s="361"/>
      <c r="BF15" s="361"/>
      <c r="BG15" s="361"/>
      <c r="BH15" s="361"/>
      <c r="BJ15" s="369">
        <f t="shared" si="12"/>
        <v>715.22499999999991</v>
      </c>
      <c r="BK15" s="369">
        <f t="shared" si="12"/>
        <v>715.22499999999991</v>
      </c>
      <c r="BL15" s="369">
        <f t="shared" si="12"/>
        <v>715.22499999999991</v>
      </c>
      <c r="BM15" s="369">
        <f t="shared" si="12"/>
        <v>715.22499999999991</v>
      </c>
      <c r="BN15" s="369">
        <f t="shared" si="12"/>
        <v>715.22499999999991</v>
      </c>
      <c r="BO15" s="369">
        <f t="shared" si="12"/>
        <v>715.22499999999991</v>
      </c>
      <c r="BP15" s="369">
        <f t="shared" si="12"/>
        <v>715.22499999999991</v>
      </c>
      <c r="BQ15" s="369">
        <f t="shared" si="12"/>
        <v>715.22499999999991</v>
      </c>
      <c r="BR15" s="369">
        <f t="shared" si="12"/>
        <v>715.22499999999991</v>
      </c>
      <c r="BS15" s="369">
        <f t="shared" si="12"/>
        <v>715.22499999999991</v>
      </c>
      <c r="BT15" s="369">
        <f t="shared" si="12"/>
        <v>715.22499999999991</v>
      </c>
      <c r="BU15" s="369">
        <f t="shared" si="12"/>
        <v>715.22499999999991</v>
      </c>
      <c r="BW15" s="369">
        <f t="shared" si="16"/>
        <v>3060.2249999999995</v>
      </c>
      <c r="BX15" s="369">
        <f t="shared" si="13"/>
        <v>3060.2249999999995</v>
      </c>
      <c r="BY15" s="369">
        <f t="shared" si="13"/>
        <v>3060.2249999999995</v>
      </c>
      <c r="BZ15" s="369">
        <f t="shared" si="13"/>
        <v>3060.2249999999995</v>
      </c>
      <c r="CA15" s="369">
        <f t="shared" si="13"/>
        <v>3060.2249999999995</v>
      </c>
      <c r="CB15" s="369">
        <f t="shared" si="13"/>
        <v>3060.2249999999995</v>
      </c>
      <c r="CC15" s="369">
        <f t="shared" si="13"/>
        <v>3060.2249999999995</v>
      </c>
      <c r="CD15" s="369">
        <f t="shared" si="13"/>
        <v>3060.2249999999995</v>
      </c>
      <c r="CE15" s="369">
        <f t="shared" si="13"/>
        <v>3060.2249999999995</v>
      </c>
      <c r="CF15" s="369">
        <f t="shared" si="13"/>
        <v>3060.2249999999995</v>
      </c>
      <c r="CG15" s="369">
        <f t="shared" si="13"/>
        <v>3060.2249999999995</v>
      </c>
      <c r="CH15" s="369">
        <f t="shared" si="13"/>
        <v>3060.2249999999995</v>
      </c>
    </row>
    <row r="16" spans="5:88" ht="16" x14ac:dyDescent="0.2">
      <c r="K16" s="359" t="s">
        <v>356</v>
      </c>
      <c r="L16" s="360"/>
      <c r="M16" s="361" t="s">
        <v>363</v>
      </c>
      <c r="N16" s="362" t="s">
        <v>352</v>
      </c>
      <c r="O16" s="361">
        <v>18900</v>
      </c>
      <c r="P16" s="363">
        <v>5.0000000000000001E-3</v>
      </c>
      <c r="Q16" s="364">
        <f t="shared" si="14"/>
        <v>18994.499999999996</v>
      </c>
      <c r="R16" s="365">
        <v>0</v>
      </c>
      <c r="S16" s="365">
        <v>0.30499999999999999</v>
      </c>
      <c r="T16" s="366">
        <f t="shared" si="15"/>
        <v>72.692307692307693</v>
      </c>
      <c r="V16" s="367">
        <v>1</v>
      </c>
      <c r="W16" s="367">
        <v>1</v>
      </c>
      <c r="X16" s="367">
        <v>1</v>
      </c>
      <c r="Y16" s="367">
        <v>1</v>
      </c>
      <c r="Z16" s="367">
        <v>1</v>
      </c>
      <c r="AA16" s="367">
        <v>1</v>
      </c>
      <c r="AB16" s="367">
        <v>1</v>
      </c>
      <c r="AC16" s="367">
        <v>1</v>
      </c>
      <c r="AD16" s="367">
        <v>1</v>
      </c>
      <c r="AE16" s="367">
        <v>1</v>
      </c>
      <c r="AF16" s="367">
        <v>1</v>
      </c>
      <c r="AG16" s="367">
        <v>1</v>
      </c>
      <c r="AI16" s="368">
        <f t="shared" si="11"/>
        <v>1582.8749999999998</v>
      </c>
      <c r="AJ16" s="368">
        <f t="shared" si="11"/>
        <v>1582.8749999999998</v>
      </c>
      <c r="AK16" s="368">
        <f t="shared" si="11"/>
        <v>1582.8749999999998</v>
      </c>
      <c r="AL16" s="368">
        <f t="shared" si="11"/>
        <v>1582.8749999999998</v>
      </c>
      <c r="AM16" s="368">
        <f t="shared" si="11"/>
        <v>1582.8749999999998</v>
      </c>
      <c r="AN16" s="368">
        <f t="shared" si="11"/>
        <v>1582.8749999999998</v>
      </c>
      <c r="AO16" s="368">
        <f t="shared" si="11"/>
        <v>1582.8749999999998</v>
      </c>
      <c r="AP16" s="368">
        <f t="shared" si="11"/>
        <v>1582.8749999999998</v>
      </c>
      <c r="AQ16" s="368">
        <f t="shared" si="11"/>
        <v>1582.8749999999998</v>
      </c>
      <c r="AR16" s="368">
        <f t="shared" si="11"/>
        <v>1582.8749999999998</v>
      </c>
      <c r="AS16" s="368">
        <f t="shared" si="11"/>
        <v>1582.8749999999998</v>
      </c>
      <c r="AT16" s="368">
        <f t="shared" si="11"/>
        <v>1582.8749999999998</v>
      </c>
      <c r="AW16" s="361">
        <v>52</v>
      </c>
      <c r="AX16" s="361">
        <v>52</v>
      </c>
      <c r="AY16" s="361">
        <v>52</v>
      </c>
      <c r="AZ16" s="361">
        <v>52</v>
      </c>
      <c r="BA16" s="361">
        <v>52</v>
      </c>
      <c r="BB16" s="361">
        <v>52</v>
      </c>
      <c r="BC16" s="361">
        <v>52</v>
      </c>
      <c r="BD16" s="361">
        <v>52</v>
      </c>
      <c r="BE16" s="361">
        <v>52</v>
      </c>
      <c r="BF16" s="361">
        <v>52</v>
      </c>
      <c r="BG16" s="361">
        <v>52</v>
      </c>
      <c r="BH16" s="361">
        <v>52</v>
      </c>
      <c r="BJ16" s="369">
        <f t="shared" si="12"/>
        <v>482.77687499999985</v>
      </c>
      <c r="BK16" s="369">
        <f t="shared" si="12"/>
        <v>482.77687499999985</v>
      </c>
      <c r="BL16" s="369">
        <f t="shared" si="12"/>
        <v>482.77687499999985</v>
      </c>
      <c r="BM16" s="369">
        <f t="shared" si="12"/>
        <v>482.77687499999985</v>
      </c>
      <c r="BN16" s="369">
        <f t="shared" si="12"/>
        <v>482.77687499999985</v>
      </c>
      <c r="BO16" s="369">
        <f t="shared" si="12"/>
        <v>482.77687499999985</v>
      </c>
      <c r="BP16" s="369">
        <f t="shared" si="12"/>
        <v>482.77687499999985</v>
      </c>
      <c r="BQ16" s="369">
        <f t="shared" si="12"/>
        <v>482.77687499999985</v>
      </c>
      <c r="BR16" s="369">
        <f t="shared" si="12"/>
        <v>482.77687499999985</v>
      </c>
      <c r="BS16" s="369">
        <f t="shared" si="12"/>
        <v>482.77687499999985</v>
      </c>
      <c r="BT16" s="369">
        <f t="shared" si="12"/>
        <v>482.77687499999985</v>
      </c>
      <c r="BU16" s="369">
        <f t="shared" si="12"/>
        <v>482.77687499999985</v>
      </c>
      <c r="BW16" s="369">
        <f t="shared" si="16"/>
        <v>2117.6518749999996</v>
      </c>
      <c r="BX16" s="369">
        <f t="shared" si="13"/>
        <v>2117.6518749999996</v>
      </c>
      <c r="BY16" s="369">
        <f t="shared" si="13"/>
        <v>2117.6518749999996</v>
      </c>
      <c r="BZ16" s="369">
        <f t="shared" si="13"/>
        <v>2117.6518749999996</v>
      </c>
      <c r="CA16" s="369">
        <f t="shared" si="13"/>
        <v>2117.6518749999996</v>
      </c>
      <c r="CB16" s="369">
        <f t="shared" si="13"/>
        <v>2117.6518749999996</v>
      </c>
      <c r="CC16" s="369">
        <f t="shared" si="13"/>
        <v>2117.6518749999996</v>
      </c>
      <c r="CD16" s="369">
        <f t="shared" si="13"/>
        <v>2117.6518749999996</v>
      </c>
      <c r="CE16" s="369">
        <f t="shared" si="13"/>
        <v>2117.6518749999996</v>
      </c>
      <c r="CF16" s="369">
        <f t="shared" si="13"/>
        <v>2117.6518749999996</v>
      </c>
      <c r="CG16" s="369">
        <f t="shared" si="13"/>
        <v>2117.6518749999996</v>
      </c>
      <c r="CH16" s="369">
        <f t="shared" si="13"/>
        <v>2117.6518749999996</v>
      </c>
    </row>
    <row r="17" spans="11:86" ht="16" x14ac:dyDescent="0.2">
      <c r="K17" s="359" t="s">
        <v>356</v>
      </c>
      <c r="L17" s="360"/>
      <c r="M17" s="361" t="s">
        <v>363</v>
      </c>
      <c r="N17" s="362" t="s">
        <v>352</v>
      </c>
      <c r="O17" s="361">
        <v>18900</v>
      </c>
      <c r="P17" s="363">
        <v>5.0000000000000001E-3</v>
      </c>
      <c r="Q17" s="364">
        <f t="shared" si="14"/>
        <v>18994.499999999996</v>
      </c>
      <c r="R17" s="365">
        <v>0</v>
      </c>
      <c r="S17" s="365">
        <v>0.30499999999999999</v>
      </c>
      <c r="T17" s="366">
        <f t="shared" si="15"/>
        <v>72.692307692307693</v>
      </c>
      <c r="V17" s="367">
        <v>1</v>
      </c>
      <c r="W17" s="367">
        <v>1</v>
      </c>
      <c r="X17" s="367">
        <v>1</v>
      </c>
      <c r="Y17" s="367">
        <v>1</v>
      </c>
      <c r="Z17" s="367">
        <v>1</v>
      </c>
      <c r="AA17" s="367">
        <v>1</v>
      </c>
      <c r="AB17" s="367">
        <v>1</v>
      </c>
      <c r="AC17" s="367">
        <v>1</v>
      </c>
      <c r="AD17" s="367">
        <v>1</v>
      </c>
      <c r="AE17" s="367">
        <v>1</v>
      </c>
      <c r="AF17" s="367">
        <v>1</v>
      </c>
      <c r="AG17" s="367">
        <v>1</v>
      </c>
      <c r="AI17" s="368">
        <f t="shared" si="11"/>
        <v>1582.8749999999998</v>
      </c>
      <c r="AJ17" s="368">
        <f t="shared" si="11"/>
        <v>1582.8749999999998</v>
      </c>
      <c r="AK17" s="368">
        <f t="shared" si="11"/>
        <v>1582.8749999999998</v>
      </c>
      <c r="AL17" s="368">
        <f t="shared" si="11"/>
        <v>1582.8749999999998</v>
      </c>
      <c r="AM17" s="368">
        <f t="shared" si="11"/>
        <v>1582.8749999999998</v>
      </c>
      <c r="AN17" s="368">
        <f t="shared" si="11"/>
        <v>1582.8749999999998</v>
      </c>
      <c r="AO17" s="368">
        <f t="shared" si="11"/>
        <v>1582.8749999999998</v>
      </c>
      <c r="AP17" s="368">
        <f t="shared" si="11"/>
        <v>1582.8749999999998</v>
      </c>
      <c r="AQ17" s="368">
        <f t="shared" si="11"/>
        <v>1582.8749999999998</v>
      </c>
      <c r="AR17" s="368">
        <f t="shared" si="11"/>
        <v>1582.8749999999998</v>
      </c>
      <c r="AS17" s="368">
        <f t="shared" si="11"/>
        <v>1582.8749999999998</v>
      </c>
      <c r="AT17" s="368">
        <f t="shared" si="11"/>
        <v>1582.8749999999998</v>
      </c>
      <c r="AW17" s="361">
        <v>52</v>
      </c>
      <c r="AX17" s="361">
        <v>52</v>
      </c>
      <c r="AY17" s="361">
        <v>52</v>
      </c>
      <c r="AZ17" s="361">
        <v>52</v>
      </c>
      <c r="BA17" s="361">
        <v>52</v>
      </c>
      <c r="BB17" s="361">
        <v>52</v>
      </c>
      <c r="BC17" s="361">
        <v>52</v>
      </c>
      <c r="BD17" s="361">
        <v>52</v>
      </c>
      <c r="BE17" s="361">
        <v>52</v>
      </c>
      <c r="BF17" s="361">
        <v>52</v>
      </c>
      <c r="BG17" s="361">
        <v>52</v>
      </c>
      <c r="BH17" s="361">
        <v>52</v>
      </c>
      <c r="BJ17" s="369">
        <f t="shared" si="12"/>
        <v>482.77687499999985</v>
      </c>
      <c r="BK17" s="369">
        <f t="shared" si="12"/>
        <v>482.77687499999985</v>
      </c>
      <c r="BL17" s="369">
        <f t="shared" si="12"/>
        <v>482.77687499999985</v>
      </c>
      <c r="BM17" s="369">
        <f t="shared" si="12"/>
        <v>482.77687499999985</v>
      </c>
      <c r="BN17" s="369">
        <f t="shared" si="12"/>
        <v>482.77687499999985</v>
      </c>
      <c r="BO17" s="369">
        <f t="shared" si="12"/>
        <v>482.77687499999985</v>
      </c>
      <c r="BP17" s="369">
        <f t="shared" si="12"/>
        <v>482.77687499999985</v>
      </c>
      <c r="BQ17" s="369">
        <f t="shared" si="12"/>
        <v>482.77687499999985</v>
      </c>
      <c r="BR17" s="369">
        <f t="shared" si="12"/>
        <v>482.77687499999985</v>
      </c>
      <c r="BS17" s="369">
        <f t="shared" si="12"/>
        <v>482.77687499999985</v>
      </c>
      <c r="BT17" s="369">
        <f t="shared" si="12"/>
        <v>482.77687499999985</v>
      </c>
      <c r="BU17" s="369">
        <f t="shared" si="12"/>
        <v>482.77687499999985</v>
      </c>
      <c r="BW17" s="369">
        <f t="shared" si="16"/>
        <v>2117.6518749999996</v>
      </c>
      <c r="BX17" s="369">
        <f t="shared" si="13"/>
        <v>2117.6518749999996</v>
      </c>
      <c r="BY17" s="369">
        <f t="shared" si="13"/>
        <v>2117.6518749999996</v>
      </c>
      <c r="BZ17" s="369">
        <f t="shared" si="13"/>
        <v>2117.6518749999996</v>
      </c>
      <c r="CA17" s="369">
        <f t="shared" si="13"/>
        <v>2117.6518749999996</v>
      </c>
      <c r="CB17" s="369">
        <f t="shared" si="13"/>
        <v>2117.6518749999996</v>
      </c>
      <c r="CC17" s="369">
        <f t="shared" si="13"/>
        <v>2117.6518749999996</v>
      </c>
      <c r="CD17" s="369">
        <f t="shared" si="13"/>
        <v>2117.6518749999996</v>
      </c>
      <c r="CE17" s="369">
        <f t="shared" si="13"/>
        <v>2117.6518749999996</v>
      </c>
      <c r="CF17" s="369">
        <f t="shared" si="13"/>
        <v>2117.6518749999996</v>
      </c>
      <c r="CG17" s="369">
        <f t="shared" si="13"/>
        <v>2117.6518749999996</v>
      </c>
      <c r="CH17" s="369">
        <f t="shared" si="13"/>
        <v>2117.6518749999996</v>
      </c>
    </row>
    <row r="18" spans="11:86" ht="16" x14ac:dyDescent="0.2">
      <c r="K18" s="359" t="s">
        <v>356</v>
      </c>
      <c r="L18" s="360"/>
      <c r="M18" s="361" t="s">
        <v>363</v>
      </c>
      <c r="N18" s="362" t="s">
        <v>352</v>
      </c>
      <c r="O18" s="361">
        <v>18900</v>
      </c>
      <c r="P18" s="363">
        <v>5.0000000000000001E-3</v>
      </c>
      <c r="Q18" s="364">
        <f t="shared" si="14"/>
        <v>18994.499999999996</v>
      </c>
      <c r="R18" s="365">
        <v>0</v>
      </c>
      <c r="S18" s="365">
        <v>0.30499999999999999</v>
      </c>
      <c r="T18" s="366">
        <f t="shared" si="15"/>
        <v>72.692307692307693</v>
      </c>
      <c r="V18" s="367">
        <v>1</v>
      </c>
      <c r="W18" s="367">
        <v>1</v>
      </c>
      <c r="X18" s="367">
        <v>1</v>
      </c>
      <c r="Y18" s="367">
        <v>1</v>
      </c>
      <c r="Z18" s="367">
        <v>1</v>
      </c>
      <c r="AA18" s="367">
        <v>1</v>
      </c>
      <c r="AB18" s="367">
        <v>1</v>
      </c>
      <c r="AC18" s="367">
        <v>1</v>
      </c>
      <c r="AD18" s="367">
        <v>1</v>
      </c>
      <c r="AE18" s="367">
        <v>1</v>
      </c>
      <c r="AF18" s="367">
        <v>1</v>
      </c>
      <c r="AG18" s="367">
        <v>1</v>
      </c>
      <c r="AI18" s="368">
        <f t="shared" si="11"/>
        <v>1582.8749999999998</v>
      </c>
      <c r="AJ18" s="368">
        <f t="shared" si="11"/>
        <v>1582.8749999999998</v>
      </c>
      <c r="AK18" s="368">
        <f t="shared" si="11"/>
        <v>1582.8749999999998</v>
      </c>
      <c r="AL18" s="368">
        <f t="shared" si="11"/>
        <v>1582.8749999999998</v>
      </c>
      <c r="AM18" s="368">
        <f t="shared" si="11"/>
        <v>1582.8749999999998</v>
      </c>
      <c r="AN18" s="368">
        <f t="shared" si="11"/>
        <v>1582.8749999999998</v>
      </c>
      <c r="AO18" s="368">
        <f t="shared" si="11"/>
        <v>1582.8749999999998</v>
      </c>
      <c r="AP18" s="368">
        <f t="shared" si="11"/>
        <v>1582.8749999999998</v>
      </c>
      <c r="AQ18" s="368">
        <f t="shared" si="11"/>
        <v>1582.8749999999998</v>
      </c>
      <c r="AR18" s="368">
        <f t="shared" si="11"/>
        <v>1582.8749999999998</v>
      </c>
      <c r="AS18" s="368">
        <f t="shared" si="11"/>
        <v>1582.8749999999998</v>
      </c>
      <c r="AT18" s="368">
        <f t="shared" si="11"/>
        <v>1582.8749999999998</v>
      </c>
      <c r="AW18" s="361">
        <v>52</v>
      </c>
      <c r="AX18" s="361">
        <v>52</v>
      </c>
      <c r="AY18" s="361">
        <v>52</v>
      </c>
      <c r="AZ18" s="361">
        <v>52</v>
      </c>
      <c r="BA18" s="361">
        <v>52</v>
      </c>
      <c r="BB18" s="361">
        <v>52</v>
      </c>
      <c r="BC18" s="361">
        <v>52</v>
      </c>
      <c r="BD18" s="361">
        <v>52</v>
      </c>
      <c r="BE18" s="361">
        <v>52</v>
      </c>
      <c r="BF18" s="361">
        <v>52</v>
      </c>
      <c r="BG18" s="361">
        <v>52</v>
      </c>
      <c r="BH18" s="361">
        <v>52</v>
      </c>
      <c r="BJ18" s="369">
        <f t="shared" si="12"/>
        <v>482.77687499999985</v>
      </c>
      <c r="BK18" s="369">
        <f t="shared" si="12"/>
        <v>482.77687499999985</v>
      </c>
      <c r="BL18" s="369">
        <f t="shared" si="12"/>
        <v>482.77687499999985</v>
      </c>
      <c r="BM18" s="369">
        <f t="shared" si="12"/>
        <v>482.77687499999985</v>
      </c>
      <c r="BN18" s="369">
        <f t="shared" si="12"/>
        <v>482.77687499999985</v>
      </c>
      <c r="BO18" s="369">
        <f t="shared" si="12"/>
        <v>482.77687499999985</v>
      </c>
      <c r="BP18" s="369">
        <f t="shared" si="12"/>
        <v>482.77687499999985</v>
      </c>
      <c r="BQ18" s="369">
        <f t="shared" si="12"/>
        <v>482.77687499999985</v>
      </c>
      <c r="BR18" s="369">
        <f t="shared" si="12"/>
        <v>482.77687499999985</v>
      </c>
      <c r="BS18" s="369">
        <f t="shared" si="12"/>
        <v>482.77687499999985</v>
      </c>
      <c r="BT18" s="369">
        <f t="shared" si="12"/>
        <v>482.77687499999985</v>
      </c>
      <c r="BU18" s="369">
        <f t="shared" si="12"/>
        <v>482.77687499999985</v>
      </c>
      <c r="BW18" s="369">
        <f t="shared" si="16"/>
        <v>2117.6518749999996</v>
      </c>
      <c r="BX18" s="369">
        <f t="shared" si="13"/>
        <v>2117.6518749999996</v>
      </c>
      <c r="BY18" s="369">
        <f t="shared" si="13"/>
        <v>2117.6518749999996</v>
      </c>
      <c r="BZ18" s="369">
        <f t="shared" si="13"/>
        <v>2117.6518749999996</v>
      </c>
      <c r="CA18" s="369">
        <f t="shared" si="13"/>
        <v>2117.6518749999996</v>
      </c>
      <c r="CB18" s="369">
        <f t="shared" si="13"/>
        <v>2117.6518749999996</v>
      </c>
      <c r="CC18" s="369">
        <f t="shared" si="13"/>
        <v>2117.6518749999996</v>
      </c>
      <c r="CD18" s="369">
        <f t="shared" si="13"/>
        <v>2117.6518749999996</v>
      </c>
      <c r="CE18" s="369">
        <f t="shared" si="13"/>
        <v>2117.6518749999996</v>
      </c>
      <c r="CF18" s="369">
        <f t="shared" si="13"/>
        <v>2117.6518749999996</v>
      </c>
      <c r="CG18" s="369">
        <f t="shared" si="13"/>
        <v>2117.6518749999996</v>
      </c>
      <c r="CH18" s="369">
        <f t="shared" si="13"/>
        <v>2117.6518749999996</v>
      </c>
    </row>
    <row r="19" spans="11:86" ht="16" x14ac:dyDescent="0.2">
      <c r="K19" s="359" t="s">
        <v>356</v>
      </c>
      <c r="L19" s="360"/>
      <c r="M19" s="361" t="s">
        <v>363</v>
      </c>
      <c r="N19" s="362" t="s">
        <v>352</v>
      </c>
      <c r="O19" s="361">
        <v>18900</v>
      </c>
      <c r="P19" s="363">
        <v>5.0000000000000001E-3</v>
      </c>
      <c r="Q19" s="364">
        <f t="shared" si="14"/>
        <v>18994.499999999996</v>
      </c>
      <c r="R19" s="365">
        <v>0</v>
      </c>
      <c r="S19" s="365">
        <v>0.30499999999999999</v>
      </c>
      <c r="T19" s="366">
        <f t="shared" si="15"/>
        <v>72.692307692307693</v>
      </c>
      <c r="V19" s="367">
        <v>1</v>
      </c>
      <c r="W19" s="367">
        <v>1</v>
      </c>
      <c r="X19" s="367">
        <v>1</v>
      </c>
      <c r="Y19" s="367">
        <v>1</v>
      </c>
      <c r="Z19" s="367">
        <v>1</v>
      </c>
      <c r="AA19" s="367">
        <v>1</v>
      </c>
      <c r="AB19" s="367">
        <v>1</v>
      </c>
      <c r="AC19" s="367">
        <v>1</v>
      </c>
      <c r="AD19" s="367">
        <v>1</v>
      </c>
      <c r="AE19" s="367">
        <v>1</v>
      </c>
      <c r="AF19" s="367">
        <v>1</v>
      </c>
      <c r="AG19" s="367">
        <v>1</v>
      </c>
      <c r="AI19" s="368">
        <f t="shared" si="11"/>
        <v>1582.8749999999998</v>
      </c>
      <c r="AJ19" s="368">
        <f t="shared" si="11"/>
        <v>1582.8749999999998</v>
      </c>
      <c r="AK19" s="368">
        <f t="shared" si="11"/>
        <v>1582.8749999999998</v>
      </c>
      <c r="AL19" s="368">
        <f t="shared" si="11"/>
        <v>1582.8749999999998</v>
      </c>
      <c r="AM19" s="368">
        <f t="shared" si="11"/>
        <v>1582.8749999999998</v>
      </c>
      <c r="AN19" s="368">
        <f t="shared" si="11"/>
        <v>1582.8749999999998</v>
      </c>
      <c r="AO19" s="368">
        <f t="shared" si="11"/>
        <v>1582.8749999999998</v>
      </c>
      <c r="AP19" s="368">
        <f t="shared" si="11"/>
        <v>1582.8749999999998</v>
      </c>
      <c r="AQ19" s="368">
        <f t="shared" si="11"/>
        <v>1582.8749999999998</v>
      </c>
      <c r="AR19" s="368">
        <f t="shared" si="11"/>
        <v>1582.8749999999998</v>
      </c>
      <c r="AS19" s="368">
        <f t="shared" si="11"/>
        <v>1582.8749999999998</v>
      </c>
      <c r="AT19" s="368">
        <f t="shared" si="11"/>
        <v>1582.8749999999998</v>
      </c>
      <c r="AW19" s="361">
        <v>52</v>
      </c>
      <c r="AX19" s="361">
        <v>52</v>
      </c>
      <c r="AY19" s="361">
        <v>52</v>
      </c>
      <c r="AZ19" s="361">
        <v>52</v>
      </c>
      <c r="BA19" s="361">
        <v>52</v>
      </c>
      <c r="BB19" s="361">
        <v>52</v>
      </c>
      <c r="BC19" s="361">
        <v>52</v>
      </c>
      <c r="BD19" s="361">
        <v>52</v>
      </c>
      <c r="BE19" s="361">
        <v>52</v>
      </c>
      <c r="BF19" s="361">
        <v>52</v>
      </c>
      <c r="BG19" s="361">
        <v>52</v>
      </c>
      <c r="BH19" s="361">
        <v>52</v>
      </c>
      <c r="BJ19" s="369">
        <f t="shared" si="12"/>
        <v>482.77687499999985</v>
      </c>
      <c r="BK19" s="369">
        <f t="shared" si="12"/>
        <v>482.77687499999985</v>
      </c>
      <c r="BL19" s="369">
        <f t="shared" si="12"/>
        <v>482.77687499999985</v>
      </c>
      <c r="BM19" s="369">
        <f t="shared" si="12"/>
        <v>482.77687499999985</v>
      </c>
      <c r="BN19" s="369">
        <f t="shared" si="12"/>
        <v>482.77687499999985</v>
      </c>
      <c r="BO19" s="369">
        <f t="shared" si="12"/>
        <v>482.77687499999985</v>
      </c>
      <c r="BP19" s="369">
        <f t="shared" si="12"/>
        <v>482.77687499999985</v>
      </c>
      <c r="BQ19" s="369">
        <f t="shared" si="12"/>
        <v>482.77687499999985</v>
      </c>
      <c r="BR19" s="369">
        <f t="shared" si="12"/>
        <v>482.77687499999985</v>
      </c>
      <c r="BS19" s="369">
        <f t="shared" si="12"/>
        <v>482.77687499999985</v>
      </c>
      <c r="BT19" s="369">
        <f t="shared" si="12"/>
        <v>482.77687499999985</v>
      </c>
      <c r="BU19" s="369">
        <f t="shared" si="12"/>
        <v>482.77687499999985</v>
      </c>
      <c r="BW19" s="369">
        <f t="shared" si="16"/>
        <v>2117.6518749999996</v>
      </c>
      <c r="BX19" s="369">
        <f t="shared" si="13"/>
        <v>2117.6518749999996</v>
      </c>
      <c r="BY19" s="369">
        <f t="shared" si="13"/>
        <v>2117.6518749999996</v>
      </c>
      <c r="BZ19" s="369">
        <f t="shared" si="13"/>
        <v>2117.6518749999996</v>
      </c>
      <c r="CA19" s="369">
        <f t="shared" si="13"/>
        <v>2117.6518749999996</v>
      </c>
      <c r="CB19" s="369">
        <f t="shared" si="13"/>
        <v>2117.6518749999996</v>
      </c>
      <c r="CC19" s="369">
        <f t="shared" si="13"/>
        <v>2117.6518749999996</v>
      </c>
      <c r="CD19" s="369">
        <f t="shared" si="13"/>
        <v>2117.6518749999996</v>
      </c>
      <c r="CE19" s="369">
        <f t="shared" si="13"/>
        <v>2117.6518749999996</v>
      </c>
      <c r="CF19" s="369">
        <f t="shared" si="13"/>
        <v>2117.6518749999996</v>
      </c>
      <c r="CG19" s="369">
        <f t="shared" si="13"/>
        <v>2117.6518749999996</v>
      </c>
      <c r="CH19" s="369">
        <f t="shared" si="13"/>
        <v>2117.6518749999996</v>
      </c>
    </row>
    <row r="20" spans="11:86" ht="16" x14ac:dyDescent="0.2">
      <c r="K20" s="359" t="s">
        <v>356</v>
      </c>
      <c r="L20" s="360"/>
      <c r="M20" s="361" t="s">
        <v>363</v>
      </c>
      <c r="N20" s="362" t="s">
        <v>352</v>
      </c>
      <c r="O20" s="361">
        <v>18900</v>
      </c>
      <c r="P20" s="363">
        <v>5.0000000000000001E-3</v>
      </c>
      <c r="Q20" s="364">
        <f t="shared" si="14"/>
        <v>18994.499999999996</v>
      </c>
      <c r="R20" s="365">
        <v>0</v>
      </c>
      <c r="S20" s="365">
        <v>0.30499999999999999</v>
      </c>
      <c r="T20" s="366">
        <f t="shared" si="15"/>
        <v>72.692307692307693</v>
      </c>
      <c r="V20" s="367"/>
      <c r="W20" s="367"/>
      <c r="X20" s="367"/>
      <c r="Y20" s="367">
        <v>1</v>
      </c>
      <c r="Z20" s="367">
        <v>1</v>
      </c>
      <c r="AA20" s="367">
        <v>1</v>
      </c>
      <c r="AB20" s="367">
        <v>1</v>
      </c>
      <c r="AC20" s="367">
        <v>1</v>
      </c>
      <c r="AD20" s="367">
        <v>1</v>
      </c>
      <c r="AE20" s="367">
        <v>1</v>
      </c>
      <c r="AF20" s="367"/>
      <c r="AG20" s="367"/>
      <c r="AI20" s="368">
        <f t="shared" si="11"/>
        <v>0</v>
      </c>
      <c r="AJ20" s="368">
        <f t="shared" si="11"/>
        <v>0</v>
      </c>
      <c r="AK20" s="368">
        <f t="shared" si="11"/>
        <v>0</v>
      </c>
      <c r="AL20" s="368">
        <f t="shared" si="11"/>
        <v>1582.8749999999998</v>
      </c>
      <c r="AM20" s="368">
        <f t="shared" si="11"/>
        <v>1582.8749999999998</v>
      </c>
      <c r="AN20" s="368">
        <f t="shared" si="11"/>
        <v>1582.8749999999998</v>
      </c>
      <c r="AO20" s="368">
        <f t="shared" si="11"/>
        <v>1582.8749999999998</v>
      </c>
      <c r="AP20" s="368">
        <f t="shared" si="11"/>
        <v>1582.8749999999998</v>
      </c>
      <c r="AQ20" s="368">
        <f t="shared" si="11"/>
        <v>1582.8749999999998</v>
      </c>
      <c r="AR20" s="368">
        <f t="shared" si="11"/>
        <v>1582.8749999999998</v>
      </c>
      <c r="AS20" s="368">
        <f t="shared" si="11"/>
        <v>0</v>
      </c>
      <c r="AT20" s="368">
        <f t="shared" si="11"/>
        <v>0</v>
      </c>
      <c r="AW20" s="361">
        <v>367.41666666666669</v>
      </c>
      <c r="AX20" s="361">
        <v>367.41666666666669</v>
      </c>
      <c r="AY20" s="361">
        <v>367.41666666666669</v>
      </c>
      <c r="AZ20" s="361">
        <v>367.41666666666669</v>
      </c>
      <c r="BA20" s="361">
        <v>367.41666666666669</v>
      </c>
      <c r="BB20" s="361">
        <v>367.41666666666669</v>
      </c>
      <c r="BC20" s="361">
        <v>367.41666666666669</v>
      </c>
      <c r="BD20" s="361">
        <v>367.41666666666669</v>
      </c>
      <c r="BE20" s="361">
        <v>367.41666666666669</v>
      </c>
      <c r="BF20" s="361">
        <v>367.41666666666669</v>
      </c>
      <c r="BG20" s="361">
        <v>367.41666666666669</v>
      </c>
      <c r="BH20" s="361">
        <v>367.41666666666669</v>
      </c>
      <c r="BJ20" s="369">
        <f t="shared" si="12"/>
        <v>0</v>
      </c>
      <c r="BK20" s="369">
        <f t="shared" si="12"/>
        <v>0</v>
      </c>
      <c r="BL20" s="369">
        <f t="shared" si="12"/>
        <v>0</v>
      </c>
      <c r="BM20" s="369">
        <f t="shared" si="12"/>
        <v>482.77687499999985</v>
      </c>
      <c r="BN20" s="369">
        <f t="shared" si="12"/>
        <v>482.77687499999985</v>
      </c>
      <c r="BO20" s="369">
        <f t="shared" si="12"/>
        <v>482.77687499999985</v>
      </c>
      <c r="BP20" s="369">
        <f t="shared" si="12"/>
        <v>482.77687499999985</v>
      </c>
      <c r="BQ20" s="369">
        <f t="shared" si="12"/>
        <v>482.77687499999985</v>
      </c>
      <c r="BR20" s="369">
        <f t="shared" si="12"/>
        <v>482.77687499999985</v>
      </c>
      <c r="BS20" s="369">
        <f t="shared" si="12"/>
        <v>482.77687499999985</v>
      </c>
      <c r="BT20" s="369">
        <f t="shared" si="12"/>
        <v>0</v>
      </c>
      <c r="BU20" s="369">
        <f t="shared" si="12"/>
        <v>0</v>
      </c>
      <c r="BW20" s="369">
        <f t="shared" si="16"/>
        <v>367.41666666666669</v>
      </c>
      <c r="BX20" s="369">
        <f t="shared" si="13"/>
        <v>367.41666666666669</v>
      </c>
      <c r="BY20" s="369">
        <f t="shared" si="13"/>
        <v>367.41666666666669</v>
      </c>
      <c r="BZ20" s="369">
        <f t="shared" si="13"/>
        <v>2433.0685416666665</v>
      </c>
      <c r="CA20" s="369">
        <f t="shared" si="13"/>
        <v>2433.0685416666665</v>
      </c>
      <c r="CB20" s="369">
        <f t="shared" si="13"/>
        <v>2433.0685416666665</v>
      </c>
      <c r="CC20" s="369">
        <f t="shared" si="13"/>
        <v>2433.0685416666665</v>
      </c>
      <c r="CD20" s="369">
        <f t="shared" si="13"/>
        <v>2433.0685416666665</v>
      </c>
      <c r="CE20" s="369">
        <f t="shared" si="13"/>
        <v>2433.0685416666665</v>
      </c>
      <c r="CF20" s="369">
        <f t="shared" si="13"/>
        <v>2433.0685416666665</v>
      </c>
      <c r="CG20" s="369">
        <f t="shared" si="13"/>
        <v>367.41666666666669</v>
      </c>
      <c r="CH20" s="369">
        <f t="shared" si="13"/>
        <v>367.41666666666669</v>
      </c>
    </row>
    <row r="21" spans="11:86" ht="16" x14ac:dyDescent="0.2">
      <c r="K21" s="359" t="s">
        <v>356</v>
      </c>
      <c r="L21" s="360"/>
      <c r="M21" s="361" t="s">
        <v>363</v>
      </c>
      <c r="N21" s="362" t="s">
        <v>352</v>
      </c>
      <c r="O21" s="361">
        <v>18900</v>
      </c>
      <c r="P21" s="363">
        <v>5.0000000000000001E-3</v>
      </c>
      <c r="Q21" s="364">
        <f t="shared" si="14"/>
        <v>18994.499999999996</v>
      </c>
      <c r="R21" s="365">
        <v>0</v>
      </c>
      <c r="S21" s="365">
        <v>0.30499999999999999</v>
      </c>
      <c r="T21" s="366">
        <f t="shared" si="15"/>
        <v>72.692307692307693</v>
      </c>
      <c r="V21" s="367"/>
      <c r="W21" s="367"/>
      <c r="X21" s="367"/>
      <c r="Y21" s="367"/>
      <c r="Z21" s="367"/>
      <c r="AA21" s="367">
        <v>1</v>
      </c>
      <c r="AB21" s="367">
        <v>1</v>
      </c>
      <c r="AC21" s="367">
        <v>1</v>
      </c>
      <c r="AD21" s="367">
        <v>1</v>
      </c>
      <c r="AE21" s="367"/>
      <c r="AF21" s="367"/>
      <c r="AG21" s="367"/>
      <c r="AI21" s="368">
        <f t="shared" si="11"/>
        <v>0</v>
      </c>
      <c r="AJ21" s="368">
        <f t="shared" si="11"/>
        <v>0</v>
      </c>
      <c r="AK21" s="368">
        <f t="shared" si="11"/>
        <v>0</v>
      </c>
      <c r="AL21" s="368">
        <f t="shared" si="11"/>
        <v>0</v>
      </c>
      <c r="AM21" s="368">
        <f t="shared" si="11"/>
        <v>0</v>
      </c>
      <c r="AN21" s="368">
        <f t="shared" si="11"/>
        <v>1582.8749999999998</v>
      </c>
      <c r="AO21" s="368">
        <f t="shared" si="11"/>
        <v>1582.8749999999998</v>
      </c>
      <c r="AP21" s="368">
        <f t="shared" si="11"/>
        <v>1582.8749999999998</v>
      </c>
      <c r="AQ21" s="368">
        <f t="shared" si="11"/>
        <v>1582.8749999999998</v>
      </c>
      <c r="AR21" s="368">
        <f t="shared" si="11"/>
        <v>0</v>
      </c>
      <c r="AS21" s="368">
        <f t="shared" si="11"/>
        <v>0</v>
      </c>
      <c r="AT21" s="368">
        <f t="shared" si="11"/>
        <v>0</v>
      </c>
      <c r="AW21" s="361">
        <v>367.41666666666669</v>
      </c>
      <c r="AX21" s="361">
        <v>367.41666666666669</v>
      </c>
      <c r="AY21" s="361">
        <v>367.41666666666669</v>
      </c>
      <c r="AZ21" s="361">
        <v>367.41666666666669</v>
      </c>
      <c r="BA21" s="361">
        <v>367.41666666666669</v>
      </c>
      <c r="BB21" s="361">
        <v>367.41666666666669</v>
      </c>
      <c r="BC21" s="361">
        <v>367.41666666666669</v>
      </c>
      <c r="BD21" s="361">
        <v>367.41666666666669</v>
      </c>
      <c r="BE21" s="361">
        <v>367.41666666666669</v>
      </c>
      <c r="BF21" s="361">
        <v>367.41666666666669</v>
      </c>
      <c r="BG21" s="361">
        <v>367.41666666666669</v>
      </c>
      <c r="BH21" s="361">
        <v>367.41666666666669</v>
      </c>
      <c r="BJ21" s="369">
        <f t="shared" si="12"/>
        <v>0</v>
      </c>
      <c r="BK21" s="369">
        <f t="shared" si="12"/>
        <v>0</v>
      </c>
      <c r="BL21" s="369">
        <f t="shared" si="12"/>
        <v>0</v>
      </c>
      <c r="BM21" s="369">
        <f t="shared" si="12"/>
        <v>0</v>
      </c>
      <c r="BN21" s="369">
        <f t="shared" si="12"/>
        <v>0</v>
      </c>
      <c r="BO21" s="369">
        <f t="shared" si="12"/>
        <v>482.77687499999985</v>
      </c>
      <c r="BP21" s="369">
        <f t="shared" si="12"/>
        <v>482.77687499999985</v>
      </c>
      <c r="BQ21" s="369">
        <f t="shared" si="12"/>
        <v>482.77687499999985</v>
      </c>
      <c r="BR21" s="369">
        <f t="shared" si="12"/>
        <v>482.77687499999985</v>
      </c>
      <c r="BS21" s="369">
        <f t="shared" si="12"/>
        <v>0</v>
      </c>
      <c r="BT21" s="369">
        <f t="shared" si="12"/>
        <v>0</v>
      </c>
      <c r="BU21" s="369">
        <f t="shared" si="12"/>
        <v>0</v>
      </c>
      <c r="BW21" s="369">
        <f t="shared" si="16"/>
        <v>367.41666666666669</v>
      </c>
      <c r="BX21" s="369">
        <f t="shared" si="13"/>
        <v>367.41666666666669</v>
      </c>
      <c r="BY21" s="369">
        <f t="shared" si="13"/>
        <v>367.41666666666669</v>
      </c>
      <c r="BZ21" s="369">
        <f t="shared" si="13"/>
        <v>367.41666666666669</v>
      </c>
      <c r="CA21" s="369">
        <f t="shared" si="13"/>
        <v>367.41666666666669</v>
      </c>
      <c r="CB21" s="369">
        <f t="shared" si="13"/>
        <v>2433.0685416666665</v>
      </c>
      <c r="CC21" s="369">
        <f t="shared" si="13"/>
        <v>2433.0685416666665</v>
      </c>
      <c r="CD21" s="369">
        <f t="shared" si="13"/>
        <v>2433.0685416666665</v>
      </c>
      <c r="CE21" s="369">
        <f t="shared" si="13"/>
        <v>2433.0685416666665</v>
      </c>
      <c r="CF21" s="369">
        <f t="shared" si="13"/>
        <v>367.41666666666669</v>
      </c>
      <c r="CG21" s="369">
        <f t="shared" si="13"/>
        <v>367.41666666666669</v>
      </c>
      <c r="CH21" s="369">
        <f t="shared" si="13"/>
        <v>367.41666666666669</v>
      </c>
    </row>
    <row r="22" spans="11:86" ht="16" x14ac:dyDescent="0.2">
      <c r="K22" s="359" t="s">
        <v>356</v>
      </c>
      <c r="L22" s="360"/>
      <c r="M22" s="361" t="s">
        <v>364</v>
      </c>
      <c r="N22" s="362" t="s">
        <v>352</v>
      </c>
      <c r="O22" s="361">
        <v>18900</v>
      </c>
      <c r="P22" s="363">
        <v>5.0000000000000001E-3</v>
      </c>
      <c r="Q22" s="364">
        <f t="shared" si="14"/>
        <v>18994.499999999996</v>
      </c>
      <c r="R22" s="365">
        <v>0</v>
      </c>
      <c r="S22" s="365">
        <v>0.30499999999999999</v>
      </c>
      <c r="T22" s="366">
        <f t="shared" si="15"/>
        <v>72.692307692307693</v>
      </c>
      <c r="V22" s="367">
        <v>1</v>
      </c>
      <c r="W22" s="367">
        <v>1</v>
      </c>
      <c r="X22" s="367">
        <v>1</v>
      </c>
      <c r="Y22" s="367">
        <v>1</v>
      </c>
      <c r="Z22" s="367">
        <v>1</v>
      </c>
      <c r="AA22" s="367">
        <v>1</v>
      </c>
      <c r="AB22" s="367">
        <v>1</v>
      </c>
      <c r="AC22" s="367">
        <v>1</v>
      </c>
      <c r="AD22" s="367">
        <v>1</v>
      </c>
      <c r="AE22" s="367">
        <v>1</v>
      </c>
      <c r="AF22" s="367">
        <v>1</v>
      </c>
      <c r="AG22" s="367">
        <v>1</v>
      </c>
      <c r="AI22" s="368">
        <f t="shared" si="11"/>
        <v>1582.8749999999998</v>
      </c>
      <c r="AJ22" s="368">
        <f t="shared" si="11"/>
        <v>1582.8749999999998</v>
      </c>
      <c r="AK22" s="368">
        <f t="shared" si="11"/>
        <v>1582.8749999999998</v>
      </c>
      <c r="AL22" s="368">
        <f t="shared" si="11"/>
        <v>1582.8749999999998</v>
      </c>
      <c r="AM22" s="368">
        <f t="shared" si="11"/>
        <v>1582.8749999999998</v>
      </c>
      <c r="AN22" s="368">
        <f t="shared" si="11"/>
        <v>1582.8749999999998</v>
      </c>
      <c r="AO22" s="368">
        <f t="shared" si="11"/>
        <v>1582.8749999999998</v>
      </c>
      <c r="AP22" s="368">
        <f t="shared" si="11"/>
        <v>1582.8749999999998</v>
      </c>
      <c r="AQ22" s="368">
        <f t="shared" si="11"/>
        <v>1582.8749999999998</v>
      </c>
      <c r="AR22" s="368">
        <f t="shared" si="11"/>
        <v>1582.8749999999998</v>
      </c>
      <c r="AS22" s="368">
        <f t="shared" si="11"/>
        <v>1582.8749999999998</v>
      </c>
      <c r="AT22" s="368">
        <f t="shared" si="11"/>
        <v>1582.8749999999998</v>
      </c>
      <c r="AW22" s="361"/>
      <c r="AX22" s="361"/>
      <c r="AY22" s="361"/>
      <c r="AZ22" s="361"/>
      <c r="BA22" s="361"/>
      <c r="BB22" s="361">
        <v>52</v>
      </c>
      <c r="BC22" s="361">
        <v>52</v>
      </c>
      <c r="BD22" s="361">
        <v>52</v>
      </c>
      <c r="BE22" s="361">
        <v>52</v>
      </c>
      <c r="BF22" s="361"/>
      <c r="BG22" s="361"/>
      <c r="BH22" s="361"/>
      <c r="BJ22" s="369">
        <f t="shared" si="12"/>
        <v>482.77687499999985</v>
      </c>
      <c r="BK22" s="369">
        <f t="shared" si="12"/>
        <v>482.77687499999985</v>
      </c>
      <c r="BL22" s="369">
        <f t="shared" si="12"/>
        <v>482.77687499999985</v>
      </c>
      <c r="BM22" s="369">
        <f t="shared" si="12"/>
        <v>482.77687499999985</v>
      </c>
      <c r="BN22" s="369">
        <f t="shared" si="12"/>
        <v>482.77687499999985</v>
      </c>
      <c r="BO22" s="369">
        <f t="shared" si="12"/>
        <v>482.77687499999985</v>
      </c>
      <c r="BP22" s="369">
        <f t="shared" si="12"/>
        <v>482.77687499999985</v>
      </c>
      <c r="BQ22" s="369">
        <f t="shared" si="12"/>
        <v>482.77687499999985</v>
      </c>
      <c r="BR22" s="369">
        <f t="shared" si="12"/>
        <v>482.77687499999985</v>
      </c>
      <c r="BS22" s="369">
        <f t="shared" si="12"/>
        <v>482.77687499999985</v>
      </c>
      <c r="BT22" s="369">
        <f t="shared" si="12"/>
        <v>482.77687499999985</v>
      </c>
      <c r="BU22" s="369">
        <f t="shared" si="12"/>
        <v>482.77687499999985</v>
      </c>
      <c r="BW22" s="369">
        <f t="shared" si="16"/>
        <v>2065.6518749999996</v>
      </c>
      <c r="BX22" s="369">
        <f t="shared" si="13"/>
        <v>2065.6518749999996</v>
      </c>
      <c r="BY22" s="369">
        <f t="shared" si="13"/>
        <v>2065.6518749999996</v>
      </c>
      <c r="BZ22" s="369">
        <f t="shared" si="13"/>
        <v>2065.6518749999996</v>
      </c>
      <c r="CA22" s="369">
        <f t="shared" si="13"/>
        <v>2065.6518749999996</v>
      </c>
      <c r="CB22" s="369">
        <f t="shared" si="13"/>
        <v>2117.6518749999996</v>
      </c>
      <c r="CC22" s="369">
        <f t="shared" si="13"/>
        <v>2117.6518749999996</v>
      </c>
      <c r="CD22" s="369">
        <f t="shared" si="13"/>
        <v>2117.6518749999996</v>
      </c>
      <c r="CE22" s="369">
        <f t="shared" si="13"/>
        <v>2117.6518749999996</v>
      </c>
      <c r="CF22" s="369">
        <f t="shared" si="13"/>
        <v>2065.6518749999996</v>
      </c>
      <c r="CG22" s="369">
        <f t="shared" si="13"/>
        <v>2065.6518749999996</v>
      </c>
      <c r="CH22" s="369">
        <f t="shared" si="13"/>
        <v>2065.6518749999996</v>
      </c>
    </row>
    <row r="23" spans="11:86" ht="16" x14ac:dyDescent="0.2">
      <c r="K23" s="359"/>
      <c r="L23" s="360"/>
      <c r="M23" s="361"/>
      <c r="N23" s="362"/>
      <c r="O23" s="361"/>
      <c r="P23" s="363"/>
      <c r="Q23" s="364"/>
      <c r="R23" s="365"/>
      <c r="S23" s="365"/>
      <c r="T23" s="366"/>
      <c r="V23" s="367"/>
      <c r="W23" s="367"/>
      <c r="X23" s="367"/>
      <c r="Y23" s="367"/>
      <c r="Z23" s="367"/>
      <c r="AA23" s="367"/>
      <c r="AB23" s="367"/>
      <c r="AC23" s="367"/>
      <c r="AD23" s="367"/>
      <c r="AE23" s="367"/>
      <c r="AF23" s="367"/>
      <c r="AG23" s="367"/>
      <c r="AI23" s="368"/>
      <c r="AJ23" s="368"/>
      <c r="AK23" s="368"/>
      <c r="AL23" s="368"/>
      <c r="AM23" s="368"/>
      <c r="AN23" s="368"/>
      <c r="AO23" s="368"/>
      <c r="AP23" s="368"/>
      <c r="AQ23" s="368"/>
      <c r="AR23" s="368"/>
      <c r="AS23" s="368"/>
      <c r="AT23" s="368"/>
      <c r="AW23" s="361"/>
      <c r="AX23" s="361"/>
      <c r="AY23" s="361"/>
      <c r="AZ23" s="361"/>
      <c r="BA23" s="361"/>
      <c r="BB23" s="361"/>
      <c r="BC23" s="361"/>
      <c r="BD23" s="361"/>
      <c r="BE23" s="361"/>
      <c r="BF23" s="361"/>
      <c r="BG23" s="361"/>
      <c r="BH23" s="361"/>
      <c r="BJ23" s="369"/>
      <c r="BK23" s="369"/>
      <c r="BL23" s="369"/>
      <c r="BM23" s="369"/>
      <c r="BN23" s="369"/>
      <c r="BO23" s="369"/>
      <c r="BP23" s="369"/>
      <c r="BQ23" s="369"/>
      <c r="BR23" s="369"/>
      <c r="BS23" s="369"/>
      <c r="BT23" s="369"/>
      <c r="BU23" s="369"/>
      <c r="BW23" s="370">
        <f>SUM(BW15:BW22)</f>
        <v>14331.317708333328</v>
      </c>
      <c r="BX23" s="370">
        <f t="shared" ref="BX23:CH23" si="18">SUM(BX15:BX22)</f>
        <v>14331.317708333328</v>
      </c>
      <c r="BY23" s="370">
        <f t="shared" si="18"/>
        <v>14331.317708333328</v>
      </c>
      <c r="BZ23" s="370">
        <f t="shared" si="18"/>
        <v>16396.969583333332</v>
      </c>
      <c r="CA23" s="370">
        <f t="shared" si="18"/>
        <v>16396.969583333332</v>
      </c>
      <c r="CB23" s="370">
        <f>SUM(CB15:CB22)</f>
        <v>18514.621458333331</v>
      </c>
      <c r="CC23" s="370">
        <f t="shared" si="18"/>
        <v>18514.621458333331</v>
      </c>
      <c r="CD23" s="370">
        <f t="shared" si="18"/>
        <v>18514.621458333331</v>
      </c>
      <c r="CE23" s="370">
        <f t="shared" si="18"/>
        <v>18514.621458333331</v>
      </c>
      <c r="CF23" s="370">
        <f t="shared" si="18"/>
        <v>16396.969583333332</v>
      </c>
      <c r="CG23" s="370">
        <f t="shared" si="18"/>
        <v>14331.317708333328</v>
      </c>
      <c r="CH23" s="370">
        <f t="shared" si="18"/>
        <v>14331.317708333328</v>
      </c>
    </row>
    <row r="24" spans="11:86" ht="16" x14ac:dyDescent="0.2">
      <c r="K24" s="359"/>
      <c r="L24" s="360"/>
      <c r="M24" s="361"/>
      <c r="N24" s="362"/>
      <c r="O24" s="361"/>
      <c r="P24" s="363"/>
      <c r="Q24" s="364">
        <f>SUM(Q10:Q22)</f>
        <v>314866.49999999994</v>
      </c>
      <c r="R24" s="365"/>
      <c r="S24" s="365"/>
      <c r="T24" s="366"/>
      <c r="V24" s="367"/>
      <c r="W24" s="367"/>
      <c r="X24" s="367"/>
      <c r="Y24" s="367"/>
      <c r="Z24" s="367"/>
      <c r="AA24" s="367"/>
      <c r="AB24" s="367"/>
      <c r="AC24" s="367"/>
      <c r="AD24" s="367"/>
      <c r="AE24" s="367"/>
      <c r="AF24" s="367"/>
      <c r="AG24" s="367"/>
      <c r="AI24" s="368"/>
      <c r="AJ24" s="368"/>
      <c r="AK24" s="368"/>
      <c r="AL24" s="368"/>
      <c r="AM24" s="368"/>
      <c r="AN24" s="368"/>
      <c r="AO24" s="368"/>
      <c r="AP24" s="368"/>
      <c r="AQ24" s="368"/>
      <c r="AR24" s="368"/>
      <c r="AS24" s="368"/>
      <c r="AT24" s="368"/>
      <c r="AW24" s="361"/>
      <c r="AX24" s="361"/>
      <c r="AY24" s="361"/>
      <c r="AZ24" s="361"/>
      <c r="BA24" s="361"/>
      <c r="BB24" s="361"/>
      <c r="BC24" s="361"/>
      <c r="BD24" s="361"/>
      <c r="BE24" s="361"/>
      <c r="BF24" s="361"/>
      <c r="BG24" s="361"/>
      <c r="BH24" s="361"/>
      <c r="BJ24" s="369"/>
      <c r="BK24" s="369"/>
      <c r="BL24" s="369"/>
      <c r="BM24" s="369"/>
      <c r="BN24" s="369"/>
      <c r="BO24" s="369"/>
      <c r="BP24" s="369"/>
      <c r="BQ24" s="369"/>
      <c r="BR24" s="369"/>
      <c r="BS24" s="369"/>
      <c r="BT24" s="369"/>
      <c r="BU24" s="369"/>
      <c r="BW24" s="371">
        <f>BW14+BW23</f>
        <v>31053.261458333327</v>
      </c>
      <c r="BX24" s="371">
        <f t="shared" ref="BX24:CH24" si="19">BX14+BX23</f>
        <v>31053.261458333327</v>
      </c>
      <c r="BY24" s="371">
        <f t="shared" si="19"/>
        <v>31053.261458333327</v>
      </c>
      <c r="BZ24" s="371">
        <f t="shared" si="19"/>
        <v>33118.91333333333</v>
      </c>
      <c r="CA24" s="371">
        <f t="shared" si="19"/>
        <v>33118.91333333333</v>
      </c>
      <c r="CB24" s="371">
        <f t="shared" si="19"/>
        <v>35236.565208333326</v>
      </c>
      <c r="CC24" s="371">
        <f t="shared" si="19"/>
        <v>35236.565208333326</v>
      </c>
      <c r="CD24" s="371">
        <f t="shared" si="19"/>
        <v>35236.565208333326</v>
      </c>
      <c r="CE24" s="371">
        <f t="shared" si="19"/>
        <v>35236.565208333326</v>
      </c>
      <c r="CF24" s="371">
        <f t="shared" si="19"/>
        <v>33118.91333333333</v>
      </c>
      <c r="CG24" s="371">
        <f t="shared" si="19"/>
        <v>31053.261458333327</v>
      </c>
      <c r="CH24" s="371">
        <f t="shared" si="19"/>
        <v>31053.261458333327</v>
      </c>
    </row>
    <row r="25" spans="11:86" ht="16" hidden="1" x14ac:dyDescent="0.2">
      <c r="K25" s="359"/>
      <c r="L25" s="360"/>
      <c r="M25" s="361"/>
      <c r="N25" s="372"/>
      <c r="O25" s="361"/>
      <c r="P25" s="363">
        <v>5.0000000000000001E-3</v>
      </c>
      <c r="Q25" s="364">
        <f t="shared" si="14"/>
        <v>0</v>
      </c>
      <c r="R25" s="365">
        <v>0</v>
      </c>
      <c r="S25" s="365">
        <v>0.30499999999999999</v>
      </c>
      <c r="T25" s="366">
        <f t="shared" si="15"/>
        <v>0</v>
      </c>
      <c r="V25" s="367"/>
      <c r="W25" s="367"/>
      <c r="X25" s="367"/>
      <c r="Y25" s="367"/>
      <c r="Z25" s="367"/>
      <c r="AA25" s="367"/>
      <c r="AB25" s="367"/>
      <c r="AC25" s="367"/>
      <c r="AD25" s="367"/>
      <c r="AE25" s="367"/>
      <c r="AF25" s="367"/>
      <c r="AG25" s="367"/>
      <c r="AI25" s="368">
        <f t="shared" si="11"/>
        <v>0</v>
      </c>
      <c r="AJ25" s="368">
        <f t="shared" si="11"/>
        <v>0</v>
      </c>
      <c r="AK25" s="368">
        <f t="shared" si="11"/>
        <v>0</v>
      </c>
      <c r="AL25" s="368">
        <f t="shared" si="11"/>
        <v>0</v>
      </c>
      <c r="AM25" s="368">
        <f t="shared" si="11"/>
        <v>0</v>
      </c>
      <c r="AN25" s="368">
        <f t="shared" si="11"/>
        <v>0</v>
      </c>
      <c r="AO25" s="368">
        <f t="shared" si="11"/>
        <v>0</v>
      </c>
      <c r="AP25" s="368">
        <f t="shared" si="11"/>
        <v>0</v>
      </c>
      <c r="AQ25" s="368">
        <f t="shared" si="11"/>
        <v>0</v>
      </c>
      <c r="AR25" s="368">
        <f t="shared" si="11"/>
        <v>0</v>
      </c>
      <c r="AS25" s="368">
        <f t="shared" si="11"/>
        <v>0</v>
      </c>
      <c r="AT25" s="368">
        <f t="shared" si="11"/>
        <v>0</v>
      </c>
      <c r="AW25" s="361"/>
      <c r="AX25" s="361"/>
      <c r="AY25" s="361"/>
      <c r="AZ25" s="361"/>
      <c r="BA25" s="361"/>
      <c r="BB25" s="361"/>
      <c r="BC25" s="361"/>
      <c r="BD25" s="361"/>
      <c r="BE25" s="361"/>
      <c r="BF25" s="361"/>
      <c r="BG25" s="361"/>
      <c r="BH25" s="361"/>
      <c r="BJ25" s="369">
        <f t="shared" si="12"/>
        <v>0</v>
      </c>
      <c r="BK25" s="369">
        <f t="shared" si="12"/>
        <v>0</v>
      </c>
      <c r="BL25" s="369">
        <f t="shared" si="12"/>
        <v>0</v>
      </c>
      <c r="BM25" s="369">
        <f t="shared" si="12"/>
        <v>0</v>
      </c>
      <c r="BN25" s="369">
        <f t="shared" si="12"/>
        <v>0</v>
      </c>
      <c r="BO25" s="369">
        <f t="shared" si="12"/>
        <v>0</v>
      </c>
      <c r="BP25" s="369">
        <f t="shared" si="12"/>
        <v>0</v>
      </c>
      <c r="BQ25" s="369">
        <f t="shared" si="12"/>
        <v>0</v>
      </c>
      <c r="BR25" s="369">
        <f t="shared" si="12"/>
        <v>0</v>
      </c>
      <c r="BS25" s="369">
        <f t="shared" si="12"/>
        <v>0</v>
      </c>
      <c r="BT25" s="369">
        <f t="shared" si="12"/>
        <v>0</v>
      </c>
      <c r="BU25" s="369">
        <f t="shared" si="12"/>
        <v>0</v>
      </c>
      <c r="BW25" s="369" t="e">
        <f>AI25+#REF!+#REF!+#REF!+AW25+BJ25</f>
        <v>#REF!</v>
      </c>
      <c r="BX25" s="369" t="e">
        <f>AJ25+#REF!+#REF!+#REF!+AX25+BK25</f>
        <v>#REF!</v>
      </c>
      <c r="BY25" s="369" t="e">
        <f>AK25+#REF!+#REF!+#REF!+AY25+BL25</f>
        <v>#REF!</v>
      </c>
      <c r="BZ25" s="369" t="e">
        <f>AL25+#REF!+#REF!+#REF!+AZ25+BM25</f>
        <v>#REF!</v>
      </c>
      <c r="CA25" s="369" t="e">
        <f>AM25+#REF!+#REF!+#REF!+BA25+BN25</f>
        <v>#REF!</v>
      </c>
      <c r="CB25" s="369" t="e">
        <f>AN25+#REF!+#REF!+#REF!+BB25+BO25</f>
        <v>#REF!</v>
      </c>
      <c r="CC25" s="369" t="e">
        <f>AO25+#REF!+#REF!+#REF!+BC25+BP25</f>
        <v>#REF!</v>
      </c>
      <c r="CD25" s="369" t="e">
        <f>AP25+#REF!+#REF!+#REF!+BD25+BQ25</f>
        <v>#REF!</v>
      </c>
      <c r="CE25" s="369" t="e">
        <f>AQ25+#REF!+#REF!+#REF!+BE25+BR25</f>
        <v>#REF!</v>
      </c>
      <c r="CF25" s="369" t="e">
        <f>AR25+#REF!+#REF!+#REF!+BF25+BS25</f>
        <v>#REF!</v>
      </c>
      <c r="CG25" s="369" t="e">
        <f>AS25+#REF!+#REF!+#REF!+BG25+BT25</f>
        <v>#REF!</v>
      </c>
      <c r="CH25" s="369" t="e">
        <f>AT25+#REF!+#REF!+#REF!+BH25+BU25</f>
        <v>#REF!</v>
      </c>
    </row>
    <row r="26" spans="11:86" ht="16" hidden="1" x14ac:dyDescent="0.2">
      <c r="K26" s="359"/>
      <c r="L26" s="360"/>
      <c r="M26" s="361"/>
      <c r="N26" s="372"/>
      <c r="O26" s="361"/>
      <c r="P26" s="363">
        <v>5.0000000000000001E-3</v>
      </c>
      <c r="Q26" s="364">
        <f t="shared" si="14"/>
        <v>0</v>
      </c>
      <c r="R26" s="365">
        <v>0</v>
      </c>
      <c r="S26" s="365">
        <v>0.30499999999999999</v>
      </c>
      <c r="T26" s="366">
        <f t="shared" si="15"/>
        <v>0</v>
      </c>
      <c r="V26" s="367"/>
      <c r="W26" s="367"/>
      <c r="X26" s="367"/>
      <c r="Y26" s="367"/>
      <c r="Z26" s="367"/>
      <c r="AA26" s="367"/>
      <c r="AB26" s="367"/>
      <c r="AC26" s="367"/>
      <c r="AD26" s="367"/>
      <c r="AE26" s="367"/>
      <c r="AF26" s="367"/>
      <c r="AG26" s="367"/>
      <c r="AI26" s="368">
        <f t="shared" si="11"/>
        <v>0</v>
      </c>
      <c r="AJ26" s="368">
        <f t="shared" si="11"/>
        <v>0</v>
      </c>
      <c r="AK26" s="368">
        <f t="shared" si="11"/>
        <v>0</v>
      </c>
      <c r="AL26" s="368">
        <f t="shared" si="11"/>
        <v>0</v>
      </c>
      <c r="AM26" s="368">
        <f t="shared" si="11"/>
        <v>0</v>
      </c>
      <c r="AN26" s="368">
        <f t="shared" si="11"/>
        <v>0</v>
      </c>
      <c r="AO26" s="368">
        <f t="shared" si="11"/>
        <v>0</v>
      </c>
      <c r="AP26" s="368">
        <f t="shared" si="11"/>
        <v>0</v>
      </c>
      <c r="AQ26" s="368">
        <f t="shared" si="11"/>
        <v>0</v>
      </c>
      <c r="AR26" s="368">
        <f t="shared" si="11"/>
        <v>0</v>
      </c>
      <c r="AS26" s="368">
        <f t="shared" si="11"/>
        <v>0</v>
      </c>
      <c r="AT26" s="368">
        <f t="shared" si="11"/>
        <v>0</v>
      </c>
      <c r="AW26" s="361"/>
      <c r="AX26" s="361"/>
      <c r="AY26" s="361"/>
      <c r="AZ26" s="361"/>
      <c r="BA26" s="361"/>
      <c r="BB26" s="361"/>
      <c r="BC26" s="361"/>
      <c r="BD26" s="361"/>
      <c r="BE26" s="361"/>
      <c r="BF26" s="361"/>
      <c r="BG26" s="361"/>
      <c r="BH26" s="361"/>
      <c r="BJ26" s="369">
        <f t="shared" si="12"/>
        <v>0</v>
      </c>
      <c r="BK26" s="369">
        <f t="shared" si="12"/>
        <v>0</v>
      </c>
      <c r="BL26" s="369">
        <f t="shared" si="12"/>
        <v>0</v>
      </c>
      <c r="BM26" s="369">
        <f t="shared" si="12"/>
        <v>0</v>
      </c>
      <c r="BN26" s="369">
        <f t="shared" si="12"/>
        <v>0</v>
      </c>
      <c r="BO26" s="369">
        <f t="shared" si="12"/>
        <v>0</v>
      </c>
      <c r="BP26" s="369">
        <f t="shared" si="12"/>
        <v>0</v>
      </c>
      <c r="BQ26" s="369">
        <f t="shared" si="12"/>
        <v>0</v>
      </c>
      <c r="BR26" s="369">
        <f t="shared" si="12"/>
        <v>0</v>
      </c>
      <c r="BS26" s="369">
        <f t="shared" si="12"/>
        <v>0</v>
      </c>
      <c r="BT26" s="369">
        <f t="shared" si="12"/>
        <v>0</v>
      </c>
      <c r="BU26" s="369">
        <f t="shared" si="12"/>
        <v>0</v>
      </c>
      <c r="BW26" s="369" t="e">
        <f>AI26+#REF!+#REF!+#REF!+AW26+BJ26</f>
        <v>#REF!</v>
      </c>
      <c r="BX26" s="369" t="e">
        <f>AJ26+#REF!+#REF!+#REF!+AX26+BK26</f>
        <v>#REF!</v>
      </c>
      <c r="BY26" s="369" t="e">
        <f>AK26+#REF!+#REF!+#REF!+AY26+BL26</f>
        <v>#REF!</v>
      </c>
      <c r="BZ26" s="369" t="e">
        <f>AL26+#REF!+#REF!+#REF!+AZ26+BM26</f>
        <v>#REF!</v>
      </c>
      <c r="CA26" s="369" t="e">
        <f>AM26+#REF!+#REF!+#REF!+BA26+BN26</f>
        <v>#REF!</v>
      </c>
      <c r="CB26" s="369" t="e">
        <f>AN26+#REF!+#REF!+#REF!+BB26+BO26</f>
        <v>#REF!</v>
      </c>
      <c r="CC26" s="369" t="e">
        <f>AO26+#REF!+#REF!+#REF!+BC26+BP26</f>
        <v>#REF!</v>
      </c>
      <c r="CD26" s="369" t="e">
        <f>AP26+#REF!+#REF!+#REF!+BD26+BQ26</f>
        <v>#REF!</v>
      </c>
      <c r="CE26" s="369" t="e">
        <f>AQ26+#REF!+#REF!+#REF!+BE26+BR26</f>
        <v>#REF!</v>
      </c>
      <c r="CF26" s="369" t="e">
        <f>AR26+#REF!+#REF!+#REF!+BF26+BS26</f>
        <v>#REF!</v>
      </c>
      <c r="CG26" s="369" t="e">
        <f>AS26+#REF!+#REF!+#REF!+BG26+BT26</f>
        <v>#REF!</v>
      </c>
      <c r="CH26" s="369" t="e">
        <f>AT26+#REF!+#REF!+#REF!+BH26+BU26</f>
        <v>#REF!</v>
      </c>
    </row>
    <row r="27" spans="11:86" ht="16" hidden="1" x14ac:dyDescent="0.2">
      <c r="K27" s="359"/>
      <c r="L27" s="360"/>
      <c r="M27" s="361"/>
      <c r="N27" s="372"/>
      <c r="O27" s="361"/>
      <c r="P27" s="363">
        <v>5.0000000000000001E-3</v>
      </c>
      <c r="Q27" s="364">
        <f t="shared" si="14"/>
        <v>0</v>
      </c>
      <c r="R27" s="365">
        <v>0</v>
      </c>
      <c r="S27" s="365">
        <v>0.30499999999999999</v>
      </c>
      <c r="T27" s="366">
        <f t="shared" si="15"/>
        <v>0</v>
      </c>
      <c r="V27" s="367"/>
      <c r="W27" s="367"/>
      <c r="X27" s="367"/>
      <c r="Y27" s="367"/>
      <c r="Z27" s="367"/>
      <c r="AA27" s="367"/>
      <c r="AB27" s="367"/>
      <c r="AC27" s="367"/>
      <c r="AD27" s="367"/>
      <c r="AE27" s="367"/>
      <c r="AF27" s="367"/>
      <c r="AG27" s="367"/>
      <c r="AI27" s="368">
        <f t="shared" si="11"/>
        <v>0</v>
      </c>
      <c r="AJ27" s="368">
        <f t="shared" si="11"/>
        <v>0</v>
      </c>
      <c r="AK27" s="368">
        <f t="shared" si="11"/>
        <v>0</v>
      </c>
      <c r="AL27" s="368">
        <f t="shared" si="11"/>
        <v>0</v>
      </c>
      <c r="AM27" s="368">
        <f t="shared" si="11"/>
        <v>0</v>
      </c>
      <c r="AN27" s="368">
        <f t="shared" si="11"/>
        <v>0</v>
      </c>
      <c r="AO27" s="368">
        <f t="shared" si="11"/>
        <v>0</v>
      </c>
      <c r="AP27" s="368">
        <f t="shared" si="11"/>
        <v>0</v>
      </c>
      <c r="AQ27" s="368">
        <f t="shared" si="11"/>
        <v>0</v>
      </c>
      <c r="AR27" s="368">
        <f t="shared" si="11"/>
        <v>0</v>
      </c>
      <c r="AS27" s="368">
        <f t="shared" si="11"/>
        <v>0</v>
      </c>
      <c r="AT27" s="368">
        <f t="shared" si="11"/>
        <v>0</v>
      </c>
      <c r="AW27" s="361"/>
      <c r="AX27" s="361"/>
      <c r="AY27" s="361"/>
      <c r="AZ27" s="361"/>
      <c r="BA27" s="361"/>
      <c r="BB27" s="361"/>
      <c r="BC27" s="361"/>
      <c r="BD27" s="361"/>
      <c r="BE27" s="361"/>
      <c r="BF27" s="361"/>
      <c r="BG27" s="361"/>
      <c r="BH27" s="361"/>
      <c r="BJ27" s="369">
        <f t="shared" si="12"/>
        <v>0</v>
      </c>
      <c r="BK27" s="369">
        <f t="shared" si="12"/>
        <v>0</v>
      </c>
      <c r="BL27" s="369">
        <f t="shared" si="12"/>
        <v>0</v>
      </c>
      <c r="BM27" s="369">
        <f t="shared" si="12"/>
        <v>0</v>
      </c>
      <c r="BN27" s="369">
        <f t="shared" si="12"/>
        <v>0</v>
      </c>
      <c r="BO27" s="369">
        <f t="shared" si="12"/>
        <v>0</v>
      </c>
      <c r="BP27" s="369">
        <f t="shared" si="12"/>
        <v>0</v>
      </c>
      <c r="BQ27" s="369">
        <f t="shared" si="12"/>
        <v>0</v>
      </c>
      <c r="BR27" s="369">
        <f t="shared" si="12"/>
        <v>0</v>
      </c>
      <c r="BS27" s="369">
        <f t="shared" si="12"/>
        <v>0</v>
      </c>
      <c r="BT27" s="369">
        <f t="shared" si="12"/>
        <v>0</v>
      </c>
      <c r="BU27" s="369">
        <f t="shared" si="12"/>
        <v>0</v>
      </c>
      <c r="BW27" s="369" t="e">
        <f>AI27+#REF!+#REF!+#REF!+AW27+BJ27</f>
        <v>#REF!</v>
      </c>
      <c r="BX27" s="369" t="e">
        <f>AJ27+#REF!+#REF!+#REF!+AX27+BK27</f>
        <v>#REF!</v>
      </c>
      <c r="BY27" s="369" t="e">
        <f>AK27+#REF!+#REF!+#REF!+AY27+BL27</f>
        <v>#REF!</v>
      </c>
      <c r="BZ27" s="369" t="e">
        <f>AL27+#REF!+#REF!+#REF!+AZ27+BM27</f>
        <v>#REF!</v>
      </c>
      <c r="CA27" s="369" t="e">
        <f>AM27+#REF!+#REF!+#REF!+BA27+BN27</f>
        <v>#REF!</v>
      </c>
      <c r="CB27" s="369" t="e">
        <f>AN27+#REF!+#REF!+#REF!+BB27+BO27</f>
        <v>#REF!</v>
      </c>
      <c r="CC27" s="369" t="e">
        <f>AO27+#REF!+#REF!+#REF!+BC27+BP27</f>
        <v>#REF!</v>
      </c>
      <c r="CD27" s="369" t="e">
        <f>AP27+#REF!+#REF!+#REF!+BD27+BQ27</f>
        <v>#REF!</v>
      </c>
      <c r="CE27" s="369" t="e">
        <f>AQ27+#REF!+#REF!+#REF!+BE27+BR27</f>
        <v>#REF!</v>
      </c>
      <c r="CF27" s="369" t="e">
        <f>AR27+#REF!+#REF!+#REF!+BF27+BS27</f>
        <v>#REF!</v>
      </c>
      <c r="CG27" s="369" t="e">
        <f>AS27+#REF!+#REF!+#REF!+BG27+BT27</f>
        <v>#REF!</v>
      </c>
      <c r="CH27" s="369" t="e">
        <f>AT27+#REF!+#REF!+#REF!+BH27+BU27</f>
        <v>#REF!</v>
      </c>
    </row>
    <row r="28" spans="11:86" ht="16" hidden="1" x14ac:dyDescent="0.2">
      <c r="K28" s="359"/>
      <c r="L28" s="360"/>
      <c r="M28" s="361"/>
      <c r="N28" s="373"/>
      <c r="O28" s="361"/>
      <c r="P28" s="363">
        <v>5.0000000000000001E-3</v>
      </c>
      <c r="Q28" s="364">
        <f t="shared" si="14"/>
        <v>0</v>
      </c>
      <c r="R28" s="365">
        <v>0</v>
      </c>
      <c r="S28" s="365">
        <v>0.30499999999999999</v>
      </c>
      <c r="T28" s="366">
        <f t="shared" si="15"/>
        <v>0</v>
      </c>
      <c r="V28" s="367"/>
      <c r="W28" s="367"/>
      <c r="X28" s="367"/>
      <c r="Y28" s="367"/>
      <c r="Z28" s="367"/>
      <c r="AA28" s="367"/>
      <c r="AB28" s="367"/>
      <c r="AC28" s="367"/>
      <c r="AD28" s="367"/>
      <c r="AE28" s="367"/>
      <c r="AF28" s="367"/>
      <c r="AG28" s="367"/>
      <c r="AI28" s="368">
        <f t="shared" si="11"/>
        <v>0</v>
      </c>
      <c r="AJ28" s="368">
        <f t="shared" si="11"/>
        <v>0</v>
      </c>
      <c r="AK28" s="368">
        <f t="shared" si="11"/>
        <v>0</v>
      </c>
      <c r="AL28" s="368">
        <f t="shared" si="11"/>
        <v>0</v>
      </c>
      <c r="AM28" s="368">
        <f t="shared" si="11"/>
        <v>0</v>
      </c>
      <c r="AN28" s="368">
        <f t="shared" si="11"/>
        <v>0</v>
      </c>
      <c r="AO28" s="368">
        <f t="shared" si="11"/>
        <v>0</v>
      </c>
      <c r="AP28" s="368">
        <f t="shared" si="11"/>
        <v>0</v>
      </c>
      <c r="AQ28" s="368">
        <f t="shared" si="11"/>
        <v>0</v>
      </c>
      <c r="AR28" s="368">
        <f t="shared" si="11"/>
        <v>0</v>
      </c>
      <c r="AS28" s="368">
        <f t="shared" si="11"/>
        <v>0</v>
      </c>
      <c r="AT28" s="368">
        <f t="shared" si="11"/>
        <v>0</v>
      </c>
      <c r="AW28" s="361"/>
      <c r="AX28" s="361"/>
      <c r="AY28" s="361"/>
      <c r="AZ28" s="361"/>
      <c r="BA28" s="361"/>
      <c r="BB28" s="361"/>
      <c r="BC28" s="361"/>
      <c r="BD28" s="361"/>
      <c r="BE28" s="361"/>
      <c r="BF28" s="361"/>
      <c r="BG28" s="361"/>
      <c r="BH28" s="361"/>
      <c r="BJ28" s="369">
        <f t="shared" si="12"/>
        <v>0</v>
      </c>
      <c r="BK28" s="369">
        <f t="shared" si="12"/>
        <v>0</v>
      </c>
      <c r="BL28" s="369">
        <f t="shared" si="12"/>
        <v>0</v>
      </c>
      <c r="BM28" s="369">
        <f t="shared" si="12"/>
        <v>0</v>
      </c>
      <c r="BN28" s="369">
        <f t="shared" si="12"/>
        <v>0</v>
      </c>
      <c r="BO28" s="369">
        <f t="shared" si="12"/>
        <v>0</v>
      </c>
      <c r="BP28" s="369">
        <f t="shared" si="12"/>
        <v>0</v>
      </c>
      <c r="BQ28" s="369">
        <f t="shared" si="12"/>
        <v>0</v>
      </c>
      <c r="BR28" s="369">
        <f t="shared" si="12"/>
        <v>0</v>
      </c>
      <c r="BS28" s="369">
        <f t="shared" si="12"/>
        <v>0</v>
      </c>
      <c r="BT28" s="369">
        <f t="shared" si="12"/>
        <v>0</v>
      </c>
      <c r="BU28" s="369">
        <f t="shared" si="12"/>
        <v>0</v>
      </c>
      <c r="BW28" s="369" t="e">
        <f>AI28+#REF!+#REF!+#REF!+AW28+BJ28</f>
        <v>#REF!</v>
      </c>
      <c r="BX28" s="369" t="e">
        <f>AJ28+#REF!+#REF!+#REF!+AX28+BK28</f>
        <v>#REF!</v>
      </c>
      <c r="BY28" s="369" t="e">
        <f>AK28+#REF!+#REF!+#REF!+AY28+BL28</f>
        <v>#REF!</v>
      </c>
      <c r="BZ28" s="369" t="e">
        <f>AL28+#REF!+#REF!+#REF!+AZ28+BM28</f>
        <v>#REF!</v>
      </c>
      <c r="CA28" s="369" t="e">
        <f>AM28+#REF!+#REF!+#REF!+BA28+BN28</f>
        <v>#REF!</v>
      </c>
      <c r="CB28" s="369" t="e">
        <f>AN28+#REF!+#REF!+#REF!+BB28+BO28</f>
        <v>#REF!</v>
      </c>
      <c r="CC28" s="369" t="e">
        <f>AO28+#REF!+#REF!+#REF!+BC28+BP28</f>
        <v>#REF!</v>
      </c>
      <c r="CD28" s="369" t="e">
        <f>AP28+#REF!+#REF!+#REF!+BD28+BQ28</f>
        <v>#REF!</v>
      </c>
      <c r="CE28" s="369" t="e">
        <f>AQ28+#REF!+#REF!+#REF!+BE28+BR28</f>
        <v>#REF!</v>
      </c>
      <c r="CF28" s="369" t="e">
        <f>AR28+#REF!+#REF!+#REF!+BF28+BS28</f>
        <v>#REF!</v>
      </c>
      <c r="CG28" s="369" t="e">
        <f>AS28+#REF!+#REF!+#REF!+BG28+BT28</f>
        <v>#REF!</v>
      </c>
      <c r="CH28" s="369" t="e">
        <f>AT28+#REF!+#REF!+#REF!+BH28+BU28</f>
        <v>#REF!</v>
      </c>
    </row>
    <row r="29" spans="11:86" ht="16" hidden="1" x14ac:dyDescent="0.2">
      <c r="K29" s="359"/>
      <c r="L29" s="360"/>
      <c r="M29" s="361"/>
      <c r="N29" s="373"/>
      <c r="O29" s="361"/>
      <c r="P29" s="363">
        <v>5.0000000000000001E-3</v>
      </c>
      <c r="Q29" s="364">
        <f t="shared" si="14"/>
        <v>0</v>
      </c>
      <c r="R29" s="365">
        <v>0</v>
      </c>
      <c r="S29" s="365">
        <v>0.30499999999999999</v>
      </c>
      <c r="T29" s="366">
        <f t="shared" si="15"/>
        <v>0</v>
      </c>
      <c r="V29" s="367"/>
      <c r="W29" s="367"/>
      <c r="X29" s="367"/>
      <c r="Y29" s="367"/>
      <c r="Z29" s="367"/>
      <c r="AA29" s="367"/>
      <c r="AB29" s="367"/>
      <c r="AC29" s="367"/>
      <c r="AD29" s="367"/>
      <c r="AE29" s="367"/>
      <c r="AF29" s="367"/>
      <c r="AG29" s="367"/>
      <c r="AI29" s="368">
        <f t="shared" si="11"/>
        <v>0</v>
      </c>
      <c r="AJ29" s="368">
        <f t="shared" si="11"/>
        <v>0</v>
      </c>
      <c r="AK29" s="368">
        <f t="shared" si="11"/>
        <v>0</v>
      </c>
      <c r="AL29" s="368">
        <f t="shared" si="11"/>
        <v>0</v>
      </c>
      <c r="AM29" s="368">
        <f t="shared" si="11"/>
        <v>0</v>
      </c>
      <c r="AN29" s="368">
        <f t="shared" si="11"/>
        <v>0</v>
      </c>
      <c r="AO29" s="368">
        <f t="shared" si="11"/>
        <v>0</v>
      </c>
      <c r="AP29" s="368">
        <f t="shared" si="11"/>
        <v>0</v>
      </c>
      <c r="AQ29" s="368">
        <f t="shared" si="11"/>
        <v>0</v>
      </c>
      <c r="AR29" s="368">
        <f t="shared" si="11"/>
        <v>0</v>
      </c>
      <c r="AS29" s="368">
        <f t="shared" si="11"/>
        <v>0</v>
      </c>
      <c r="AT29" s="368">
        <f t="shared" si="11"/>
        <v>0</v>
      </c>
      <c r="AW29" s="361"/>
      <c r="AX29" s="361"/>
      <c r="AY29" s="361"/>
      <c r="AZ29" s="361"/>
      <c r="BA29" s="361"/>
      <c r="BB29" s="361"/>
      <c r="BC29" s="361"/>
      <c r="BD29" s="361"/>
      <c r="BE29" s="361"/>
      <c r="BF29" s="361"/>
      <c r="BG29" s="361"/>
      <c r="BH29" s="361"/>
      <c r="BJ29" s="369">
        <f t="shared" si="12"/>
        <v>0</v>
      </c>
      <c r="BK29" s="369">
        <f t="shared" si="12"/>
        <v>0</v>
      </c>
      <c r="BL29" s="369">
        <f t="shared" si="12"/>
        <v>0</v>
      </c>
      <c r="BM29" s="369">
        <f t="shared" si="12"/>
        <v>0</v>
      </c>
      <c r="BN29" s="369">
        <f t="shared" si="12"/>
        <v>0</v>
      </c>
      <c r="BO29" s="369">
        <f t="shared" si="12"/>
        <v>0</v>
      </c>
      <c r="BP29" s="369">
        <f t="shared" si="12"/>
        <v>0</v>
      </c>
      <c r="BQ29" s="369">
        <f t="shared" si="12"/>
        <v>0</v>
      </c>
      <c r="BR29" s="369">
        <f t="shared" si="12"/>
        <v>0</v>
      </c>
      <c r="BS29" s="369">
        <f t="shared" si="12"/>
        <v>0</v>
      </c>
      <c r="BT29" s="369">
        <f t="shared" si="12"/>
        <v>0</v>
      </c>
      <c r="BU29" s="369">
        <f t="shared" si="12"/>
        <v>0</v>
      </c>
      <c r="BW29" s="369" t="e">
        <f>AI29+#REF!+#REF!+#REF!+AW29+BJ29</f>
        <v>#REF!</v>
      </c>
      <c r="BX29" s="369" t="e">
        <f>AJ29+#REF!+#REF!+#REF!+AX29+BK29</f>
        <v>#REF!</v>
      </c>
      <c r="BY29" s="369" t="e">
        <f>AK29+#REF!+#REF!+#REF!+AY29+BL29</f>
        <v>#REF!</v>
      </c>
      <c r="BZ29" s="369" t="e">
        <f>AL29+#REF!+#REF!+#REF!+AZ29+BM29</f>
        <v>#REF!</v>
      </c>
      <c r="CA29" s="369" t="e">
        <f>AM29+#REF!+#REF!+#REF!+BA29+BN29</f>
        <v>#REF!</v>
      </c>
      <c r="CB29" s="369" t="e">
        <f>AN29+#REF!+#REF!+#REF!+BB29+BO29</f>
        <v>#REF!</v>
      </c>
      <c r="CC29" s="369" t="e">
        <f>AO29+#REF!+#REF!+#REF!+BC29+BP29</f>
        <v>#REF!</v>
      </c>
      <c r="CD29" s="369" t="e">
        <f>AP29+#REF!+#REF!+#REF!+BD29+BQ29</f>
        <v>#REF!</v>
      </c>
      <c r="CE29" s="369" t="e">
        <f>AQ29+#REF!+#REF!+#REF!+BE29+BR29</f>
        <v>#REF!</v>
      </c>
      <c r="CF29" s="369" t="e">
        <f>AR29+#REF!+#REF!+#REF!+BF29+BS29</f>
        <v>#REF!</v>
      </c>
      <c r="CG29" s="369" t="e">
        <f>AS29+#REF!+#REF!+#REF!+BG29+BT29</f>
        <v>#REF!</v>
      </c>
      <c r="CH29" s="369" t="e">
        <f>AT29+#REF!+#REF!+#REF!+BH29+BU29</f>
        <v>#REF!</v>
      </c>
    </row>
    <row r="30" spans="11:86" ht="16" hidden="1" x14ac:dyDescent="0.2">
      <c r="K30" s="359"/>
      <c r="L30" s="360"/>
      <c r="M30" s="361"/>
      <c r="N30" s="373"/>
      <c r="O30" s="361"/>
      <c r="P30" s="363">
        <v>5.0000000000000001E-3</v>
      </c>
      <c r="Q30" s="364">
        <f t="shared" si="14"/>
        <v>0</v>
      </c>
      <c r="R30" s="365">
        <v>0</v>
      </c>
      <c r="S30" s="365">
        <v>0.30499999999999999</v>
      </c>
      <c r="T30" s="366">
        <f t="shared" si="15"/>
        <v>0</v>
      </c>
      <c r="V30" s="367"/>
      <c r="W30" s="367"/>
      <c r="X30" s="367"/>
      <c r="Y30" s="367"/>
      <c r="Z30" s="367"/>
      <c r="AA30" s="367"/>
      <c r="AB30" s="367"/>
      <c r="AC30" s="367"/>
      <c r="AD30" s="367"/>
      <c r="AE30" s="367"/>
      <c r="AF30" s="367"/>
      <c r="AG30" s="367"/>
      <c r="AI30" s="368">
        <f t="shared" si="11"/>
        <v>0</v>
      </c>
      <c r="AJ30" s="368">
        <f t="shared" si="11"/>
        <v>0</v>
      </c>
      <c r="AK30" s="368">
        <f t="shared" si="11"/>
        <v>0</v>
      </c>
      <c r="AL30" s="368">
        <f t="shared" si="11"/>
        <v>0</v>
      </c>
      <c r="AM30" s="368">
        <f t="shared" si="11"/>
        <v>0</v>
      </c>
      <c r="AN30" s="368">
        <f t="shared" si="11"/>
        <v>0</v>
      </c>
      <c r="AO30" s="368">
        <f t="shared" si="11"/>
        <v>0</v>
      </c>
      <c r="AP30" s="368">
        <f t="shared" si="11"/>
        <v>0</v>
      </c>
      <c r="AQ30" s="368">
        <f t="shared" si="11"/>
        <v>0</v>
      </c>
      <c r="AR30" s="368">
        <f t="shared" si="11"/>
        <v>0</v>
      </c>
      <c r="AS30" s="368">
        <f t="shared" si="11"/>
        <v>0</v>
      </c>
      <c r="AT30" s="368">
        <f t="shared" si="11"/>
        <v>0</v>
      </c>
      <c r="AW30" s="361"/>
      <c r="AX30" s="361"/>
      <c r="AY30" s="361"/>
      <c r="AZ30" s="361"/>
      <c r="BA30" s="361"/>
      <c r="BB30" s="361"/>
      <c r="BC30" s="361"/>
      <c r="BD30" s="361"/>
      <c r="BE30" s="361"/>
      <c r="BF30" s="361"/>
      <c r="BG30" s="361"/>
      <c r="BH30" s="361"/>
      <c r="BJ30" s="369">
        <f t="shared" si="12"/>
        <v>0</v>
      </c>
      <c r="BK30" s="369">
        <f t="shared" si="12"/>
        <v>0</v>
      </c>
      <c r="BL30" s="369">
        <f t="shared" si="12"/>
        <v>0</v>
      </c>
      <c r="BM30" s="369">
        <f t="shared" si="12"/>
        <v>0</v>
      </c>
      <c r="BN30" s="369">
        <f t="shared" si="12"/>
        <v>0</v>
      </c>
      <c r="BO30" s="369">
        <f t="shared" si="12"/>
        <v>0</v>
      </c>
      <c r="BP30" s="369">
        <f t="shared" si="12"/>
        <v>0</v>
      </c>
      <c r="BQ30" s="369">
        <f t="shared" si="12"/>
        <v>0</v>
      </c>
      <c r="BR30" s="369">
        <f t="shared" si="12"/>
        <v>0</v>
      </c>
      <c r="BS30" s="369">
        <f t="shared" si="12"/>
        <v>0</v>
      </c>
      <c r="BT30" s="369">
        <f t="shared" si="12"/>
        <v>0</v>
      </c>
      <c r="BU30" s="369">
        <f t="shared" si="12"/>
        <v>0</v>
      </c>
      <c r="BW30" s="369" t="e">
        <f>AI30+#REF!+#REF!+#REF!+AW30+BJ30</f>
        <v>#REF!</v>
      </c>
      <c r="BX30" s="369" t="e">
        <f>AJ30+#REF!+#REF!+#REF!+AX30+BK30</f>
        <v>#REF!</v>
      </c>
      <c r="BY30" s="369" t="e">
        <f>AK30+#REF!+#REF!+#REF!+AY30+BL30</f>
        <v>#REF!</v>
      </c>
      <c r="BZ30" s="369" t="e">
        <f>AL30+#REF!+#REF!+#REF!+AZ30+BM30</f>
        <v>#REF!</v>
      </c>
      <c r="CA30" s="369" t="e">
        <f>AM30+#REF!+#REF!+#REF!+BA30+BN30</f>
        <v>#REF!</v>
      </c>
      <c r="CB30" s="369" t="e">
        <f>AN30+#REF!+#REF!+#REF!+BB30+BO30</f>
        <v>#REF!</v>
      </c>
      <c r="CC30" s="369" t="e">
        <f>AO30+#REF!+#REF!+#REF!+BC30+BP30</f>
        <v>#REF!</v>
      </c>
      <c r="CD30" s="369" t="e">
        <f>AP30+#REF!+#REF!+#REF!+BD30+BQ30</f>
        <v>#REF!</v>
      </c>
      <c r="CE30" s="369" t="e">
        <f>AQ30+#REF!+#REF!+#REF!+BE30+BR30</f>
        <v>#REF!</v>
      </c>
      <c r="CF30" s="369" t="e">
        <f>AR30+#REF!+#REF!+#REF!+BF30+BS30</f>
        <v>#REF!</v>
      </c>
      <c r="CG30" s="369" t="e">
        <f>AS30+#REF!+#REF!+#REF!+BG30+BT30</f>
        <v>#REF!</v>
      </c>
      <c r="CH30" s="369" t="e">
        <f>AT30+#REF!+#REF!+#REF!+BH30+BU30</f>
        <v>#REF!</v>
      </c>
    </row>
    <row r="31" spans="11:86" ht="16" hidden="1" x14ac:dyDescent="0.2">
      <c r="K31" s="359"/>
      <c r="L31" s="360"/>
      <c r="M31" s="361"/>
      <c r="N31" s="373"/>
      <c r="O31" s="361"/>
      <c r="P31" s="363">
        <v>5.0000000000000001E-3</v>
      </c>
      <c r="Q31" s="364">
        <f t="shared" si="14"/>
        <v>0</v>
      </c>
      <c r="R31" s="365">
        <v>0</v>
      </c>
      <c r="S31" s="365">
        <v>0.30499999999999999</v>
      </c>
      <c r="T31" s="366">
        <f t="shared" si="15"/>
        <v>0</v>
      </c>
      <c r="V31" s="367"/>
      <c r="W31" s="367"/>
      <c r="X31" s="367"/>
      <c r="Y31" s="367"/>
      <c r="Z31" s="367"/>
      <c r="AA31" s="367"/>
      <c r="AB31" s="367"/>
      <c r="AC31" s="367"/>
      <c r="AD31" s="367"/>
      <c r="AE31" s="367"/>
      <c r="AF31" s="367"/>
      <c r="AG31" s="367"/>
      <c r="AI31" s="368">
        <f t="shared" si="11"/>
        <v>0</v>
      </c>
      <c r="AJ31" s="368">
        <f t="shared" si="11"/>
        <v>0</v>
      </c>
      <c r="AK31" s="368">
        <f t="shared" si="11"/>
        <v>0</v>
      </c>
      <c r="AL31" s="368">
        <f t="shared" si="11"/>
        <v>0</v>
      </c>
      <c r="AM31" s="368">
        <f t="shared" si="11"/>
        <v>0</v>
      </c>
      <c r="AN31" s="368">
        <f t="shared" si="11"/>
        <v>0</v>
      </c>
      <c r="AO31" s="368">
        <f t="shared" si="11"/>
        <v>0</v>
      </c>
      <c r="AP31" s="368">
        <f t="shared" si="11"/>
        <v>0</v>
      </c>
      <c r="AQ31" s="368">
        <f t="shared" si="11"/>
        <v>0</v>
      </c>
      <c r="AR31" s="368">
        <f t="shared" si="11"/>
        <v>0</v>
      </c>
      <c r="AS31" s="368">
        <f t="shared" si="11"/>
        <v>0</v>
      </c>
      <c r="AT31" s="368">
        <f t="shared" si="11"/>
        <v>0</v>
      </c>
      <c r="AW31" s="361"/>
      <c r="AX31" s="361"/>
      <c r="AY31" s="361"/>
      <c r="AZ31" s="361"/>
      <c r="BA31" s="361"/>
      <c r="BB31" s="361"/>
      <c r="BC31" s="361"/>
      <c r="BD31" s="361"/>
      <c r="BE31" s="361"/>
      <c r="BF31" s="361"/>
      <c r="BG31" s="361"/>
      <c r="BH31" s="361"/>
      <c r="BJ31" s="369">
        <f t="shared" si="12"/>
        <v>0</v>
      </c>
      <c r="BK31" s="369">
        <f t="shared" si="12"/>
        <v>0</v>
      </c>
      <c r="BL31" s="369">
        <f t="shared" si="12"/>
        <v>0</v>
      </c>
      <c r="BM31" s="369">
        <f t="shared" si="12"/>
        <v>0</v>
      </c>
      <c r="BN31" s="369">
        <f t="shared" si="12"/>
        <v>0</v>
      </c>
      <c r="BO31" s="369">
        <f t="shared" si="12"/>
        <v>0</v>
      </c>
      <c r="BP31" s="369">
        <f t="shared" si="12"/>
        <v>0</v>
      </c>
      <c r="BQ31" s="369">
        <f t="shared" si="12"/>
        <v>0</v>
      </c>
      <c r="BR31" s="369">
        <f t="shared" si="12"/>
        <v>0</v>
      </c>
      <c r="BS31" s="369">
        <f t="shared" si="12"/>
        <v>0</v>
      </c>
      <c r="BT31" s="369">
        <f t="shared" si="12"/>
        <v>0</v>
      </c>
      <c r="BU31" s="369">
        <f t="shared" si="12"/>
        <v>0</v>
      </c>
      <c r="BW31" s="369" t="e">
        <f>AI31+#REF!+#REF!+#REF!+AW31+BJ31</f>
        <v>#REF!</v>
      </c>
      <c r="BX31" s="369" t="e">
        <f>AJ31+#REF!+#REF!+#REF!+AX31+BK31</f>
        <v>#REF!</v>
      </c>
      <c r="BY31" s="369" t="e">
        <f>AK31+#REF!+#REF!+#REF!+AY31+BL31</f>
        <v>#REF!</v>
      </c>
      <c r="BZ31" s="369" t="e">
        <f>AL31+#REF!+#REF!+#REF!+AZ31+BM31</f>
        <v>#REF!</v>
      </c>
      <c r="CA31" s="369" t="e">
        <f>AM31+#REF!+#REF!+#REF!+BA31+BN31</f>
        <v>#REF!</v>
      </c>
      <c r="CB31" s="369" t="e">
        <f>AN31+#REF!+#REF!+#REF!+BB31+BO31</f>
        <v>#REF!</v>
      </c>
      <c r="CC31" s="369" t="e">
        <f>AO31+#REF!+#REF!+#REF!+BC31+BP31</f>
        <v>#REF!</v>
      </c>
      <c r="CD31" s="369" t="e">
        <f>AP31+#REF!+#REF!+#REF!+BD31+BQ31</f>
        <v>#REF!</v>
      </c>
      <c r="CE31" s="369" t="e">
        <f>AQ31+#REF!+#REF!+#REF!+BE31+BR31</f>
        <v>#REF!</v>
      </c>
      <c r="CF31" s="369" t="e">
        <f>AR31+#REF!+#REF!+#REF!+BF31+BS31</f>
        <v>#REF!</v>
      </c>
      <c r="CG31" s="369" t="e">
        <f>AS31+#REF!+#REF!+#REF!+BG31+BT31</f>
        <v>#REF!</v>
      </c>
      <c r="CH31" s="369" t="e">
        <f>AT31+#REF!+#REF!+#REF!+BH31+BU31</f>
        <v>#REF!</v>
      </c>
    </row>
    <row r="32" spans="11:86" ht="16" hidden="1" x14ac:dyDescent="0.2">
      <c r="K32" s="359"/>
      <c r="L32" s="360"/>
      <c r="M32" s="361"/>
      <c r="N32" s="362"/>
      <c r="O32" s="361"/>
      <c r="P32" s="363">
        <v>5.0000000000000001E-3</v>
      </c>
      <c r="Q32" s="364">
        <f t="shared" si="14"/>
        <v>0</v>
      </c>
      <c r="R32" s="365">
        <v>0</v>
      </c>
      <c r="S32" s="365">
        <v>0.30499999999999999</v>
      </c>
      <c r="T32" s="366">
        <f t="shared" si="15"/>
        <v>0</v>
      </c>
      <c r="V32" s="367"/>
      <c r="W32" s="367"/>
      <c r="X32" s="367"/>
      <c r="Y32" s="367"/>
      <c r="Z32" s="367"/>
      <c r="AA32" s="367"/>
      <c r="AB32" s="367"/>
      <c r="AC32" s="367"/>
      <c r="AD32" s="367"/>
      <c r="AE32" s="367"/>
      <c r="AF32" s="367"/>
      <c r="AG32" s="367"/>
      <c r="AI32" s="368">
        <f t="shared" ref="AI32:AT53" si="20">$Q32/12*V32</f>
        <v>0</v>
      </c>
      <c r="AJ32" s="368">
        <f t="shared" si="20"/>
        <v>0</v>
      </c>
      <c r="AK32" s="368">
        <f t="shared" si="20"/>
        <v>0</v>
      </c>
      <c r="AL32" s="368">
        <f t="shared" si="20"/>
        <v>0</v>
      </c>
      <c r="AM32" s="368">
        <f t="shared" si="20"/>
        <v>0</v>
      </c>
      <c r="AN32" s="368">
        <f t="shared" si="20"/>
        <v>0</v>
      </c>
      <c r="AO32" s="368">
        <f t="shared" si="20"/>
        <v>0</v>
      </c>
      <c r="AP32" s="368">
        <f t="shared" si="20"/>
        <v>0</v>
      </c>
      <c r="AQ32" s="368">
        <f t="shared" si="20"/>
        <v>0</v>
      </c>
      <c r="AR32" s="368">
        <f t="shared" si="20"/>
        <v>0</v>
      </c>
      <c r="AS32" s="368">
        <f t="shared" si="20"/>
        <v>0</v>
      </c>
      <c r="AT32" s="368">
        <f t="shared" si="20"/>
        <v>0</v>
      </c>
      <c r="AW32" s="361"/>
      <c r="AX32" s="361"/>
      <c r="AY32" s="361"/>
      <c r="AZ32" s="361"/>
      <c r="BA32" s="361"/>
      <c r="BB32" s="361"/>
      <c r="BC32" s="361"/>
      <c r="BD32" s="361"/>
      <c r="BE32" s="361"/>
      <c r="BF32" s="361"/>
      <c r="BG32" s="361"/>
      <c r="BH32" s="361"/>
      <c r="BJ32" s="369">
        <f t="shared" ref="BJ32:BU53" si="21">$Q32*$S32/12*V32</f>
        <v>0</v>
      </c>
      <c r="BK32" s="369">
        <f t="shared" si="21"/>
        <v>0</v>
      </c>
      <c r="BL32" s="369">
        <f t="shared" si="21"/>
        <v>0</v>
      </c>
      <c r="BM32" s="369">
        <f t="shared" si="21"/>
        <v>0</v>
      </c>
      <c r="BN32" s="369">
        <f t="shared" si="21"/>
        <v>0</v>
      </c>
      <c r="BO32" s="369">
        <f t="shared" si="21"/>
        <v>0</v>
      </c>
      <c r="BP32" s="369">
        <f t="shared" si="21"/>
        <v>0</v>
      </c>
      <c r="BQ32" s="369">
        <f t="shared" si="21"/>
        <v>0</v>
      </c>
      <c r="BR32" s="369">
        <f t="shared" si="21"/>
        <v>0</v>
      </c>
      <c r="BS32" s="369">
        <f t="shared" si="21"/>
        <v>0</v>
      </c>
      <c r="BT32" s="369">
        <f t="shared" si="21"/>
        <v>0</v>
      </c>
      <c r="BU32" s="369">
        <f t="shared" si="21"/>
        <v>0</v>
      </c>
      <c r="BW32" s="369" t="e">
        <f>AI32+#REF!+#REF!+#REF!+AW32+BJ32</f>
        <v>#REF!</v>
      </c>
      <c r="BX32" s="369" t="e">
        <f>AJ32+#REF!+#REF!+#REF!+AX32+BK32</f>
        <v>#REF!</v>
      </c>
      <c r="BY32" s="369" t="e">
        <f>AK32+#REF!+#REF!+#REF!+AY32+BL32</f>
        <v>#REF!</v>
      </c>
      <c r="BZ32" s="369" t="e">
        <f>AL32+#REF!+#REF!+#REF!+AZ32+BM32</f>
        <v>#REF!</v>
      </c>
      <c r="CA32" s="369" t="e">
        <f>AM32+#REF!+#REF!+#REF!+BA32+BN32</f>
        <v>#REF!</v>
      </c>
      <c r="CB32" s="369" t="e">
        <f>AN32+#REF!+#REF!+#REF!+BB32+BO32</f>
        <v>#REF!</v>
      </c>
      <c r="CC32" s="369" t="e">
        <f>AO32+#REF!+#REF!+#REF!+BC32+BP32</f>
        <v>#REF!</v>
      </c>
      <c r="CD32" s="369" t="e">
        <f>AP32+#REF!+#REF!+#REF!+BD32+BQ32</f>
        <v>#REF!</v>
      </c>
      <c r="CE32" s="369" t="e">
        <f>AQ32+#REF!+#REF!+#REF!+BE32+BR32</f>
        <v>#REF!</v>
      </c>
      <c r="CF32" s="369" t="e">
        <f>AR32+#REF!+#REF!+#REF!+BF32+BS32</f>
        <v>#REF!</v>
      </c>
      <c r="CG32" s="369" t="e">
        <f>AS32+#REF!+#REF!+#REF!+BG32+BT32</f>
        <v>#REF!</v>
      </c>
      <c r="CH32" s="369" t="e">
        <f>AT32+#REF!+#REF!+#REF!+BH32+BU32</f>
        <v>#REF!</v>
      </c>
    </row>
    <row r="33" spans="11:86" ht="16" hidden="1" x14ac:dyDescent="0.2">
      <c r="K33" s="359"/>
      <c r="L33" s="360"/>
      <c r="M33" s="361"/>
      <c r="N33" s="362"/>
      <c r="O33" s="361"/>
      <c r="P33" s="363">
        <v>5.0000000000000001E-3</v>
      </c>
      <c r="Q33" s="364">
        <f t="shared" si="14"/>
        <v>0</v>
      </c>
      <c r="R33" s="365">
        <v>0</v>
      </c>
      <c r="S33" s="365">
        <v>0.30499999999999999</v>
      </c>
      <c r="T33" s="366">
        <f t="shared" si="15"/>
        <v>0</v>
      </c>
      <c r="V33" s="367"/>
      <c r="W33" s="367"/>
      <c r="X33" s="367"/>
      <c r="Y33" s="367"/>
      <c r="Z33" s="367"/>
      <c r="AA33" s="367"/>
      <c r="AB33" s="367"/>
      <c r="AC33" s="367"/>
      <c r="AD33" s="367"/>
      <c r="AE33" s="367"/>
      <c r="AF33" s="367"/>
      <c r="AG33" s="367"/>
      <c r="AI33" s="368">
        <f t="shared" si="20"/>
        <v>0</v>
      </c>
      <c r="AJ33" s="368">
        <f t="shared" si="20"/>
        <v>0</v>
      </c>
      <c r="AK33" s="368">
        <f t="shared" si="20"/>
        <v>0</v>
      </c>
      <c r="AL33" s="368">
        <f t="shared" si="20"/>
        <v>0</v>
      </c>
      <c r="AM33" s="368">
        <f t="shared" si="20"/>
        <v>0</v>
      </c>
      <c r="AN33" s="368">
        <f t="shared" si="20"/>
        <v>0</v>
      </c>
      <c r="AO33" s="368">
        <f t="shared" si="20"/>
        <v>0</v>
      </c>
      <c r="AP33" s="368">
        <f t="shared" si="20"/>
        <v>0</v>
      </c>
      <c r="AQ33" s="368">
        <f t="shared" si="20"/>
        <v>0</v>
      </c>
      <c r="AR33" s="368">
        <f t="shared" si="20"/>
        <v>0</v>
      </c>
      <c r="AS33" s="368">
        <f t="shared" si="20"/>
        <v>0</v>
      </c>
      <c r="AT33" s="368">
        <f t="shared" si="20"/>
        <v>0</v>
      </c>
      <c r="AW33" s="361"/>
      <c r="AX33" s="361"/>
      <c r="AY33" s="361"/>
      <c r="AZ33" s="361"/>
      <c r="BA33" s="361"/>
      <c r="BB33" s="361"/>
      <c r="BC33" s="361"/>
      <c r="BD33" s="361"/>
      <c r="BE33" s="361"/>
      <c r="BF33" s="361"/>
      <c r="BG33" s="361"/>
      <c r="BH33" s="361"/>
      <c r="BJ33" s="369">
        <f t="shared" si="21"/>
        <v>0</v>
      </c>
      <c r="BK33" s="369">
        <f t="shared" si="21"/>
        <v>0</v>
      </c>
      <c r="BL33" s="369">
        <f t="shared" si="21"/>
        <v>0</v>
      </c>
      <c r="BM33" s="369">
        <f t="shared" si="21"/>
        <v>0</v>
      </c>
      <c r="BN33" s="369">
        <f t="shared" si="21"/>
        <v>0</v>
      </c>
      <c r="BO33" s="369">
        <f t="shared" si="21"/>
        <v>0</v>
      </c>
      <c r="BP33" s="369">
        <f t="shared" si="21"/>
        <v>0</v>
      </c>
      <c r="BQ33" s="369">
        <f t="shared" si="21"/>
        <v>0</v>
      </c>
      <c r="BR33" s="369">
        <f t="shared" si="21"/>
        <v>0</v>
      </c>
      <c r="BS33" s="369">
        <f t="shared" si="21"/>
        <v>0</v>
      </c>
      <c r="BT33" s="369">
        <f t="shared" si="21"/>
        <v>0</v>
      </c>
      <c r="BU33" s="369">
        <f t="shared" si="21"/>
        <v>0</v>
      </c>
      <c r="BW33" s="369" t="e">
        <f>AI33+#REF!+#REF!+#REF!+AW33+BJ33</f>
        <v>#REF!</v>
      </c>
      <c r="BX33" s="369" t="e">
        <f>AJ33+#REF!+#REF!+#REF!+AX33+BK33</f>
        <v>#REF!</v>
      </c>
      <c r="BY33" s="369" t="e">
        <f>AK33+#REF!+#REF!+#REF!+AY33+BL33</f>
        <v>#REF!</v>
      </c>
      <c r="BZ33" s="369" t="e">
        <f>AL33+#REF!+#REF!+#REF!+AZ33+BM33</f>
        <v>#REF!</v>
      </c>
      <c r="CA33" s="369" t="e">
        <f>AM33+#REF!+#REF!+#REF!+BA33+BN33</f>
        <v>#REF!</v>
      </c>
      <c r="CB33" s="369" t="e">
        <f>AN33+#REF!+#REF!+#REF!+BB33+BO33</f>
        <v>#REF!</v>
      </c>
      <c r="CC33" s="369" t="e">
        <f>AO33+#REF!+#REF!+#REF!+BC33+BP33</f>
        <v>#REF!</v>
      </c>
      <c r="CD33" s="369" t="e">
        <f>AP33+#REF!+#REF!+#REF!+BD33+BQ33</f>
        <v>#REF!</v>
      </c>
      <c r="CE33" s="369" t="e">
        <f>AQ33+#REF!+#REF!+#REF!+BE33+BR33</f>
        <v>#REF!</v>
      </c>
      <c r="CF33" s="369" t="e">
        <f>AR33+#REF!+#REF!+#REF!+BF33+BS33</f>
        <v>#REF!</v>
      </c>
      <c r="CG33" s="369" t="e">
        <f>AS33+#REF!+#REF!+#REF!+BG33+BT33</f>
        <v>#REF!</v>
      </c>
      <c r="CH33" s="369" t="e">
        <f>AT33+#REF!+#REF!+#REF!+BH33+BU33</f>
        <v>#REF!</v>
      </c>
    </row>
    <row r="34" spans="11:86" ht="16" hidden="1" x14ac:dyDescent="0.2">
      <c r="K34" s="359"/>
      <c r="L34" s="360"/>
      <c r="M34" s="361"/>
      <c r="N34" s="374"/>
      <c r="O34" s="361"/>
      <c r="P34" s="363">
        <v>5.0000000000000001E-3</v>
      </c>
      <c r="Q34" s="364">
        <f t="shared" si="14"/>
        <v>0</v>
      </c>
      <c r="R34" s="365">
        <v>0</v>
      </c>
      <c r="S34" s="365">
        <v>0.30499999999999999</v>
      </c>
      <c r="T34" s="366">
        <f t="shared" si="15"/>
        <v>0</v>
      </c>
      <c r="V34" s="367"/>
      <c r="W34" s="367"/>
      <c r="X34" s="367"/>
      <c r="Y34" s="367"/>
      <c r="Z34" s="367"/>
      <c r="AA34" s="367"/>
      <c r="AB34" s="367"/>
      <c r="AC34" s="367"/>
      <c r="AD34" s="367"/>
      <c r="AE34" s="367"/>
      <c r="AF34" s="367"/>
      <c r="AG34" s="367"/>
      <c r="AI34" s="368">
        <f t="shared" si="20"/>
        <v>0</v>
      </c>
      <c r="AJ34" s="368">
        <f t="shared" si="20"/>
        <v>0</v>
      </c>
      <c r="AK34" s="368">
        <f t="shared" si="20"/>
        <v>0</v>
      </c>
      <c r="AL34" s="368">
        <f t="shared" si="20"/>
        <v>0</v>
      </c>
      <c r="AM34" s="368">
        <f t="shared" si="20"/>
        <v>0</v>
      </c>
      <c r="AN34" s="368">
        <f t="shared" si="20"/>
        <v>0</v>
      </c>
      <c r="AO34" s="368">
        <f t="shared" si="20"/>
        <v>0</v>
      </c>
      <c r="AP34" s="368">
        <f t="shared" si="20"/>
        <v>0</v>
      </c>
      <c r="AQ34" s="368">
        <f t="shared" si="20"/>
        <v>0</v>
      </c>
      <c r="AR34" s="368">
        <f t="shared" si="20"/>
        <v>0</v>
      </c>
      <c r="AS34" s="368">
        <f t="shared" si="20"/>
        <v>0</v>
      </c>
      <c r="AT34" s="368">
        <f t="shared" si="20"/>
        <v>0</v>
      </c>
      <c r="AW34" s="361"/>
      <c r="AX34" s="361"/>
      <c r="AY34" s="361"/>
      <c r="AZ34" s="361"/>
      <c r="BA34" s="361"/>
      <c r="BB34" s="361"/>
      <c r="BC34" s="361"/>
      <c r="BD34" s="361"/>
      <c r="BE34" s="361"/>
      <c r="BF34" s="361"/>
      <c r="BG34" s="361"/>
      <c r="BH34" s="361"/>
      <c r="BJ34" s="369">
        <f t="shared" si="21"/>
        <v>0</v>
      </c>
      <c r="BK34" s="369">
        <f t="shared" si="21"/>
        <v>0</v>
      </c>
      <c r="BL34" s="369">
        <f t="shared" si="21"/>
        <v>0</v>
      </c>
      <c r="BM34" s="369">
        <f t="shared" si="21"/>
        <v>0</v>
      </c>
      <c r="BN34" s="369">
        <f t="shared" si="21"/>
        <v>0</v>
      </c>
      <c r="BO34" s="369">
        <f t="shared" si="21"/>
        <v>0</v>
      </c>
      <c r="BP34" s="369">
        <f t="shared" si="21"/>
        <v>0</v>
      </c>
      <c r="BQ34" s="369">
        <f t="shared" si="21"/>
        <v>0</v>
      </c>
      <c r="BR34" s="369">
        <f t="shared" si="21"/>
        <v>0</v>
      </c>
      <c r="BS34" s="369">
        <f t="shared" si="21"/>
        <v>0</v>
      </c>
      <c r="BT34" s="369">
        <f t="shared" si="21"/>
        <v>0</v>
      </c>
      <c r="BU34" s="369">
        <f t="shared" si="21"/>
        <v>0</v>
      </c>
      <c r="BW34" s="369" t="e">
        <f>AI34+#REF!+#REF!+#REF!+AW34+BJ34</f>
        <v>#REF!</v>
      </c>
      <c r="BX34" s="369" t="e">
        <f>AJ34+#REF!+#REF!+#REF!+AX34+BK34</f>
        <v>#REF!</v>
      </c>
      <c r="BY34" s="369" t="e">
        <f>AK34+#REF!+#REF!+#REF!+AY34+BL34</f>
        <v>#REF!</v>
      </c>
      <c r="BZ34" s="369" t="e">
        <f>AL34+#REF!+#REF!+#REF!+AZ34+BM34</f>
        <v>#REF!</v>
      </c>
      <c r="CA34" s="369" t="e">
        <f>AM34+#REF!+#REF!+#REF!+BA34+BN34</f>
        <v>#REF!</v>
      </c>
      <c r="CB34" s="369" t="e">
        <f>AN34+#REF!+#REF!+#REF!+BB34+BO34</f>
        <v>#REF!</v>
      </c>
      <c r="CC34" s="369" t="e">
        <f>AO34+#REF!+#REF!+#REF!+BC34+BP34</f>
        <v>#REF!</v>
      </c>
      <c r="CD34" s="369" t="e">
        <f>AP34+#REF!+#REF!+#REF!+BD34+BQ34</f>
        <v>#REF!</v>
      </c>
      <c r="CE34" s="369" t="e">
        <f>AQ34+#REF!+#REF!+#REF!+BE34+BR34</f>
        <v>#REF!</v>
      </c>
      <c r="CF34" s="369" t="e">
        <f>AR34+#REF!+#REF!+#REF!+BF34+BS34</f>
        <v>#REF!</v>
      </c>
      <c r="CG34" s="369" t="e">
        <f>AS34+#REF!+#REF!+#REF!+BG34+BT34</f>
        <v>#REF!</v>
      </c>
      <c r="CH34" s="369" t="e">
        <f>AT34+#REF!+#REF!+#REF!+BH34+BU34</f>
        <v>#REF!</v>
      </c>
    </row>
    <row r="35" spans="11:86" ht="16" hidden="1" x14ac:dyDescent="0.2">
      <c r="K35" s="359"/>
      <c r="L35" s="360"/>
      <c r="M35" s="361"/>
      <c r="N35" s="374"/>
      <c r="O35" s="361"/>
      <c r="P35" s="363">
        <v>5.0000000000000001E-3</v>
      </c>
      <c r="Q35" s="364">
        <f t="shared" si="14"/>
        <v>0</v>
      </c>
      <c r="R35" s="365">
        <v>0</v>
      </c>
      <c r="S35" s="365">
        <v>0.30499999999999999</v>
      </c>
      <c r="T35" s="366">
        <f t="shared" si="15"/>
        <v>0</v>
      </c>
      <c r="V35" s="367"/>
      <c r="W35" s="367"/>
      <c r="X35" s="367"/>
      <c r="Y35" s="367"/>
      <c r="Z35" s="367"/>
      <c r="AA35" s="367"/>
      <c r="AB35" s="367"/>
      <c r="AC35" s="367"/>
      <c r="AD35" s="367"/>
      <c r="AE35" s="367"/>
      <c r="AF35" s="367"/>
      <c r="AG35" s="367"/>
      <c r="AI35" s="368">
        <f t="shared" si="20"/>
        <v>0</v>
      </c>
      <c r="AJ35" s="368">
        <f t="shared" si="20"/>
        <v>0</v>
      </c>
      <c r="AK35" s="368">
        <f t="shared" si="20"/>
        <v>0</v>
      </c>
      <c r="AL35" s="368">
        <f t="shared" si="20"/>
        <v>0</v>
      </c>
      <c r="AM35" s="368">
        <f t="shared" si="20"/>
        <v>0</v>
      </c>
      <c r="AN35" s="368">
        <f t="shared" si="20"/>
        <v>0</v>
      </c>
      <c r="AO35" s="368">
        <f t="shared" si="20"/>
        <v>0</v>
      </c>
      <c r="AP35" s="368">
        <f t="shared" si="20"/>
        <v>0</v>
      </c>
      <c r="AQ35" s="368">
        <f t="shared" si="20"/>
        <v>0</v>
      </c>
      <c r="AR35" s="368">
        <f t="shared" si="20"/>
        <v>0</v>
      </c>
      <c r="AS35" s="368">
        <f t="shared" si="20"/>
        <v>0</v>
      </c>
      <c r="AT35" s="368">
        <f t="shared" si="20"/>
        <v>0</v>
      </c>
      <c r="AW35" s="361"/>
      <c r="AX35" s="361"/>
      <c r="AY35" s="361"/>
      <c r="AZ35" s="361"/>
      <c r="BA35" s="361"/>
      <c r="BB35" s="361"/>
      <c r="BC35" s="361"/>
      <c r="BD35" s="361"/>
      <c r="BE35" s="361"/>
      <c r="BF35" s="361"/>
      <c r="BG35" s="361"/>
      <c r="BH35" s="361"/>
      <c r="BJ35" s="369">
        <f t="shared" si="21"/>
        <v>0</v>
      </c>
      <c r="BK35" s="369">
        <f t="shared" si="21"/>
        <v>0</v>
      </c>
      <c r="BL35" s="369">
        <f t="shared" si="21"/>
        <v>0</v>
      </c>
      <c r="BM35" s="369">
        <f t="shared" si="21"/>
        <v>0</v>
      </c>
      <c r="BN35" s="369">
        <f t="shared" si="21"/>
        <v>0</v>
      </c>
      <c r="BO35" s="369">
        <f t="shared" si="21"/>
        <v>0</v>
      </c>
      <c r="BP35" s="369">
        <f t="shared" si="21"/>
        <v>0</v>
      </c>
      <c r="BQ35" s="369">
        <f t="shared" si="21"/>
        <v>0</v>
      </c>
      <c r="BR35" s="369">
        <f t="shared" si="21"/>
        <v>0</v>
      </c>
      <c r="BS35" s="369">
        <f t="shared" si="21"/>
        <v>0</v>
      </c>
      <c r="BT35" s="369">
        <f t="shared" si="21"/>
        <v>0</v>
      </c>
      <c r="BU35" s="369">
        <f t="shared" si="21"/>
        <v>0</v>
      </c>
      <c r="BW35" s="369" t="e">
        <f>AI35+#REF!+#REF!+#REF!+AW35+BJ35</f>
        <v>#REF!</v>
      </c>
      <c r="BX35" s="369" t="e">
        <f>AJ35+#REF!+#REF!+#REF!+AX35+BK35</f>
        <v>#REF!</v>
      </c>
      <c r="BY35" s="369" t="e">
        <f>AK35+#REF!+#REF!+#REF!+AY35+BL35</f>
        <v>#REF!</v>
      </c>
      <c r="BZ35" s="369" t="e">
        <f>AL35+#REF!+#REF!+#REF!+AZ35+BM35</f>
        <v>#REF!</v>
      </c>
      <c r="CA35" s="369" t="e">
        <f>AM35+#REF!+#REF!+#REF!+BA35+BN35</f>
        <v>#REF!</v>
      </c>
      <c r="CB35" s="369" t="e">
        <f>AN35+#REF!+#REF!+#REF!+BB35+BO35</f>
        <v>#REF!</v>
      </c>
      <c r="CC35" s="369" t="e">
        <f>AO35+#REF!+#REF!+#REF!+BC35+BP35</f>
        <v>#REF!</v>
      </c>
      <c r="CD35" s="369" t="e">
        <f>AP35+#REF!+#REF!+#REF!+BD35+BQ35</f>
        <v>#REF!</v>
      </c>
      <c r="CE35" s="369" t="e">
        <f>AQ35+#REF!+#REF!+#REF!+BE35+BR35</f>
        <v>#REF!</v>
      </c>
      <c r="CF35" s="369" t="e">
        <f>AR35+#REF!+#REF!+#REF!+BF35+BS35</f>
        <v>#REF!</v>
      </c>
      <c r="CG35" s="369" t="e">
        <f>AS35+#REF!+#REF!+#REF!+BG35+BT35</f>
        <v>#REF!</v>
      </c>
      <c r="CH35" s="369" t="e">
        <f>AT35+#REF!+#REF!+#REF!+BH35+BU35</f>
        <v>#REF!</v>
      </c>
    </row>
    <row r="36" spans="11:86" ht="16" hidden="1" x14ac:dyDescent="0.2">
      <c r="K36" s="359"/>
      <c r="L36" s="360"/>
      <c r="M36" s="361"/>
      <c r="N36" s="374"/>
      <c r="O36" s="361"/>
      <c r="P36" s="363">
        <v>5.0000000000000001E-3</v>
      </c>
      <c r="Q36" s="364">
        <f t="shared" si="14"/>
        <v>0</v>
      </c>
      <c r="R36" s="365">
        <v>0</v>
      </c>
      <c r="S36" s="365">
        <v>0.30499999999999999</v>
      </c>
      <c r="T36" s="366">
        <f t="shared" si="15"/>
        <v>0</v>
      </c>
      <c r="V36" s="367"/>
      <c r="W36" s="367"/>
      <c r="X36" s="367"/>
      <c r="Y36" s="367"/>
      <c r="Z36" s="367"/>
      <c r="AA36" s="367"/>
      <c r="AB36" s="367"/>
      <c r="AC36" s="367"/>
      <c r="AD36" s="367"/>
      <c r="AE36" s="367"/>
      <c r="AF36" s="367"/>
      <c r="AG36" s="367"/>
      <c r="AI36" s="368">
        <f t="shared" si="20"/>
        <v>0</v>
      </c>
      <c r="AJ36" s="368">
        <f t="shared" si="20"/>
        <v>0</v>
      </c>
      <c r="AK36" s="368">
        <f t="shared" si="20"/>
        <v>0</v>
      </c>
      <c r="AL36" s="368">
        <f t="shared" si="20"/>
        <v>0</v>
      </c>
      <c r="AM36" s="368">
        <f t="shared" si="20"/>
        <v>0</v>
      </c>
      <c r="AN36" s="368">
        <f t="shared" si="20"/>
        <v>0</v>
      </c>
      <c r="AO36" s="368">
        <f t="shared" si="20"/>
        <v>0</v>
      </c>
      <c r="AP36" s="368">
        <f t="shared" si="20"/>
        <v>0</v>
      </c>
      <c r="AQ36" s="368">
        <f t="shared" si="20"/>
        <v>0</v>
      </c>
      <c r="AR36" s="368">
        <f t="shared" si="20"/>
        <v>0</v>
      </c>
      <c r="AS36" s="368">
        <f t="shared" si="20"/>
        <v>0</v>
      </c>
      <c r="AT36" s="368">
        <f t="shared" si="20"/>
        <v>0</v>
      </c>
      <c r="AW36" s="361"/>
      <c r="AX36" s="361"/>
      <c r="AY36" s="361"/>
      <c r="AZ36" s="361"/>
      <c r="BA36" s="361"/>
      <c r="BB36" s="361"/>
      <c r="BC36" s="361"/>
      <c r="BD36" s="361"/>
      <c r="BE36" s="361"/>
      <c r="BF36" s="361"/>
      <c r="BG36" s="361"/>
      <c r="BH36" s="361"/>
      <c r="BJ36" s="369">
        <f t="shared" si="21"/>
        <v>0</v>
      </c>
      <c r="BK36" s="369">
        <f t="shared" si="21"/>
        <v>0</v>
      </c>
      <c r="BL36" s="369">
        <f t="shared" si="21"/>
        <v>0</v>
      </c>
      <c r="BM36" s="369">
        <f t="shared" si="21"/>
        <v>0</v>
      </c>
      <c r="BN36" s="369">
        <f t="shared" si="21"/>
        <v>0</v>
      </c>
      <c r="BO36" s="369">
        <f t="shared" si="21"/>
        <v>0</v>
      </c>
      <c r="BP36" s="369">
        <f t="shared" si="21"/>
        <v>0</v>
      </c>
      <c r="BQ36" s="369">
        <f t="shared" si="21"/>
        <v>0</v>
      </c>
      <c r="BR36" s="369">
        <f t="shared" si="21"/>
        <v>0</v>
      </c>
      <c r="BS36" s="369">
        <f t="shared" si="21"/>
        <v>0</v>
      </c>
      <c r="BT36" s="369">
        <f t="shared" si="21"/>
        <v>0</v>
      </c>
      <c r="BU36" s="369">
        <f t="shared" si="21"/>
        <v>0</v>
      </c>
      <c r="BW36" s="369" t="e">
        <f>AI36+#REF!+#REF!+#REF!+AW36+BJ36</f>
        <v>#REF!</v>
      </c>
      <c r="BX36" s="369" t="e">
        <f>AJ36+#REF!+#REF!+#REF!+AX36+BK36</f>
        <v>#REF!</v>
      </c>
      <c r="BY36" s="369" t="e">
        <f>AK36+#REF!+#REF!+#REF!+AY36+BL36</f>
        <v>#REF!</v>
      </c>
      <c r="BZ36" s="369" t="e">
        <f>AL36+#REF!+#REF!+#REF!+AZ36+BM36</f>
        <v>#REF!</v>
      </c>
      <c r="CA36" s="369" t="e">
        <f>AM36+#REF!+#REF!+#REF!+BA36+BN36</f>
        <v>#REF!</v>
      </c>
      <c r="CB36" s="369" t="e">
        <f>AN36+#REF!+#REF!+#REF!+BB36+BO36</f>
        <v>#REF!</v>
      </c>
      <c r="CC36" s="369" t="e">
        <f>AO36+#REF!+#REF!+#REF!+BC36+BP36</f>
        <v>#REF!</v>
      </c>
      <c r="CD36" s="369" t="e">
        <f>AP36+#REF!+#REF!+#REF!+BD36+BQ36</f>
        <v>#REF!</v>
      </c>
      <c r="CE36" s="369" t="e">
        <f>AQ36+#REF!+#REF!+#REF!+BE36+BR36</f>
        <v>#REF!</v>
      </c>
      <c r="CF36" s="369" t="e">
        <f>AR36+#REF!+#REF!+#REF!+BF36+BS36</f>
        <v>#REF!</v>
      </c>
      <c r="CG36" s="369" t="e">
        <f>AS36+#REF!+#REF!+#REF!+BG36+BT36</f>
        <v>#REF!</v>
      </c>
      <c r="CH36" s="369" t="e">
        <f>AT36+#REF!+#REF!+#REF!+BH36+BU36</f>
        <v>#REF!</v>
      </c>
    </row>
    <row r="37" spans="11:86" ht="16" hidden="1" x14ac:dyDescent="0.2">
      <c r="K37" s="359"/>
      <c r="L37" s="360"/>
      <c r="M37" s="361"/>
      <c r="N37" s="374"/>
      <c r="O37" s="361"/>
      <c r="P37" s="363">
        <v>5.0000000000000001E-3</v>
      </c>
      <c r="Q37" s="364">
        <f t="shared" si="14"/>
        <v>0</v>
      </c>
      <c r="R37" s="365">
        <v>0</v>
      </c>
      <c r="S37" s="365">
        <v>0.30499999999999999</v>
      </c>
      <c r="T37" s="366">
        <f t="shared" si="15"/>
        <v>0</v>
      </c>
      <c r="V37" s="367"/>
      <c r="W37" s="367"/>
      <c r="X37" s="367"/>
      <c r="Y37" s="367"/>
      <c r="Z37" s="367"/>
      <c r="AA37" s="367"/>
      <c r="AB37" s="367"/>
      <c r="AC37" s="367"/>
      <c r="AD37" s="367"/>
      <c r="AE37" s="367"/>
      <c r="AF37" s="367"/>
      <c r="AG37" s="367"/>
      <c r="AI37" s="368">
        <f t="shared" si="20"/>
        <v>0</v>
      </c>
      <c r="AJ37" s="368">
        <f t="shared" si="20"/>
        <v>0</v>
      </c>
      <c r="AK37" s="368">
        <f t="shared" si="20"/>
        <v>0</v>
      </c>
      <c r="AL37" s="368">
        <f t="shared" si="20"/>
        <v>0</v>
      </c>
      <c r="AM37" s="368">
        <f t="shared" si="20"/>
        <v>0</v>
      </c>
      <c r="AN37" s="368">
        <f t="shared" si="20"/>
        <v>0</v>
      </c>
      <c r="AO37" s="368">
        <f t="shared" si="20"/>
        <v>0</v>
      </c>
      <c r="AP37" s="368">
        <f t="shared" si="20"/>
        <v>0</v>
      </c>
      <c r="AQ37" s="368">
        <f t="shared" si="20"/>
        <v>0</v>
      </c>
      <c r="AR37" s="368">
        <f t="shared" si="20"/>
        <v>0</v>
      </c>
      <c r="AS37" s="368">
        <f t="shared" si="20"/>
        <v>0</v>
      </c>
      <c r="AT37" s="368">
        <f t="shared" si="20"/>
        <v>0</v>
      </c>
      <c r="AW37" s="361"/>
      <c r="AX37" s="361"/>
      <c r="AY37" s="361"/>
      <c r="AZ37" s="361"/>
      <c r="BA37" s="361"/>
      <c r="BB37" s="361"/>
      <c r="BC37" s="361"/>
      <c r="BD37" s="361"/>
      <c r="BE37" s="361"/>
      <c r="BF37" s="361"/>
      <c r="BG37" s="361"/>
      <c r="BH37" s="361"/>
      <c r="BJ37" s="369">
        <f t="shared" si="21"/>
        <v>0</v>
      </c>
      <c r="BK37" s="369">
        <f t="shared" si="21"/>
        <v>0</v>
      </c>
      <c r="BL37" s="369">
        <f t="shared" si="21"/>
        <v>0</v>
      </c>
      <c r="BM37" s="369">
        <f t="shared" si="21"/>
        <v>0</v>
      </c>
      <c r="BN37" s="369">
        <f t="shared" si="21"/>
        <v>0</v>
      </c>
      <c r="BO37" s="369">
        <f t="shared" si="21"/>
        <v>0</v>
      </c>
      <c r="BP37" s="369">
        <f t="shared" si="21"/>
        <v>0</v>
      </c>
      <c r="BQ37" s="369">
        <f t="shared" si="21"/>
        <v>0</v>
      </c>
      <c r="BR37" s="369">
        <f t="shared" si="21"/>
        <v>0</v>
      </c>
      <c r="BS37" s="369">
        <f t="shared" si="21"/>
        <v>0</v>
      </c>
      <c r="BT37" s="369">
        <f t="shared" si="21"/>
        <v>0</v>
      </c>
      <c r="BU37" s="369">
        <f t="shared" si="21"/>
        <v>0</v>
      </c>
      <c r="BW37" s="369" t="e">
        <f>AI37+#REF!+#REF!+#REF!+AW37+BJ37</f>
        <v>#REF!</v>
      </c>
      <c r="BX37" s="369" t="e">
        <f>AJ37+#REF!+#REF!+#REF!+AX37+BK37</f>
        <v>#REF!</v>
      </c>
      <c r="BY37" s="369" t="e">
        <f>AK37+#REF!+#REF!+#REF!+AY37+BL37</f>
        <v>#REF!</v>
      </c>
      <c r="BZ37" s="369" t="e">
        <f>AL37+#REF!+#REF!+#REF!+AZ37+BM37</f>
        <v>#REF!</v>
      </c>
      <c r="CA37" s="369" t="e">
        <f>AM37+#REF!+#REF!+#REF!+BA37+BN37</f>
        <v>#REF!</v>
      </c>
      <c r="CB37" s="369" t="e">
        <f>AN37+#REF!+#REF!+#REF!+BB37+BO37</f>
        <v>#REF!</v>
      </c>
      <c r="CC37" s="369" t="e">
        <f>AO37+#REF!+#REF!+#REF!+BC37+BP37</f>
        <v>#REF!</v>
      </c>
      <c r="CD37" s="369" t="e">
        <f>AP37+#REF!+#REF!+#REF!+BD37+BQ37</f>
        <v>#REF!</v>
      </c>
      <c r="CE37" s="369" t="e">
        <f>AQ37+#REF!+#REF!+#REF!+BE37+BR37</f>
        <v>#REF!</v>
      </c>
      <c r="CF37" s="369" t="e">
        <f>AR37+#REF!+#REF!+#REF!+BF37+BS37</f>
        <v>#REF!</v>
      </c>
      <c r="CG37" s="369" t="e">
        <f>AS37+#REF!+#REF!+#REF!+BG37+BT37</f>
        <v>#REF!</v>
      </c>
      <c r="CH37" s="369" t="e">
        <f>AT37+#REF!+#REF!+#REF!+BH37+BU37</f>
        <v>#REF!</v>
      </c>
    </row>
    <row r="38" spans="11:86" ht="16" hidden="1" x14ac:dyDescent="0.2">
      <c r="K38" s="359"/>
      <c r="L38" s="360"/>
      <c r="M38" s="361"/>
      <c r="N38" s="374"/>
      <c r="O38" s="361"/>
      <c r="P38" s="363">
        <v>5.0000000000000001E-3</v>
      </c>
      <c r="Q38" s="364">
        <f t="shared" si="14"/>
        <v>0</v>
      </c>
      <c r="R38" s="365">
        <v>0</v>
      </c>
      <c r="S38" s="365">
        <v>0.30499999999999999</v>
      </c>
      <c r="T38" s="366">
        <f t="shared" si="15"/>
        <v>0</v>
      </c>
      <c r="V38" s="367"/>
      <c r="W38" s="367"/>
      <c r="X38" s="367"/>
      <c r="Y38" s="367"/>
      <c r="Z38" s="367"/>
      <c r="AA38" s="367"/>
      <c r="AB38" s="367"/>
      <c r="AC38" s="367"/>
      <c r="AD38" s="367"/>
      <c r="AE38" s="367"/>
      <c r="AF38" s="367"/>
      <c r="AG38" s="367"/>
      <c r="AI38" s="368">
        <f t="shared" si="20"/>
        <v>0</v>
      </c>
      <c r="AJ38" s="368">
        <f t="shared" si="20"/>
        <v>0</v>
      </c>
      <c r="AK38" s="368">
        <f t="shared" si="20"/>
        <v>0</v>
      </c>
      <c r="AL38" s="368">
        <f t="shared" si="20"/>
        <v>0</v>
      </c>
      <c r="AM38" s="368">
        <f t="shared" si="20"/>
        <v>0</v>
      </c>
      <c r="AN38" s="368">
        <f t="shared" si="20"/>
        <v>0</v>
      </c>
      <c r="AO38" s="368">
        <f t="shared" si="20"/>
        <v>0</v>
      </c>
      <c r="AP38" s="368">
        <f t="shared" si="20"/>
        <v>0</v>
      </c>
      <c r="AQ38" s="368">
        <f t="shared" si="20"/>
        <v>0</v>
      </c>
      <c r="AR38" s="368">
        <f t="shared" si="20"/>
        <v>0</v>
      </c>
      <c r="AS38" s="368">
        <f t="shared" si="20"/>
        <v>0</v>
      </c>
      <c r="AT38" s="368">
        <f t="shared" si="20"/>
        <v>0</v>
      </c>
      <c r="AW38" s="361"/>
      <c r="AX38" s="361"/>
      <c r="AY38" s="361"/>
      <c r="AZ38" s="361"/>
      <c r="BA38" s="361"/>
      <c r="BB38" s="361"/>
      <c r="BC38" s="361"/>
      <c r="BD38" s="361"/>
      <c r="BE38" s="361"/>
      <c r="BF38" s="361"/>
      <c r="BG38" s="361"/>
      <c r="BH38" s="361"/>
      <c r="BJ38" s="369">
        <f t="shared" si="21"/>
        <v>0</v>
      </c>
      <c r="BK38" s="369">
        <f t="shared" si="21"/>
        <v>0</v>
      </c>
      <c r="BL38" s="369">
        <f t="shared" si="21"/>
        <v>0</v>
      </c>
      <c r="BM38" s="369">
        <f t="shared" si="21"/>
        <v>0</v>
      </c>
      <c r="BN38" s="369">
        <f t="shared" si="21"/>
        <v>0</v>
      </c>
      <c r="BO38" s="369">
        <f t="shared" si="21"/>
        <v>0</v>
      </c>
      <c r="BP38" s="369">
        <f t="shared" si="21"/>
        <v>0</v>
      </c>
      <c r="BQ38" s="369">
        <f t="shared" si="21"/>
        <v>0</v>
      </c>
      <c r="BR38" s="369">
        <f t="shared" si="21"/>
        <v>0</v>
      </c>
      <c r="BS38" s="369">
        <f t="shared" si="21"/>
        <v>0</v>
      </c>
      <c r="BT38" s="369">
        <f t="shared" si="21"/>
        <v>0</v>
      </c>
      <c r="BU38" s="369">
        <f t="shared" si="21"/>
        <v>0</v>
      </c>
      <c r="BW38" s="369" t="e">
        <f>AI38+#REF!+#REF!+#REF!+AW38+BJ38</f>
        <v>#REF!</v>
      </c>
      <c r="BX38" s="369" t="e">
        <f>AJ38+#REF!+#REF!+#REF!+AX38+BK38</f>
        <v>#REF!</v>
      </c>
      <c r="BY38" s="369" t="e">
        <f>AK38+#REF!+#REF!+#REF!+AY38+BL38</f>
        <v>#REF!</v>
      </c>
      <c r="BZ38" s="369" t="e">
        <f>AL38+#REF!+#REF!+#REF!+AZ38+BM38</f>
        <v>#REF!</v>
      </c>
      <c r="CA38" s="369" t="e">
        <f>AM38+#REF!+#REF!+#REF!+BA38+BN38</f>
        <v>#REF!</v>
      </c>
      <c r="CB38" s="369" t="e">
        <f>AN38+#REF!+#REF!+#REF!+BB38+BO38</f>
        <v>#REF!</v>
      </c>
      <c r="CC38" s="369" t="e">
        <f>AO38+#REF!+#REF!+#REF!+BC38+BP38</f>
        <v>#REF!</v>
      </c>
      <c r="CD38" s="369" t="e">
        <f>AP38+#REF!+#REF!+#REF!+BD38+BQ38</f>
        <v>#REF!</v>
      </c>
      <c r="CE38" s="369" t="e">
        <f>AQ38+#REF!+#REF!+#REF!+BE38+BR38</f>
        <v>#REF!</v>
      </c>
      <c r="CF38" s="369" t="e">
        <f>AR38+#REF!+#REF!+#REF!+BF38+BS38</f>
        <v>#REF!</v>
      </c>
      <c r="CG38" s="369" t="e">
        <f>AS38+#REF!+#REF!+#REF!+BG38+BT38</f>
        <v>#REF!</v>
      </c>
      <c r="CH38" s="369" t="e">
        <f>AT38+#REF!+#REF!+#REF!+BH38+BU38</f>
        <v>#REF!</v>
      </c>
    </row>
    <row r="39" spans="11:86" ht="16" hidden="1" x14ac:dyDescent="0.2">
      <c r="K39" s="359"/>
      <c r="L39" s="360"/>
      <c r="M39" s="361"/>
      <c r="N39" s="361"/>
      <c r="O39" s="361"/>
      <c r="P39" s="363">
        <v>5.0000000000000001E-3</v>
      </c>
      <c r="Q39" s="364">
        <f t="shared" si="14"/>
        <v>0</v>
      </c>
      <c r="R39" s="365">
        <v>0</v>
      </c>
      <c r="S39" s="365">
        <v>0.30499999999999999</v>
      </c>
      <c r="T39" s="366">
        <f t="shared" si="15"/>
        <v>0</v>
      </c>
      <c r="V39" s="367"/>
      <c r="W39" s="367"/>
      <c r="X39" s="367"/>
      <c r="Y39" s="367"/>
      <c r="Z39" s="367"/>
      <c r="AA39" s="367"/>
      <c r="AB39" s="367"/>
      <c r="AC39" s="367"/>
      <c r="AD39" s="367"/>
      <c r="AE39" s="367"/>
      <c r="AF39" s="367"/>
      <c r="AG39" s="367"/>
      <c r="AI39" s="368">
        <f t="shared" si="20"/>
        <v>0</v>
      </c>
      <c r="AJ39" s="368">
        <f t="shared" si="20"/>
        <v>0</v>
      </c>
      <c r="AK39" s="368">
        <f t="shared" si="20"/>
        <v>0</v>
      </c>
      <c r="AL39" s="368">
        <f t="shared" si="20"/>
        <v>0</v>
      </c>
      <c r="AM39" s="368">
        <f t="shared" si="20"/>
        <v>0</v>
      </c>
      <c r="AN39" s="368">
        <f t="shared" si="20"/>
        <v>0</v>
      </c>
      <c r="AO39" s="368">
        <f t="shared" si="20"/>
        <v>0</v>
      </c>
      <c r="AP39" s="368">
        <f t="shared" si="20"/>
        <v>0</v>
      </c>
      <c r="AQ39" s="368">
        <f t="shared" si="20"/>
        <v>0</v>
      </c>
      <c r="AR39" s="368">
        <f t="shared" si="20"/>
        <v>0</v>
      </c>
      <c r="AS39" s="368">
        <f t="shared" si="20"/>
        <v>0</v>
      </c>
      <c r="AT39" s="368">
        <f t="shared" si="20"/>
        <v>0</v>
      </c>
      <c r="AW39" s="361"/>
      <c r="AX39" s="361"/>
      <c r="AY39" s="361"/>
      <c r="AZ39" s="361"/>
      <c r="BA39" s="361"/>
      <c r="BB39" s="361"/>
      <c r="BC39" s="361"/>
      <c r="BD39" s="361"/>
      <c r="BE39" s="361"/>
      <c r="BF39" s="361"/>
      <c r="BG39" s="361"/>
      <c r="BH39" s="361"/>
      <c r="BJ39" s="369">
        <f t="shared" si="21"/>
        <v>0</v>
      </c>
      <c r="BK39" s="369">
        <f t="shared" si="21"/>
        <v>0</v>
      </c>
      <c r="BL39" s="369">
        <f t="shared" si="21"/>
        <v>0</v>
      </c>
      <c r="BM39" s="369">
        <f t="shared" si="21"/>
        <v>0</v>
      </c>
      <c r="BN39" s="369">
        <f t="shared" si="21"/>
        <v>0</v>
      </c>
      <c r="BO39" s="369">
        <f t="shared" si="21"/>
        <v>0</v>
      </c>
      <c r="BP39" s="369">
        <f t="shared" si="21"/>
        <v>0</v>
      </c>
      <c r="BQ39" s="369">
        <f t="shared" si="21"/>
        <v>0</v>
      </c>
      <c r="BR39" s="369">
        <f t="shared" si="21"/>
        <v>0</v>
      </c>
      <c r="BS39" s="369">
        <f t="shared" si="21"/>
        <v>0</v>
      </c>
      <c r="BT39" s="369">
        <f t="shared" si="21"/>
        <v>0</v>
      </c>
      <c r="BU39" s="369">
        <f t="shared" si="21"/>
        <v>0</v>
      </c>
      <c r="BW39" s="369" t="e">
        <f>AI39+#REF!+#REF!+#REF!+AW39+BJ39</f>
        <v>#REF!</v>
      </c>
      <c r="BX39" s="369" t="e">
        <f>AJ39+#REF!+#REF!+#REF!+AX39+BK39</f>
        <v>#REF!</v>
      </c>
      <c r="BY39" s="369" t="e">
        <f>AK39+#REF!+#REF!+#REF!+AY39+BL39</f>
        <v>#REF!</v>
      </c>
      <c r="BZ39" s="369" t="e">
        <f>AL39+#REF!+#REF!+#REF!+AZ39+BM39</f>
        <v>#REF!</v>
      </c>
      <c r="CA39" s="369" t="e">
        <f>AM39+#REF!+#REF!+#REF!+BA39+BN39</f>
        <v>#REF!</v>
      </c>
      <c r="CB39" s="369" t="e">
        <f>AN39+#REF!+#REF!+#REF!+BB39+BO39</f>
        <v>#REF!</v>
      </c>
      <c r="CC39" s="369" t="e">
        <f>AO39+#REF!+#REF!+#REF!+BC39+BP39</f>
        <v>#REF!</v>
      </c>
      <c r="CD39" s="369" t="e">
        <f>AP39+#REF!+#REF!+#REF!+BD39+BQ39</f>
        <v>#REF!</v>
      </c>
      <c r="CE39" s="369" t="e">
        <f>AQ39+#REF!+#REF!+#REF!+BE39+BR39</f>
        <v>#REF!</v>
      </c>
      <c r="CF39" s="369" t="e">
        <f>AR39+#REF!+#REF!+#REF!+BF39+BS39</f>
        <v>#REF!</v>
      </c>
      <c r="CG39" s="369" t="e">
        <f>AS39+#REF!+#REF!+#REF!+BG39+BT39</f>
        <v>#REF!</v>
      </c>
      <c r="CH39" s="369" t="e">
        <f>AT39+#REF!+#REF!+#REF!+BH39+BU39</f>
        <v>#REF!</v>
      </c>
    </row>
    <row r="40" spans="11:86" ht="16" hidden="1" x14ac:dyDescent="0.2">
      <c r="K40" s="359"/>
      <c r="L40" s="360"/>
      <c r="M40" s="361"/>
      <c r="N40" s="361"/>
      <c r="O40" s="361"/>
      <c r="P40" s="363">
        <v>5.0000000000000001E-3</v>
      </c>
      <c r="Q40" s="364">
        <f t="shared" si="14"/>
        <v>0</v>
      </c>
      <c r="R40" s="365">
        <v>0</v>
      </c>
      <c r="S40" s="365">
        <v>0.30499999999999999</v>
      </c>
      <c r="T40" s="366">
        <f t="shared" si="15"/>
        <v>0</v>
      </c>
      <c r="V40" s="367"/>
      <c r="W40" s="367"/>
      <c r="X40" s="367"/>
      <c r="Y40" s="367"/>
      <c r="Z40" s="367"/>
      <c r="AA40" s="367"/>
      <c r="AB40" s="367"/>
      <c r="AC40" s="367"/>
      <c r="AD40" s="367"/>
      <c r="AE40" s="367"/>
      <c r="AF40" s="367"/>
      <c r="AG40" s="367"/>
      <c r="AI40" s="368">
        <f t="shared" si="20"/>
        <v>0</v>
      </c>
      <c r="AJ40" s="368">
        <f t="shared" si="20"/>
        <v>0</v>
      </c>
      <c r="AK40" s="368">
        <f t="shared" si="20"/>
        <v>0</v>
      </c>
      <c r="AL40" s="368">
        <f t="shared" si="20"/>
        <v>0</v>
      </c>
      <c r="AM40" s="368">
        <f t="shared" si="20"/>
        <v>0</v>
      </c>
      <c r="AN40" s="368">
        <f t="shared" si="20"/>
        <v>0</v>
      </c>
      <c r="AO40" s="368">
        <f t="shared" si="20"/>
        <v>0</v>
      </c>
      <c r="AP40" s="368">
        <f t="shared" si="20"/>
        <v>0</v>
      </c>
      <c r="AQ40" s="368">
        <f t="shared" si="20"/>
        <v>0</v>
      </c>
      <c r="AR40" s="368">
        <f t="shared" si="20"/>
        <v>0</v>
      </c>
      <c r="AS40" s="368">
        <f t="shared" si="20"/>
        <v>0</v>
      </c>
      <c r="AT40" s="368">
        <f t="shared" si="20"/>
        <v>0</v>
      </c>
      <c r="AW40" s="361"/>
      <c r="AX40" s="361"/>
      <c r="AY40" s="361"/>
      <c r="AZ40" s="361"/>
      <c r="BA40" s="361"/>
      <c r="BB40" s="361"/>
      <c r="BC40" s="361"/>
      <c r="BD40" s="361"/>
      <c r="BE40" s="361"/>
      <c r="BF40" s="361"/>
      <c r="BG40" s="361"/>
      <c r="BH40" s="361"/>
      <c r="BJ40" s="369">
        <f t="shared" si="21"/>
        <v>0</v>
      </c>
      <c r="BK40" s="369">
        <f t="shared" si="21"/>
        <v>0</v>
      </c>
      <c r="BL40" s="369">
        <f t="shared" si="21"/>
        <v>0</v>
      </c>
      <c r="BM40" s="369">
        <f t="shared" si="21"/>
        <v>0</v>
      </c>
      <c r="BN40" s="369">
        <f t="shared" si="21"/>
        <v>0</v>
      </c>
      <c r="BO40" s="369">
        <f t="shared" si="21"/>
        <v>0</v>
      </c>
      <c r="BP40" s="369">
        <f t="shared" si="21"/>
        <v>0</v>
      </c>
      <c r="BQ40" s="369">
        <f t="shared" si="21"/>
        <v>0</v>
      </c>
      <c r="BR40" s="369">
        <f t="shared" si="21"/>
        <v>0</v>
      </c>
      <c r="BS40" s="369">
        <f t="shared" si="21"/>
        <v>0</v>
      </c>
      <c r="BT40" s="369">
        <f t="shared" si="21"/>
        <v>0</v>
      </c>
      <c r="BU40" s="369">
        <f t="shared" si="21"/>
        <v>0</v>
      </c>
      <c r="BW40" s="369" t="e">
        <f>AI40+#REF!+#REF!+#REF!+AW40+BJ40</f>
        <v>#REF!</v>
      </c>
      <c r="BX40" s="369" t="e">
        <f>AJ40+#REF!+#REF!+#REF!+AX40+BK40</f>
        <v>#REF!</v>
      </c>
      <c r="BY40" s="369" t="e">
        <f>AK40+#REF!+#REF!+#REF!+AY40+BL40</f>
        <v>#REF!</v>
      </c>
      <c r="BZ40" s="369" t="e">
        <f>AL40+#REF!+#REF!+#REF!+AZ40+BM40</f>
        <v>#REF!</v>
      </c>
      <c r="CA40" s="369" t="e">
        <f>AM40+#REF!+#REF!+#REF!+BA40+BN40</f>
        <v>#REF!</v>
      </c>
      <c r="CB40" s="369" t="e">
        <f>AN40+#REF!+#REF!+#REF!+BB40+BO40</f>
        <v>#REF!</v>
      </c>
      <c r="CC40" s="369" t="e">
        <f>AO40+#REF!+#REF!+#REF!+BC40+BP40</f>
        <v>#REF!</v>
      </c>
      <c r="CD40" s="369" t="e">
        <f>AP40+#REF!+#REF!+#REF!+BD40+BQ40</f>
        <v>#REF!</v>
      </c>
      <c r="CE40" s="369" t="e">
        <f>AQ40+#REF!+#REF!+#REF!+BE40+BR40</f>
        <v>#REF!</v>
      </c>
      <c r="CF40" s="369" t="e">
        <f>AR40+#REF!+#REF!+#REF!+BF40+BS40</f>
        <v>#REF!</v>
      </c>
      <c r="CG40" s="369" t="e">
        <f>AS40+#REF!+#REF!+#REF!+BG40+BT40</f>
        <v>#REF!</v>
      </c>
      <c r="CH40" s="369" t="e">
        <f>AT40+#REF!+#REF!+#REF!+BH40+BU40</f>
        <v>#REF!</v>
      </c>
    </row>
    <row r="41" spans="11:86" ht="16" hidden="1" x14ac:dyDescent="0.2">
      <c r="K41" s="359"/>
      <c r="L41" s="360"/>
      <c r="M41" s="361"/>
      <c r="N41" s="361"/>
      <c r="O41" s="361"/>
      <c r="P41" s="363">
        <v>5.0000000000000001E-3</v>
      </c>
      <c r="Q41" s="364">
        <f t="shared" si="14"/>
        <v>0</v>
      </c>
      <c r="R41" s="365">
        <v>0</v>
      </c>
      <c r="S41" s="365">
        <v>0.30499999999999999</v>
      </c>
      <c r="T41" s="366">
        <f t="shared" si="15"/>
        <v>0</v>
      </c>
      <c r="V41" s="367"/>
      <c r="W41" s="367"/>
      <c r="X41" s="367"/>
      <c r="Y41" s="367"/>
      <c r="Z41" s="367"/>
      <c r="AA41" s="367"/>
      <c r="AB41" s="367"/>
      <c r="AC41" s="367"/>
      <c r="AD41" s="367"/>
      <c r="AE41" s="367"/>
      <c r="AF41" s="367"/>
      <c r="AG41" s="367"/>
      <c r="AI41" s="368">
        <f t="shared" si="20"/>
        <v>0</v>
      </c>
      <c r="AJ41" s="368">
        <f t="shared" si="20"/>
        <v>0</v>
      </c>
      <c r="AK41" s="368">
        <f t="shared" si="20"/>
        <v>0</v>
      </c>
      <c r="AL41" s="368">
        <f t="shared" si="20"/>
        <v>0</v>
      </c>
      <c r="AM41" s="368">
        <f t="shared" si="20"/>
        <v>0</v>
      </c>
      <c r="AN41" s="368">
        <f t="shared" si="20"/>
        <v>0</v>
      </c>
      <c r="AO41" s="368">
        <f t="shared" si="20"/>
        <v>0</v>
      </c>
      <c r="AP41" s="368">
        <f t="shared" si="20"/>
        <v>0</v>
      </c>
      <c r="AQ41" s="368">
        <f t="shared" si="20"/>
        <v>0</v>
      </c>
      <c r="AR41" s="368">
        <f t="shared" si="20"/>
        <v>0</v>
      </c>
      <c r="AS41" s="368">
        <f t="shared" si="20"/>
        <v>0</v>
      </c>
      <c r="AT41" s="368">
        <f t="shared" si="20"/>
        <v>0</v>
      </c>
      <c r="AW41" s="361"/>
      <c r="AX41" s="361"/>
      <c r="AY41" s="361"/>
      <c r="AZ41" s="361"/>
      <c r="BA41" s="361"/>
      <c r="BB41" s="361"/>
      <c r="BC41" s="361"/>
      <c r="BD41" s="361"/>
      <c r="BE41" s="361"/>
      <c r="BF41" s="361"/>
      <c r="BG41" s="361"/>
      <c r="BH41" s="361"/>
      <c r="BJ41" s="369">
        <f t="shared" si="21"/>
        <v>0</v>
      </c>
      <c r="BK41" s="369">
        <f t="shared" si="21"/>
        <v>0</v>
      </c>
      <c r="BL41" s="369">
        <f t="shared" si="21"/>
        <v>0</v>
      </c>
      <c r="BM41" s="369">
        <f t="shared" si="21"/>
        <v>0</v>
      </c>
      <c r="BN41" s="369">
        <f t="shared" si="21"/>
        <v>0</v>
      </c>
      <c r="BO41" s="369">
        <f t="shared" si="21"/>
        <v>0</v>
      </c>
      <c r="BP41" s="369">
        <f t="shared" si="21"/>
        <v>0</v>
      </c>
      <c r="BQ41" s="369">
        <f t="shared" si="21"/>
        <v>0</v>
      </c>
      <c r="BR41" s="369">
        <f t="shared" si="21"/>
        <v>0</v>
      </c>
      <c r="BS41" s="369">
        <f t="shared" si="21"/>
        <v>0</v>
      </c>
      <c r="BT41" s="369">
        <f t="shared" si="21"/>
        <v>0</v>
      </c>
      <c r="BU41" s="369">
        <f t="shared" si="21"/>
        <v>0</v>
      </c>
      <c r="BW41" s="369" t="e">
        <f>AI41+#REF!+#REF!+#REF!+AW41+BJ41</f>
        <v>#REF!</v>
      </c>
      <c r="BX41" s="369" t="e">
        <f>AJ41+#REF!+#REF!+#REF!+AX41+BK41</f>
        <v>#REF!</v>
      </c>
      <c r="BY41" s="369" t="e">
        <f>AK41+#REF!+#REF!+#REF!+AY41+BL41</f>
        <v>#REF!</v>
      </c>
      <c r="BZ41" s="369" t="e">
        <f>AL41+#REF!+#REF!+#REF!+AZ41+BM41</f>
        <v>#REF!</v>
      </c>
      <c r="CA41" s="369" t="e">
        <f>AM41+#REF!+#REF!+#REF!+BA41+BN41</f>
        <v>#REF!</v>
      </c>
      <c r="CB41" s="369" t="e">
        <f>AN41+#REF!+#REF!+#REF!+BB41+BO41</f>
        <v>#REF!</v>
      </c>
      <c r="CC41" s="369" t="e">
        <f>AO41+#REF!+#REF!+#REF!+BC41+BP41</f>
        <v>#REF!</v>
      </c>
      <c r="CD41" s="369" t="e">
        <f>AP41+#REF!+#REF!+#REF!+BD41+BQ41</f>
        <v>#REF!</v>
      </c>
      <c r="CE41" s="369" t="e">
        <f>AQ41+#REF!+#REF!+#REF!+BE41+BR41</f>
        <v>#REF!</v>
      </c>
      <c r="CF41" s="369" t="e">
        <f>AR41+#REF!+#REF!+#REF!+BF41+BS41</f>
        <v>#REF!</v>
      </c>
      <c r="CG41" s="369" t="e">
        <f>AS41+#REF!+#REF!+#REF!+BG41+BT41</f>
        <v>#REF!</v>
      </c>
      <c r="CH41" s="369" t="e">
        <f>AT41+#REF!+#REF!+#REF!+BH41+BU41</f>
        <v>#REF!</v>
      </c>
    </row>
    <row r="42" spans="11:86" ht="16" hidden="1" x14ac:dyDescent="0.2">
      <c r="K42" s="359"/>
      <c r="L42" s="360"/>
      <c r="M42" s="361"/>
      <c r="N42" s="361"/>
      <c r="O42" s="361"/>
      <c r="P42" s="363">
        <v>5.0000000000000001E-3</v>
      </c>
      <c r="Q42" s="364">
        <f t="shared" si="14"/>
        <v>0</v>
      </c>
      <c r="R42" s="365">
        <v>0</v>
      </c>
      <c r="S42" s="365">
        <v>0.30499999999999999</v>
      </c>
      <c r="T42" s="366">
        <f t="shared" si="15"/>
        <v>0</v>
      </c>
      <c r="V42" s="367"/>
      <c r="W42" s="367"/>
      <c r="X42" s="367"/>
      <c r="Y42" s="367"/>
      <c r="Z42" s="367"/>
      <c r="AA42" s="367"/>
      <c r="AB42" s="367"/>
      <c r="AC42" s="367"/>
      <c r="AD42" s="367"/>
      <c r="AE42" s="367"/>
      <c r="AF42" s="367"/>
      <c r="AG42" s="367"/>
      <c r="AI42" s="368">
        <f t="shared" si="20"/>
        <v>0</v>
      </c>
      <c r="AJ42" s="368">
        <f t="shared" si="20"/>
        <v>0</v>
      </c>
      <c r="AK42" s="368">
        <f t="shared" si="20"/>
        <v>0</v>
      </c>
      <c r="AL42" s="368">
        <f t="shared" si="20"/>
        <v>0</v>
      </c>
      <c r="AM42" s="368">
        <f t="shared" si="20"/>
        <v>0</v>
      </c>
      <c r="AN42" s="368">
        <f t="shared" si="20"/>
        <v>0</v>
      </c>
      <c r="AO42" s="368">
        <f t="shared" si="20"/>
        <v>0</v>
      </c>
      <c r="AP42" s="368">
        <f t="shared" si="20"/>
        <v>0</v>
      </c>
      <c r="AQ42" s="368">
        <f t="shared" si="20"/>
        <v>0</v>
      </c>
      <c r="AR42" s="368">
        <f t="shared" si="20"/>
        <v>0</v>
      </c>
      <c r="AS42" s="368">
        <f t="shared" si="20"/>
        <v>0</v>
      </c>
      <c r="AT42" s="368">
        <f t="shared" si="20"/>
        <v>0</v>
      </c>
      <c r="AW42" s="361"/>
      <c r="AX42" s="361"/>
      <c r="AY42" s="361"/>
      <c r="AZ42" s="361"/>
      <c r="BA42" s="361"/>
      <c r="BB42" s="361"/>
      <c r="BC42" s="361"/>
      <c r="BD42" s="361"/>
      <c r="BE42" s="361"/>
      <c r="BF42" s="361"/>
      <c r="BG42" s="361"/>
      <c r="BH42" s="361"/>
      <c r="BJ42" s="369">
        <f t="shared" si="21"/>
        <v>0</v>
      </c>
      <c r="BK42" s="369">
        <f t="shared" si="21"/>
        <v>0</v>
      </c>
      <c r="BL42" s="369">
        <f t="shared" si="21"/>
        <v>0</v>
      </c>
      <c r="BM42" s="369">
        <f t="shared" si="21"/>
        <v>0</v>
      </c>
      <c r="BN42" s="369">
        <f t="shared" si="21"/>
        <v>0</v>
      </c>
      <c r="BO42" s="369">
        <f t="shared" si="21"/>
        <v>0</v>
      </c>
      <c r="BP42" s="369">
        <f t="shared" si="21"/>
        <v>0</v>
      </c>
      <c r="BQ42" s="369">
        <f t="shared" si="21"/>
        <v>0</v>
      </c>
      <c r="BR42" s="369">
        <f t="shared" si="21"/>
        <v>0</v>
      </c>
      <c r="BS42" s="369">
        <f t="shared" si="21"/>
        <v>0</v>
      </c>
      <c r="BT42" s="369">
        <f t="shared" si="21"/>
        <v>0</v>
      </c>
      <c r="BU42" s="369">
        <f t="shared" si="21"/>
        <v>0</v>
      </c>
      <c r="BW42" s="369" t="e">
        <f>AI42+#REF!+#REF!+#REF!+AW42+BJ42</f>
        <v>#REF!</v>
      </c>
      <c r="BX42" s="369" t="e">
        <f>AJ42+#REF!+#REF!+#REF!+AX42+BK42</f>
        <v>#REF!</v>
      </c>
      <c r="BY42" s="369" t="e">
        <f>AK42+#REF!+#REF!+#REF!+AY42+BL42</f>
        <v>#REF!</v>
      </c>
      <c r="BZ42" s="369" t="e">
        <f>AL42+#REF!+#REF!+#REF!+AZ42+BM42</f>
        <v>#REF!</v>
      </c>
      <c r="CA42" s="369" t="e">
        <f>AM42+#REF!+#REF!+#REF!+BA42+BN42</f>
        <v>#REF!</v>
      </c>
      <c r="CB42" s="369" t="e">
        <f>AN42+#REF!+#REF!+#REF!+BB42+BO42</f>
        <v>#REF!</v>
      </c>
      <c r="CC42" s="369" t="e">
        <f>AO42+#REF!+#REF!+#REF!+BC42+BP42</f>
        <v>#REF!</v>
      </c>
      <c r="CD42" s="369" t="e">
        <f>AP42+#REF!+#REF!+#REF!+BD42+BQ42</f>
        <v>#REF!</v>
      </c>
      <c r="CE42" s="369" t="e">
        <f>AQ42+#REF!+#REF!+#REF!+BE42+BR42</f>
        <v>#REF!</v>
      </c>
      <c r="CF42" s="369" t="e">
        <f>AR42+#REF!+#REF!+#REF!+BF42+BS42</f>
        <v>#REF!</v>
      </c>
      <c r="CG42" s="369" t="e">
        <f>AS42+#REF!+#REF!+#REF!+BG42+BT42</f>
        <v>#REF!</v>
      </c>
      <c r="CH42" s="369" t="e">
        <f>AT42+#REF!+#REF!+#REF!+BH42+BU42</f>
        <v>#REF!</v>
      </c>
    </row>
    <row r="43" spans="11:86" ht="16" hidden="1" x14ac:dyDescent="0.2">
      <c r="K43" s="359"/>
      <c r="L43" s="360"/>
      <c r="M43" s="361"/>
      <c r="N43" s="361"/>
      <c r="O43" s="361"/>
      <c r="P43" s="363">
        <v>5.0000000000000001E-3</v>
      </c>
      <c r="Q43" s="364">
        <f t="shared" si="14"/>
        <v>0</v>
      </c>
      <c r="R43" s="365">
        <v>0</v>
      </c>
      <c r="S43" s="365">
        <v>0.30499999999999999</v>
      </c>
      <c r="T43" s="366">
        <f t="shared" si="15"/>
        <v>0</v>
      </c>
      <c r="V43" s="367"/>
      <c r="W43" s="367"/>
      <c r="X43" s="367"/>
      <c r="Y43" s="367"/>
      <c r="Z43" s="367"/>
      <c r="AA43" s="367"/>
      <c r="AB43" s="367"/>
      <c r="AC43" s="367"/>
      <c r="AD43" s="367"/>
      <c r="AE43" s="367"/>
      <c r="AF43" s="367"/>
      <c r="AG43" s="367"/>
      <c r="AI43" s="368">
        <f t="shared" si="20"/>
        <v>0</v>
      </c>
      <c r="AJ43" s="368">
        <f t="shared" si="20"/>
        <v>0</v>
      </c>
      <c r="AK43" s="368">
        <f t="shared" si="20"/>
        <v>0</v>
      </c>
      <c r="AL43" s="368">
        <f t="shared" si="20"/>
        <v>0</v>
      </c>
      <c r="AM43" s="368">
        <f t="shared" si="20"/>
        <v>0</v>
      </c>
      <c r="AN43" s="368">
        <f t="shared" si="20"/>
        <v>0</v>
      </c>
      <c r="AO43" s="368">
        <f t="shared" si="20"/>
        <v>0</v>
      </c>
      <c r="AP43" s="368">
        <f t="shared" si="20"/>
        <v>0</v>
      </c>
      <c r="AQ43" s="368">
        <f t="shared" si="20"/>
        <v>0</v>
      </c>
      <c r="AR43" s="368">
        <f t="shared" si="20"/>
        <v>0</v>
      </c>
      <c r="AS43" s="368">
        <f t="shared" si="20"/>
        <v>0</v>
      </c>
      <c r="AT43" s="368">
        <f t="shared" si="20"/>
        <v>0</v>
      </c>
      <c r="AW43" s="361"/>
      <c r="AX43" s="361"/>
      <c r="AY43" s="361"/>
      <c r="AZ43" s="361"/>
      <c r="BA43" s="361"/>
      <c r="BB43" s="361"/>
      <c r="BC43" s="361"/>
      <c r="BD43" s="361"/>
      <c r="BE43" s="361"/>
      <c r="BF43" s="361"/>
      <c r="BG43" s="361"/>
      <c r="BH43" s="361"/>
      <c r="BJ43" s="369">
        <f t="shared" si="21"/>
        <v>0</v>
      </c>
      <c r="BK43" s="369">
        <f t="shared" si="21"/>
        <v>0</v>
      </c>
      <c r="BL43" s="369">
        <f t="shared" si="21"/>
        <v>0</v>
      </c>
      <c r="BM43" s="369">
        <f t="shared" si="21"/>
        <v>0</v>
      </c>
      <c r="BN43" s="369">
        <f t="shared" si="21"/>
        <v>0</v>
      </c>
      <c r="BO43" s="369">
        <f t="shared" si="21"/>
        <v>0</v>
      </c>
      <c r="BP43" s="369">
        <f t="shared" si="21"/>
        <v>0</v>
      </c>
      <c r="BQ43" s="369">
        <f t="shared" si="21"/>
        <v>0</v>
      </c>
      <c r="BR43" s="369">
        <f t="shared" si="21"/>
        <v>0</v>
      </c>
      <c r="BS43" s="369">
        <f t="shared" si="21"/>
        <v>0</v>
      </c>
      <c r="BT43" s="369">
        <f t="shared" si="21"/>
        <v>0</v>
      </c>
      <c r="BU43" s="369">
        <f t="shared" si="21"/>
        <v>0</v>
      </c>
      <c r="BW43" s="369" t="e">
        <f>AI43+#REF!+#REF!+#REF!+AW43+BJ43</f>
        <v>#REF!</v>
      </c>
      <c r="BX43" s="369" t="e">
        <f>AJ43+#REF!+#REF!+#REF!+AX43+BK43</f>
        <v>#REF!</v>
      </c>
      <c r="BY43" s="369" t="e">
        <f>AK43+#REF!+#REF!+#REF!+AY43+BL43</f>
        <v>#REF!</v>
      </c>
      <c r="BZ43" s="369" t="e">
        <f>AL43+#REF!+#REF!+#REF!+AZ43+BM43</f>
        <v>#REF!</v>
      </c>
      <c r="CA43" s="369" t="e">
        <f>AM43+#REF!+#REF!+#REF!+BA43+BN43</f>
        <v>#REF!</v>
      </c>
      <c r="CB43" s="369" t="e">
        <f>AN43+#REF!+#REF!+#REF!+BB43+BO43</f>
        <v>#REF!</v>
      </c>
      <c r="CC43" s="369" t="e">
        <f>AO43+#REF!+#REF!+#REF!+BC43+BP43</f>
        <v>#REF!</v>
      </c>
      <c r="CD43" s="369" t="e">
        <f>AP43+#REF!+#REF!+#REF!+BD43+BQ43</f>
        <v>#REF!</v>
      </c>
      <c r="CE43" s="369" t="e">
        <f>AQ43+#REF!+#REF!+#REF!+BE43+BR43</f>
        <v>#REF!</v>
      </c>
      <c r="CF43" s="369" t="e">
        <f>AR43+#REF!+#REF!+#REF!+BF43+BS43</f>
        <v>#REF!</v>
      </c>
      <c r="CG43" s="369" t="e">
        <f>AS43+#REF!+#REF!+#REF!+BG43+BT43</f>
        <v>#REF!</v>
      </c>
      <c r="CH43" s="369" t="e">
        <f>AT43+#REF!+#REF!+#REF!+BH43+BU43</f>
        <v>#REF!</v>
      </c>
    </row>
    <row r="44" spans="11:86" ht="16" hidden="1" x14ac:dyDescent="0.2">
      <c r="K44" s="359"/>
      <c r="L44" s="360"/>
      <c r="M44" s="361"/>
      <c r="N44" s="361"/>
      <c r="O44" s="361"/>
      <c r="P44" s="363">
        <v>5.0000000000000001E-3</v>
      </c>
      <c r="Q44" s="364">
        <f t="shared" si="14"/>
        <v>0</v>
      </c>
      <c r="R44" s="365">
        <v>0</v>
      </c>
      <c r="S44" s="365">
        <v>0.30499999999999999</v>
      </c>
      <c r="T44" s="366">
        <f t="shared" si="15"/>
        <v>0</v>
      </c>
      <c r="V44" s="367"/>
      <c r="W44" s="367"/>
      <c r="X44" s="367"/>
      <c r="Y44" s="367"/>
      <c r="Z44" s="367"/>
      <c r="AA44" s="367"/>
      <c r="AB44" s="367"/>
      <c r="AC44" s="367"/>
      <c r="AD44" s="367"/>
      <c r="AE44" s="367"/>
      <c r="AF44" s="367"/>
      <c r="AG44" s="367"/>
      <c r="AI44" s="368">
        <f t="shared" si="20"/>
        <v>0</v>
      </c>
      <c r="AJ44" s="368">
        <f t="shared" si="20"/>
        <v>0</v>
      </c>
      <c r="AK44" s="368">
        <f t="shared" si="20"/>
        <v>0</v>
      </c>
      <c r="AL44" s="368">
        <f t="shared" si="20"/>
        <v>0</v>
      </c>
      <c r="AM44" s="368">
        <f t="shared" si="20"/>
        <v>0</v>
      </c>
      <c r="AN44" s="368">
        <f t="shared" si="20"/>
        <v>0</v>
      </c>
      <c r="AO44" s="368">
        <f t="shared" si="20"/>
        <v>0</v>
      </c>
      <c r="AP44" s="368">
        <f t="shared" si="20"/>
        <v>0</v>
      </c>
      <c r="AQ44" s="368">
        <f t="shared" si="20"/>
        <v>0</v>
      </c>
      <c r="AR44" s="368">
        <f t="shared" si="20"/>
        <v>0</v>
      </c>
      <c r="AS44" s="368">
        <f t="shared" si="20"/>
        <v>0</v>
      </c>
      <c r="AT44" s="368">
        <f t="shared" si="20"/>
        <v>0</v>
      </c>
      <c r="AW44" s="361"/>
      <c r="AX44" s="361"/>
      <c r="AY44" s="361"/>
      <c r="AZ44" s="361"/>
      <c r="BA44" s="361"/>
      <c r="BB44" s="361"/>
      <c r="BC44" s="361"/>
      <c r="BD44" s="361"/>
      <c r="BE44" s="361"/>
      <c r="BF44" s="361"/>
      <c r="BG44" s="361"/>
      <c r="BH44" s="361"/>
      <c r="BJ44" s="369">
        <f t="shared" si="21"/>
        <v>0</v>
      </c>
      <c r="BK44" s="369">
        <f t="shared" si="21"/>
        <v>0</v>
      </c>
      <c r="BL44" s="369">
        <f t="shared" si="21"/>
        <v>0</v>
      </c>
      <c r="BM44" s="369">
        <f t="shared" si="21"/>
        <v>0</v>
      </c>
      <c r="BN44" s="369">
        <f t="shared" si="21"/>
        <v>0</v>
      </c>
      <c r="BO44" s="369">
        <f t="shared" si="21"/>
        <v>0</v>
      </c>
      <c r="BP44" s="369">
        <f t="shared" si="21"/>
        <v>0</v>
      </c>
      <c r="BQ44" s="369">
        <f t="shared" si="21"/>
        <v>0</v>
      </c>
      <c r="BR44" s="369">
        <f t="shared" si="21"/>
        <v>0</v>
      </c>
      <c r="BS44" s="369">
        <f t="shared" si="21"/>
        <v>0</v>
      </c>
      <c r="BT44" s="369">
        <f t="shared" si="21"/>
        <v>0</v>
      </c>
      <c r="BU44" s="369">
        <f t="shared" si="21"/>
        <v>0</v>
      </c>
      <c r="BW44" s="369" t="e">
        <f>AI44+#REF!+#REF!+#REF!+AW44+BJ44</f>
        <v>#REF!</v>
      </c>
      <c r="BX44" s="369" t="e">
        <f>AJ44+#REF!+#REF!+#REF!+AX44+BK44</f>
        <v>#REF!</v>
      </c>
      <c r="BY44" s="369" t="e">
        <f>AK44+#REF!+#REF!+#REF!+AY44+BL44</f>
        <v>#REF!</v>
      </c>
      <c r="BZ44" s="369" t="e">
        <f>AL44+#REF!+#REF!+#REF!+AZ44+BM44</f>
        <v>#REF!</v>
      </c>
      <c r="CA44" s="369" t="e">
        <f>AM44+#REF!+#REF!+#REF!+BA44+BN44</f>
        <v>#REF!</v>
      </c>
      <c r="CB44" s="369" t="e">
        <f>AN44+#REF!+#REF!+#REF!+BB44+BO44</f>
        <v>#REF!</v>
      </c>
      <c r="CC44" s="369" t="e">
        <f>AO44+#REF!+#REF!+#REF!+BC44+BP44</f>
        <v>#REF!</v>
      </c>
      <c r="CD44" s="369" t="e">
        <f>AP44+#REF!+#REF!+#REF!+BD44+BQ44</f>
        <v>#REF!</v>
      </c>
      <c r="CE44" s="369" t="e">
        <f>AQ44+#REF!+#REF!+#REF!+BE44+BR44</f>
        <v>#REF!</v>
      </c>
      <c r="CF44" s="369" t="e">
        <f>AR44+#REF!+#REF!+#REF!+BF44+BS44</f>
        <v>#REF!</v>
      </c>
      <c r="CG44" s="369" t="e">
        <f>AS44+#REF!+#REF!+#REF!+BG44+BT44</f>
        <v>#REF!</v>
      </c>
      <c r="CH44" s="369" t="e">
        <f>AT44+#REF!+#REF!+#REF!+BH44+BU44</f>
        <v>#REF!</v>
      </c>
    </row>
    <row r="45" spans="11:86" ht="16" hidden="1" x14ac:dyDescent="0.2">
      <c r="K45" s="359"/>
      <c r="L45" s="360"/>
      <c r="M45" s="361"/>
      <c r="N45" s="361"/>
      <c r="O45" s="361"/>
      <c r="P45" s="363">
        <v>5.0000000000000001E-3</v>
      </c>
      <c r="Q45" s="364">
        <f t="shared" si="14"/>
        <v>0</v>
      </c>
      <c r="R45" s="365">
        <v>0</v>
      </c>
      <c r="S45" s="365">
        <v>0.30499999999999999</v>
      </c>
      <c r="T45" s="366">
        <f t="shared" si="15"/>
        <v>0</v>
      </c>
      <c r="V45" s="367"/>
      <c r="W45" s="367"/>
      <c r="X45" s="367"/>
      <c r="Y45" s="367"/>
      <c r="Z45" s="367"/>
      <c r="AA45" s="367"/>
      <c r="AB45" s="367"/>
      <c r="AC45" s="367"/>
      <c r="AD45" s="367"/>
      <c r="AE45" s="367"/>
      <c r="AF45" s="367"/>
      <c r="AG45" s="367"/>
      <c r="AI45" s="368">
        <f t="shared" si="20"/>
        <v>0</v>
      </c>
      <c r="AJ45" s="368">
        <f t="shared" si="20"/>
        <v>0</v>
      </c>
      <c r="AK45" s="368">
        <f t="shared" si="20"/>
        <v>0</v>
      </c>
      <c r="AL45" s="368">
        <f t="shared" si="20"/>
        <v>0</v>
      </c>
      <c r="AM45" s="368">
        <f t="shared" si="20"/>
        <v>0</v>
      </c>
      <c r="AN45" s="368">
        <f t="shared" si="20"/>
        <v>0</v>
      </c>
      <c r="AO45" s="368">
        <f t="shared" si="20"/>
        <v>0</v>
      </c>
      <c r="AP45" s="368">
        <f t="shared" si="20"/>
        <v>0</v>
      </c>
      <c r="AQ45" s="368">
        <f t="shared" si="20"/>
        <v>0</v>
      </c>
      <c r="AR45" s="368">
        <f t="shared" si="20"/>
        <v>0</v>
      </c>
      <c r="AS45" s="368">
        <f t="shared" si="20"/>
        <v>0</v>
      </c>
      <c r="AT45" s="368">
        <f t="shared" si="20"/>
        <v>0</v>
      </c>
      <c r="AW45" s="361"/>
      <c r="AX45" s="361"/>
      <c r="AY45" s="361"/>
      <c r="AZ45" s="361"/>
      <c r="BA45" s="361"/>
      <c r="BB45" s="361"/>
      <c r="BC45" s="361"/>
      <c r="BD45" s="361"/>
      <c r="BE45" s="361"/>
      <c r="BF45" s="361"/>
      <c r="BG45" s="361"/>
      <c r="BH45" s="361"/>
      <c r="BJ45" s="369">
        <f t="shared" si="21"/>
        <v>0</v>
      </c>
      <c r="BK45" s="369">
        <f t="shared" si="21"/>
        <v>0</v>
      </c>
      <c r="BL45" s="369">
        <f t="shared" si="21"/>
        <v>0</v>
      </c>
      <c r="BM45" s="369">
        <f t="shared" si="21"/>
        <v>0</v>
      </c>
      <c r="BN45" s="369">
        <f t="shared" si="21"/>
        <v>0</v>
      </c>
      <c r="BO45" s="369">
        <f t="shared" si="21"/>
        <v>0</v>
      </c>
      <c r="BP45" s="369">
        <f t="shared" si="21"/>
        <v>0</v>
      </c>
      <c r="BQ45" s="369">
        <f t="shared" si="21"/>
        <v>0</v>
      </c>
      <c r="BR45" s="369">
        <f t="shared" si="21"/>
        <v>0</v>
      </c>
      <c r="BS45" s="369">
        <f t="shared" si="21"/>
        <v>0</v>
      </c>
      <c r="BT45" s="369">
        <f t="shared" si="21"/>
        <v>0</v>
      </c>
      <c r="BU45" s="369">
        <f t="shared" si="21"/>
        <v>0</v>
      </c>
      <c r="BW45" s="369" t="e">
        <f>AI45+#REF!+#REF!+#REF!+AW45+BJ45</f>
        <v>#REF!</v>
      </c>
      <c r="BX45" s="369" t="e">
        <f>AJ45+#REF!+#REF!+#REF!+AX45+BK45</f>
        <v>#REF!</v>
      </c>
      <c r="BY45" s="369" t="e">
        <f>AK45+#REF!+#REF!+#REF!+AY45+BL45</f>
        <v>#REF!</v>
      </c>
      <c r="BZ45" s="369" t="e">
        <f>AL45+#REF!+#REF!+#REF!+AZ45+BM45</f>
        <v>#REF!</v>
      </c>
      <c r="CA45" s="369" t="e">
        <f>AM45+#REF!+#REF!+#REF!+BA45+BN45</f>
        <v>#REF!</v>
      </c>
      <c r="CB45" s="369" t="e">
        <f>AN45+#REF!+#REF!+#REF!+BB45+BO45</f>
        <v>#REF!</v>
      </c>
      <c r="CC45" s="369" t="e">
        <f>AO45+#REF!+#REF!+#REF!+BC45+BP45</f>
        <v>#REF!</v>
      </c>
      <c r="CD45" s="369" t="e">
        <f>AP45+#REF!+#REF!+#REF!+BD45+BQ45</f>
        <v>#REF!</v>
      </c>
      <c r="CE45" s="369" t="e">
        <f>AQ45+#REF!+#REF!+#REF!+BE45+BR45</f>
        <v>#REF!</v>
      </c>
      <c r="CF45" s="369" t="e">
        <f>AR45+#REF!+#REF!+#REF!+BF45+BS45</f>
        <v>#REF!</v>
      </c>
      <c r="CG45" s="369" t="e">
        <f>AS45+#REF!+#REF!+#REF!+BG45+BT45</f>
        <v>#REF!</v>
      </c>
      <c r="CH45" s="369" t="e">
        <f>AT45+#REF!+#REF!+#REF!+BH45+BU45</f>
        <v>#REF!</v>
      </c>
    </row>
    <row r="46" spans="11:86" ht="16" hidden="1" x14ac:dyDescent="0.2">
      <c r="K46" s="359"/>
      <c r="L46" s="360"/>
      <c r="M46" s="361"/>
      <c r="N46" s="361"/>
      <c r="O46" s="361"/>
      <c r="P46" s="363">
        <v>5.0000000000000001E-3</v>
      </c>
      <c r="Q46" s="364">
        <f t="shared" si="14"/>
        <v>0</v>
      </c>
      <c r="R46" s="365">
        <v>0</v>
      </c>
      <c r="S46" s="365">
        <v>0.30499999999999999</v>
      </c>
      <c r="T46" s="366">
        <f t="shared" si="15"/>
        <v>0</v>
      </c>
      <c r="V46" s="367"/>
      <c r="W46" s="367"/>
      <c r="X46" s="367"/>
      <c r="Y46" s="367"/>
      <c r="Z46" s="367"/>
      <c r="AA46" s="367"/>
      <c r="AB46" s="367"/>
      <c r="AC46" s="367"/>
      <c r="AD46" s="367"/>
      <c r="AE46" s="367"/>
      <c r="AF46" s="367"/>
      <c r="AG46" s="367"/>
      <c r="AI46" s="368">
        <f t="shared" si="20"/>
        <v>0</v>
      </c>
      <c r="AJ46" s="368">
        <f t="shared" si="20"/>
        <v>0</v>
      </c>
      <c r="AK46" s="368">
        <f t="shared" si="20"/>
        <v>0</v>
      </c>
      <c r="AL46" s="368">
        <f t="shared" si="20"/>
        <v>0</v>
      </c>
      <c r="AM46" s="368">
        <f t="shared" si="20"/>
        <v>0</v>
      </c>
      <c r="AN46" s="368">
        <f t="shared" si="20"/>
        <v>0</v>
      </c>
      <c r="AO46" s="368">
        <f t="shared" si="20"/>
        <v>0</v>
      </c>
      <c r="AP46" s="368">
        <f t="shared" si="20"/>
        <v>0</v>
      </c>
      <c r="AQ46" s="368">
        <f t="shared" si="20"/>
        <v>0</v>
      </c>
      <c r="AR46" s="368">
        <f t="shared" si="20"/>
        <v>0</v>
      </c>
      <c r="AS46" s="368">
        <f t="shared" si="20"/>
        <v>0</v>
      </c>
      <c r="AT46" s="368">
        <f t="shared" si="20"/>
        <v>0</v>
      </c>
      <c r="AW46" s="361"/>
      <c r="AX46" s="361"/>
      <c r="AY46" s="361"/>
      <c r="AZ46" s="361"/>
      <c r="BA46" s="361"/>
      <c r="BB46" s="361"/>
      <c r="BC46" s="361"/>
      <c r="BD46" s="361"/>
      <c r="BE46" s="361"/>
      <c r="BF46" s="361"/>
      <c r="BG46" s="361"/>
      <c r="BH46" s="361"/>
      <c r="BJ46" s="369">
        <f t="shared" si="21"/>
        <v>0</v>
      </c>
      <c r="BK46" s="369">
        <f t="shared" si="21"/>
        <v>0</v>
      </c>
      <c r="BL46" s="369">
        <f t="shared" si="21"/>
        <v>0</v>
      </c>
      <c r="BM46" s="369">
        <f t="shared" si="21"/>
        <v>0</v>
      </c>
      <c r="BN46" s="369">
        <f t="shared" si="21"/>
        <v>0</v>
      </c>
      <c r="BO46" s="369">
        <f t="shared" si="21"/>
        <v>0</v>
      </c>
      <c r="BP46" s="369">
        <f t="shared" si="21"/>
        <v>0</v>
      </c>
      <c r="BQ46" s="369">
        <f t="shared" si="21"/>
        <v>0</v>
      </c>
      <c r="BR46" s="369">
        <f t="shared" si="21"/>
        <v>0</v>
      </c>
      <c r="BS46" s="369">
        <f t="shared" si="21"/>
        <v>0</v>
      </c>
      <c r="BT46" s="369">
        <f t="shared" si="21"/>
        <v>0</v>
      </c>
      <c r="BU46" s="369">
        <f t="shared" si="21"/>
        <v>0</v>
      </c>
      <c r="BW46" s="369" t="e">
        <f>AI46+#REF!+#REF!+#REF!+AW46+BJ46</f>
        <v>#REF!</v>
      </c>
      <c r="BX46" s="369" t="e">
        <f>AJ46+#REF!+#REF!+#REF!+AX46+BK46</f>
        <v>#REF!</v>
      </c>
      <c r="BY46" s="369" t="e">
        <f>AK46+#REF!+#REF!+#REF!+AY46+BL46</f>
        <v>#REF!</v>
      </c>
      <c r="BZ46" s="369" t="e">
        <f>AL46+#REF!+#REF!+#REF!+AZ46+BM46</f>
        <v>#REF!</v>
      </c>
      <c r="CA46" s="369" t="e">
        <f>AM46+#REF!+#REF!+#REF!+BA46+BN46</f>
        <v>#REF!</v>
      </c>
      <c r="CB46" s="369" t="e">
        <f>AN46+#REF!+#REF!+#REF!+BB46+BO46</f>
        <v>#REF!</v>
      </c>
      <c r="CC46" s="369" t="e">
        <f>AO46+#REF!+#REF!+#REF!+BC46+BP46</f>
        <v>#REF!</v>
      </c>
      <c r="CD46" s="369" t="e">
        <f>AP46+#REF!+#REF!+#REF!+BD46+BQ46</f>
        <v>#REF!</v>
      </c>
      <c r="CE46" s="369" t="e">
        <f>AQ46+#REF!+#REF!+#REF!+BE46+BR46</f>
        <v>#REF!</v>
      </c>
      <c r="CF46" s="369" t="e">
        <f>AR46+#REF!+#REF!+#REF!+BF46+BS46</f>
        <v>#REF!</v>
      </c>
      <c r="CG46" s="369" t="e">
        <f>AS46+#REF!+#REF!+#REF!+BG46+BT46</f>
        <v>#REF!</v>
      </c>
      <c r="CH46" s="369" t="e">
        <f>AT46+#REF!+#REF!+#REF!+BH46+BU46</f>
        <v>#REF!</v>
      </c>
    </row>
    <row r="47" spans="11:86" ht="16" hidden="1" x14ac:dyDescent="0.2">
      <c r="K47" s="359"/>
      <c r="L47" s="360"/>
      <c r="M47" s="361"/>
      <c r="N47" s="361"/>
      <c r="O47" s="361"/>
      <c r="P47" s="363">
        <v>5.0000000000000001E-3</v>
      </c>
      <c r="Q47" s="364">
        <f t="shared" si="14"/>
        <v>0</v>
      </c>
      <c r="R47" s="365">
        <v>0</v>
      </c>
      <c r="S47" s="365">
        <v>0.30499999999999999</v>
      </c>
      <c r="T47" s="366">
        <f t="shared" si="15"/>
        <v>0</v>
      </c>
      <c r="V47" s="367"/>
      <c r="W47" s="367"/>
      <c r="X47" s="367"/>
      <c r="Y47" s="367"/>
      <c r="Z47" s="367"/>
      <c r="AA47" s="367"/>
      <c r="AB47" s="367"/>
      <c r="AC47" s="367"/>
      <c r="AD47" s="367"/>
      <c r="AE47" s="367"/>
      <c r="AF47" s="367"/>
      <c r="AG47" s="367"/>
      <c r="AI47" s="368">
        <f t="shared" si="20"/>
        <v>0</v>
      </c>
      <c r="AJ47" s="368">
        <f t="shared" si="20"/>
        <v>0</v>
      </c>
      <c r="AK47" s="368">
        <f t="shared" si="20"/>
        <v>0</v>
      </c>
      <c r="AL47" s="368">
        <f t="shared" si="20"/>
        <v>0</v>
      </c>
      <c r="AM47" s="368">
        <f t="shared" si="20"/>
        <v>0</v>
      </c>
      <c r="AN47" s="368">
        <f t="shared" si="20"/>
        <v>0</v>
      </c>
      <c r="AO47" s="368">
        <f t="shared" si="20"/>
        <v>0</v>
      </c>
      <c r="AP47" s="368">
        <f t="shared" si="20"/>
        <v>0</v>
      </c>
      <c r="AQ47" s="368">
        <f t="shared" si="20"/>
        <v>0</v>
      </c>
      <c r="AR47" s="368">
        <f t="shared" si="20"/>
        <v>0</v>
      </c>
      <c r="AS47" s="368">
        <f t="shared" si="20"/>
        <v>0</v>
      </c>
      <c r="AT47" s="368">
        <f t="shared" si="20"/>
        <v>0</v>
      </c>
      <c r="AW47" s="361"/>
      <c r="AX47" s="361"/>
      <c r="AY47" s="361"/>
      <c r="AZ47" s="361"/>
      <c r="BA47" s="361"/>
      <c r="BB47" s="361"/>
      <c r="BC47" s="361"/>
      <c r="BD47" s="361"/>
      <c r="BE47" s="361"/>
      <c r="BF47" s="361"/>
      <c r="BG47" s="361"/>
      <c r="BH47" s="361"/>
      <c r="BJ47" s="369">
        <f t="shared" si="21"/>
        <v>0</v>
      </c>
      <c r="BK47" s="369">
        <f t="shared" si="21"/>
        <v>0</v>
      </c>
      <c r="BL47" s="369">
        <f t="shared" si="21"/>
        <v>0</v>
      </c>
      <c r="BM47" s="369">
        <f t="shared" si="21"/>
        <v>0</v>
      </c>
      <c r="BN47" s="369">
        <f t="shared" si="21"/>
        <v>0</v>
      </c>
      <c r="BO47" s="369">
        <f t="shared" si="21"/>
        <v>0</v>
      </c>
      <c r="BP47" s="369">
        <f t="shared" si="21"/>
        <v>0</v>
      </c>
      <c r="BQ47" s="369">
        <f t="shared" si="21"/>
        <v>0</v>
      </c>
      <c r="BR47" s="369">
        <f t="shared" si="21"/>
        <v>0</v>
      </c>
      <c r="BS47" s="369">
        <f t="shared" si="21"/>
        <v>0</v>
      </c>
      <c r="BT47" s="369">
        <f t="shared" si="21"/>
        <v>0</v>
      </c>
      <c r="BU47" s="369">
        <f t="shared" si="21"/>
        <v>0</v>
      </c>
      <c r="BW47" s="369" t="e">
        <f>AI47+#REF!+#REF!+#REF!+AW47+BJ47</f>
        <v>#REF!</v>
      </c>
      <c r="BX47" s="369" t="e">
        <f>AJ47+#REF!+#REF!+#REF!+AX47+BK47</f>
        <v>#REF!</v>
      </c>
      <c r="BY47" s="369" t="e">
        <f>AK47+#REF!+#REF!+#REF!+AY47+BL47</f>
        <v>#REF!</v>
      </c>
      <c r="BZ47" s="369" t="e">
        <f>AL47+#REF!+#REF!+#REF!+AZ47+BM47</f>
        <v>#REF!</v>
      </c>
      <c r="CA47" s="369" t="e">
        <f>AM47+#REF!+#REF!+#REF!+BA47+BN47</f>
        <v>#REF!</v>
      </c>
      <c r="CB47" s="369" t="e">
        <f>AN47+#REF!+#REF!+#REF!+BB47+BO47</f>
        <v>#REF!</v>
      </c>
      <c r="CC47" s="369" t="e">
        <f>AO47+#REF!+#REF!+#REF!+BC47+BP47</f>
        <v>#REF!</v>
      </c>
      <c r="CD47" s="369" t="e">
        <f>AP47+#REF!+#REF!+#REF!+BD47+BQ47</f>
        <v>#REF!</v>
      </c>
      <c r="CE47" s="369" t="e">
        <f>AQ47+#REF!+#REF!+#REF!+BE47+BR47</f>
        <v>#REF!</v>
      </c>
      <c r="CF47" s="369" t="e">
        <f>AR47+#REF!+#REF!+#REF!+BF47+BS47</f>
        <v>#REF!</v>
      </c>
      <c r="CG47" s="369" t="e">
        <f>AS47+#REF!+#REF!+#REF!+BG47+BT47</f>
        <v>#REF!</v>
      </c>
      <c r="CH47" s="369" t="e">
        <f>AT47+#REF!+#REF!+#REF!+BH47+BU47</f>
        <v>#REF!</v>
      </c>
    </row>
    <row r="48" spans="11:86" ht="16" hidden="1" x14ac:dyDescent="0.2">
      <c r="K48" s="359"/>
      <c r="L48" s="360"/>
      <c r="M48" s="361"/>
      <c r="N48" s="361"/>
      <c r="O48" s="361"/>
      <c r="P48" s="363">
        <v>5.0000000000000001E-3</v>
      </c>
      <c r="Q48" s="364">
        <f t="shared" si="14"/>
        <v>0</v>
      </c>
      <c r="R48" s="365">
        <v>0</v>
      </c>
      <c r="S48" s="365">
        <v>0.30499999999999999</v>
      </c>
      <c r="T48" s="366">
        <f t="shared" si="15"/>
        <v>0</v>
      </c>
      <c r="V48" s="367"/>
      <c r="W48" s="367"/>
      <c r="X48" s="367"/>
      <c r="Y48" s="367"/>
      <c r="Z48" s="367"/>
      <c r="AA48" s="367"/>
      <c r="AB48" s="367"/>
      <c r="AC48" s="367"/>
      <c r="AD48" s="367"/>
      <c r="AE48" s="367"/>
      <c r="AF48" s="367"/>
      <c r="AG48" s="367"/>
      <c r="AI48" s="368">
        <f t="shared" si="20"/>
        <v>0</v>
      </c>
      <c r="AJ48" s="368">
        <f t="shared" si="20"/>
        <v>0</v>
      </c>
      <c r="AK48" s="368">
        <f t="shared" si="20"/>
        <v>0</v>
      </c>
      <c r="AL48" s="368">
        <f t="shared" si="20"/>
        <v>0</v>
      </c>
      <c r="AM48" s="368">
        <f t="shared" si="20"/>
        <v>0</v>
      </c>
      <c r="AN48" s="368">
        <f t="shared" si="20"/>
        <v>0</v>
      </c>
      <c r="AO48" s="368">
        <f t="shared" si="20"/>
        <v>0</v>
      </c>
      <c r="AP48" s="368">
        <f t="shared" si="20"/>
        <v>0</v>
      </c>
      <c r="AQ48" s="368">
        <f t="shared" si="20"/>
        <v>0</v>
      </c>
      <c r="AR48" s="368">
        <f t="shared" si="20"/>
        <v>0</v>
      </c>
      <c r="AS48" s="368">
        <f t="shared" si="20"/>
        <v>0</v>
      </c>
      <c r="AT48" s="368">
        <f t="shared" si="20"/>
        <v>0</v>
      </c>
      <c r="AW48" s="361"/>
      <c r="AX48" s="361"/>
      <c r="AY48" s="361"/>
      <c r="AZ48" s="361"/>
      <c r="BA48" s="361"/>
      <c r="BB48" s="361"/>
      <c r="BC48" s="361"/>
      <c r="BD48" s="361"/>
      <c r="BE48" s="361"/>
      <c r="BF48" s="361"/>
      <c r="BG48" s="361"/>
      <c r="BH48" s="361"/>
      <c r="BJ48" s="369">
        <f t="shared" si="21"/>
        <v>0</v>
      </c>
      <c r="BK48" s="369">
        <f t="shared" si="21"/>
        <v>0</v>
      </c>
      <c r="BL48" s="369">
        <f t="shared" si="21"/>
        <v>0</v>
      </c>
      <c r="BM48" s="369">
        <f t="shared" si="21"/>
        <v>0</v>
      </c>
      <c r="BN48" s="369">
        <f t="shared" si="21"/>
        <v>0</v>
      </c>
      <c r="BO48" s="369">
        <f t="shared" si="21"/>
        <v>0</v>
      </c>
      <c r="BP48" s="369">
        <f t="shared" si="21"/>
        <v>0</v>
      </c>
      <c r="BQ48" s="369">
        <f t="shared" si="21"/>
        <v>0</v>
      </c>
      <c r="BR48" s="369">
        <f t="shared" si="21"/>
        <v>0</v>
      </c>
      <c r="BS48" s="369">
        <f t="shared" si="21"/>
        <v>0</v>
      </c>
      <c r="BT48" s="369">
        <f t="shared" si="21"/>
        <v>0</v>
      </c>
      <c r="BU48" s="369">
        <f t="shared" si="21"/>
        <v>0</v>
      </c>
      <c r="BW48" s="369" t="e">
        <f>AI48+#REF!+#REF!+#REF!+AW48+BJ48</f>
        <v>#REF!</v>
      </c>
      <c r="BX48" s="369" t="e">
        <f>AJ48+#REF!+#REF!+#REF!+AX48+BK48</f>
        <v>#REF!</v>
      </c>
      <c r="BY48" s="369" t="e">
        <f>AK48+#REF!+#REF!+#REF!+AY48+BL48</f>
        <v>#REF!</v>
      </c>
      <c r="BZ48" s="369" t="e">
        <f>AL48+#REF!+#REF!+#REF!+AZ48+BM48</f>
        <v>#REF!</v>
      </c>
      <c r="CA48" s="369" t="e">
        <f>AM48+#REF!+#REF!+#REF!+BA48+BN48</f>
        <v>#REF!</v>
      </c>
      <c r="CB48" s="369" t="e">
        <f>AN48+#REF!+#REF!+#REF!+BB48+BO48</f>
        <v>#REF!</v>
      </c>
      <c r="CC48" s="369" t="e">
        <f>AO48+#REF!+#REF!+#REF!+BC48+BP48</f>
        <v>#REF!</v>
      </c>
      <c r="CD48" s="369" t="e">
        <f>AP48+#REF!+#REF!+#REF!+BD48+BQ48</f>
        <v>#REF!</v>
      </c>
      <c r="CE48" s="369" t="e">
        <f>AQ48+#REF!+#REF!+#REF!+BE48+BR48</f>
        <v>#REF!</v>
      </c>
      <c r="CF48" s="369" t="e">
        <f>AR48+#REF!+#REF!+#REF!+BF48+BS48</f>
        <v>#REF!</v>
      </c>
      <c r="CG48" s="369" t="e">
        <f>AS48+#REF!+#REF!+#REF!+BG48+BT48</f>
        <v>#REF!</v>
      </c>
      <c r="CH48" s="369" t="e">
        <f>AT48+#REF!+#REF!+#REF!+BH48+BU48</f>
        <v>#REF!</v>
      </c>
    </row>
    <row r="49" spans="11:86" ht="16" hidden="1" x14ac:dyDescent="0.2">
      <c r="K49" s="359"/>
      <c r="L49" s="360"/>
      <c r="M49" s="361"/>
      <c r="N49" s="361"/>
      <c r="O49" s="361"/>
      <c r="P49" s="363">
        <v>5.0000000000000001E-3</v>
      </c>
      <c r="Q49" s="364">
        <f t="shared" si="14"/>
        <v>0</v>
      </c>
      <c r="R49" s="365">
        <v>0</v>
      </c>
      <c r="S49" s="365">
        <v>0.30499999999999999</v>
      </c>
      <c r="T49" s="366">
        <f t="shared" si="15"/>
        <v>0</v>
      </c>
      <c r="V49" s="367"/>
      <c r="W49" s="367"/>
      <c r="X49" s="367"/>
      <c r="Y49" s="367"/>
      <c r="Z49" s="367"/>
      <c r="AA49" s="367"/>
      <c r="AB49" s="367"/>
      <c r="AC49" s="367"/>
      <c r="AD49" s="367"/>
      <c r="AE49" s="367"/>
      <c r="AF49" s="367"/>
      <c r="AG49" s="367"/>
      <c r="AI49" s="368">
        <f t="shared" si="20"/>
        <v>0</v>
      </c>
      <c r="AJ49" s="368">
        <f t="shared" si="20"/>
        <v>0</v>
      </c>
      <c r="AK49" s="368">
        <f t="shared" si="20"/>
        <v>0</v>
      </c>
      <c r="AL49" s="368">
        <f t="shared" si="20"/>
        <v>0</v>
      </c>
      <c r="AM49" s="368">
        <f t="shared" si="20"/>
        <v>0</v>
      </c>
      <c r="AN49" s="368">
        <f t="shared" si="20"/>
        <v>0</v>
      </c>
      <c r="AO49" s="368">
        <f t="shared" si="20"/>
        <v>0</v>
      </c>
      <c r="AP49" s="368">
        <f t="shared" si="20"/>
        <v>0</v>
      </c>
      <c r="AQ49" s="368">
        <f t="shared" si="20"/>
        <v>0</v>
      </c>
      <c r="AR49" s="368">
        <f t="shared" si="20"/>
        <v>0</v>
      </c>
      <c r="AS49" s="368">
        <f t="shared" si="20"/>
        <v>0</v>
      </c>
      <c r="AT49" s="368">
        <f t="shared" si="20"/>
        <v>0</v>
      </c>
      <c r="AW49" s="361"/>
      <c r="AX49" s="361"/>
      <c r="AY49" s="361"/>
      <c r="AZ49" s="361"/>
      <c r="BA49" s="361"/>
      <c r="BB49" s="361"/>
      <c r="BC49" s="361"/>
      <c r="BD49" s="361"/>
      <c r="BE49" s="361"/>
      <c r="BF49" s="361"/>
      <c r="BG49" s="361"/>
      <c r="BH49" s="361"/>
      <c r="BJ49" s="369">
        <f t="shared" si="21"/>
        <v>0</v>
      </c>
      <c r="BK49" s="369">
        <f t="shared" si="21"/>
        <v>0</v>
      </c>
      <c r="BL49" s="369">
        <f t="shared" si="21"/>
        <v>0</v>
      </c>
      <c r="BM49" s="369">
        <f t="shared" si="21"/>
        <v>0</v>
      </c>
      <c r="BN49" s="369">
        <f t="shared" si="21"/>
        <v>0</v>
      </c>
      <c r="BO49" s="369">
        <f t="shared" si="21"/>
        <v>0</v>
      </c>
      <c r="BP49" s="369">
        <f t="shared" si="21"/>
        <v>0</v>
      </c>
      <c r="BQ49" s="369">
        <f t="shared" si="21"/>
        <v>0</v>
      </c>
      <c r="BR49" s="369">
        <f t="shared" si="21"/>
        <v>0</v>
      </c>
      <c r="BS49" s="369">
        <f t="shared" si="21"/>
        <v>0</v>
      </c>
      <c r="BT49" s="369">
        <f t="shared" si="21"/>
        <v>0</v>
      </c>
      <c r="BU49" s="369">
        <f t="shared" si="21"/>
        <v>0</v>
      </c>
      <c r="BW49" s="369" t="e">
        <f>AI49+#REF!+#REF!+#REF!+AW49+BJ49</f>
        <v>#REF!</v>
      </c>
      <c r="BX49" s="369" t="e">
        <f>AJ49+#REF!+#REF!+#REF!+AX49+BK49</f>
        <v>#REF!</v>
      </c>
      <c r="BY49" s="369" t="e">
        <f>AK49+#REF!+#REF!+#REF!+AY49+BL49</f>
        <v>#REF!</v>
      </c>
      <c r="BZ49" s="369" t="e">
        <f>AL49+#REF!+#REF!+#REF!+AZ49+BM49</f>
        <v>#REF!</v>
      </c>
      <c r="CA49" s="369" t="e">
        <f>AM49+#REF!+#REF!+#REF!+BA49+BN49</f>
        <v>#REF!</v>
      </c>
      <c r="CB49" s="369" t="e">
        <f>AN49+#REF!+#REF!+#REF!+BB49+BO49</f>
        <v>#REF!</v>
      </c>
      <c r="CC49" s="369" t="e">
        <f>AO49+#REF!+#REF!+#REF!+BC49+BP49</f>
        <v>#REF!</v>
      </c>
      <c r="CD49" s="369" t="e">
        <f>AP49+#REF!+#REF!+#REF!+BD49+BQ49</f>
        <v>#REF!</v>
      </c>
      <c r="CE49" s="369" t="e">
        <f>AQ49+#REF!+#REF!+#REF!+BE49+BR49</f>
        <v>#REF!</v>
      </c>
      <c r="CF49" s="369" t="e">
        <f>AR49+#REF!+#REF!+#REF!+BF49+BS49</f>
        <v>#REF!</v>
      </c>
      <c r="CG49" s="369" t="e">
        <f>AS49+#REF!+#REF!+#REF!+BG49+BT49</f>
        <v>#REF!</v>
      </c>
      <c r="CH49" s="369" t="e">
        <f>AT49+#REF!+#REF!+#REF!+BH49+BU49</f>
        <v>#REF!</v>
      </c>
    </row>
    <row r="50" spans="11:86" ht="16" hidden="1" x14ac:dyDescent="0.2">
      <c r="K50" s="359"/>
      <c r="L50" s="360"/>
      <c r="M50" s="361"/>
      <c r="N50" s="361"/>
      <c r="O50" s="361"/>
      <c r="P50" s="363">
        <v>5.0000000000000001E-3</v>
      </c>
      <c r="Q50" s="364">
        <f t="shared" si="14"/>
        <v>0</v>
      </c>
      <c r="R50" s="365">
        <v>0</v>
      </c>
      <c r="S50" s="365">
        <v>0.30499999999999999</v>
      </c>
      <c r="T50" s="366">
        <f t="shared" si="15"/>
        <v>0</v>
      </c>
      <c r="V50" s="367"/>
      <c r="W50" s="367"/>
      <c r="X50" s="367"/>
      <c r="Y50" s="367"/>
      <c r="Z50" s="367"/>
      <c r="AA50" s="367"/>
      <c r="AB50" s="367"/>
      <c r="AC50" s="367"/>
      <c r="AD50" s="367"/>
      <c r="AE50" s="367"/>
      <c r="AF50" s="367"/>
      <c r="AG50" s="367"/>
      <c r="AI50" s="368">
        <f t="shared" si="20"/>
        <v>0</v>
      </c>
      <c r="AJ50" s="368">
        <f t="shared" si="20"/>
        <v>0</v>
      </c>
      <c r="AK50" s="368">
        <f t="shared" si="20"/>
        <v>0</v>
      </c>
      <c r="AL50" s="368">
        <f t="shared" si="20"/>
        <v>0</v>
      </c>
      <c r="AM50" s="368">
        <f t="shared" si="20"/>
        <v>0</v>
      </c>
      <c r="AN50" s="368">
        <f t="shared" si="20"/>
        <v>0</v>
      </c>
      <c r="AO50" s="368">
        <f t="shared" si="20"/>
        <v>0</v>
      </c>
      <c r="AP50" s="368">
        <f t="shared" si="20"/>
        <v>0</v>
      </c>
      <c r="AQ50" s="368">
        <f t="shared" si="20"/>
        <v>0</v>
      </c>
      <c r="AR50" s="368">
        <f t="shared" si="20"/>
        <v>0</v>
      </c>
      <c r="AS50" s="368">
        <f t="shared" si="20"/>
        <v>0</v>
      </c>
      <c r="AT50" s="368">
        <f t="shared" si="20"/>
        <v>0</v>
      </c>
      <c r="AW50" s="361"/>
      <c r="AX50" s="361"/>
      <c r="AY50" s="361"/>
      <c r="AZ50" s="361"/>
      <c r="BA50" s="361"/>
      <c r="BB50" s="361"/>
      <c r="BC50" s="361"/>
      <c r="BD50" s="361"/>
      <c r="BE50" s="361"/>
      <c r="BF50" s="361"/>
      <c r="BG50" s="361"/>
      <c r="BH50" s="361"/>
      <c r="BJ50" s="369">
        <f t="shared" si="21"/>
        <v>0</v>
      </c>
      <c r="BK50" s="369">
        <f t="shared" si="21"/>
        <v>0</v>
      </c>
      <c r="BL50" s="369">
        <f t="shared" si="21"/>
        <v>0</v>
      </c>
      <c r="BM50" s="369">
        <f t="shared" si="21"/>
        <v>0</v>
      </c>
      <c r="BN50" s="369">
        <f t="shared" si="21"/>
        <v>0</v>
      </c>
      <c r="BO50" s="369">
        <f t="shared" si="21"/>
        <v>0</v>
      </c>
      <c r="BP50" s="369">
        <f t="shared" si="21"/>
        <v>0</v>
      </c>
      <c r="BQ50" s="369">
        <f t="shared" si="21"/>
        <v>0</v>
      </c>
      <c r="BR50" s="369">
        <f t="shared" si="21"/>
        <v>0</v>
      </c>
      <c r="BS50" s="369">
        <f t="shared" si="21"/>
        <v>0</v>
      </c>
      <c r="BT50" s="369">
        <f t="shared" si="21"/>
        <v>0</v>
      </c>
      <c r="BU50" s="369">
        <f t="shared" si="21"/>
        <v>0</v>
      </c>
      <c r="BW50" s="369" t="e">
        <f>AI50+#REF!+#REF!+#REF!+AW50+BJ50</f>
        <v>#REF!</v>
      </c>
      <c r="BX50" s="369" t="e">
        <f>AJ50+#REF!+#REF!+#REF!+AX50+BK50</f>
        <v>#REF!</v>
      </c>
      <c r="BY50" s="369" t="e">
        <f>AK50+#REF!+#REF!+#REF!+AY50+BL50</f>
        <v>#REF!</v>
      </c>
      <c r="BZ50" s="369" t="e">
        <f>AL50+#REF!+#REF!+#REF!+AZ50+BM50</f>
        <v>#REF!</v>
      </c>
      <c r="CA50" s="369" t="e">
        <f>AM50+#REF!+#REF!+#REF!+BA50+BN50</f>
        <v>#REF!</v>
      </c>
      <c r="CB50" s="369" t="e">
        <f>AN50+#REF!+#REF!+#REF!+BB50+BO50</f>
        <v>#REF!</v>
      </c>
      <c r="CC50" s="369" t="e">
        <f>AO50+#REF!+#REF!+#REF!+BC50+BP50</f>
        <v>#REF!</v>
      </c>
      <c r="CD50" s="369" t="e">
        <f>AP50+#REF!+#REF!+#REF!+BD50+BQ50</f>
        <v>#REF!</v>
      </c>
      <c r="CE50" s="369" t="e">
        <f>AQ50+#REF!+#REF!+#REF!+BE50+BR50</f>
        <v>#REF!</v>
      </c>
      <c r="CF50" s="369" t="e">
        <f>AR50+#REF!+#REF!+#REF!+BF50+BS50</f>
        <v>#REF!</v>
      </c>
      <c r="CG50" s="369" t="e">
        <f>AS50+#REF!+#REF!+#REF!+BG50+BT50</f>
        <v>#REF!</v>
      </c>
      <c r="CH50" s="369" t="e">
        <f>AT50+#REF!+#REF!+#REF!+BH50+BU50</f>
        <v>#REF!</v>
      </c>
    </row>
    <row r="51" spans="11:86" ht="16" hidden="1" x14ac:dyDescent="0.2">
      <c r="K51" s="359"/>
      <c r="L51" s="360"/>
      <c r="M51" s="361"/>
      <c r="N51" s="361"/>
      <c r="O51" s="361"/>
      <c r="P51" s="363">
        <v>5.0000000000000001E-3</v>
      </c>
      <c r="Q51" s="364">
        <f t="shared" si="14"/>
        <v>0</v>
      </c>
      <c r="R51" s="365">
        <v>0</v>
      </c>
      <c r="S51" s="365">
        <v>0.30499999999999999</v>
      </c>
      <c r="T51" s="366">
        <f t="shared" si="15"/>
        <v>0</v>
      </c>
      <c r="V51" s="367"/>
      <c r="W51" s="367"/>
      <c r="X51" s="367"/>
      <c r="Y51" s="367"/>
      <c r="Z51" s="367"/>
      <c r="AA51" s="367"/>
      <c r="AB51" s="367"/>
      <c r="AC51" s="367"/>
      <c r="AD51" s="367"/>
      <c r="AE51" s="367"/>
      <c r="AF51" s="367"/>
      <c r="AG51" s="367"/>
      <c r="AI51" s="368">
        <f t="shared" si="20"/>
        <v>0</v>
      </c>
      <c r="AJ51" s="368">
        <f t="shared" si="20"/>
        <v>0</v>
      </c>
      <c r="AK51" s="368">
        <f t="shared" si="20"/>
        <v>0</v>
      </c>
      <c r="AL51" s="368">
        <f t="shared" si="20"/>
        <v>0</v>
      </c>
      <c r="AM51" s="368">
        <f t="shared" si="20"/>
        <v>0</v>
      </c>
      <c r="AN51" s="368">
        <f t="shared" si="20"/>
        <v>0</v>
      </c>
      <c r="AO51" s="368">
        <f t="shared" si="20"/>
        <v>0</v>
      </c>
      <c r="AP51" s="368">
        <f t="shared" si="20"/>
        <v>0</v>
      </c>
      <c r="AQ51" s="368">
        <f t="shared" si="20"/>
        <v>0</v>
      </c>
      <c r="AR51" s="368">
        <f t="shared" si="20"/>
        <v>0</v>
      </c>
      <c r="AS51" s="368">
        <f t="shared" si="20"/>
        <v>0</v>
      </c>
      <c r="AT51" s="368">
        <f t="shared" si="20"/>
        <v>0</v>
      </c>
      <c r="AW51" s="361"/>
      <c r="AX51" s="361"/>
      <c r="AY51" s="361"/>
      <c r="AZ51" s="361"/>
      <c r="BA51" s="361"/>
      <c r="BB51" s="361"/>
      <c r="BC51" s="361"/>
      <c r="BD51" s="361"/>
      <c r="BE51" s="361"/>
      <c r="BF51" s="361"/>
      <c r="BG51" s="361"/>
      <c r="BH51" s="361"/>
      <c r="BJ51" s="369">
        <f t="shared" si="21"/>
        <v>0</v>
      </c>
      <c r="BK51" s="369">
        <f t="shared" si="21"/>
        <v>0</v>
      </c>
      <c r="BL51" s="369">
        <f t="shared" si="21"/>
        <v>0</v>
      </c>
      <c r="BM51" s="369">
        <f t="shared" si="21"/>
        <v>0</v>
      </c>
      <c r="BN51" s="369">
        <f t="shared" si="21"/>
        <v>0</v>
      </c>
      <c r="BO51" s="369">
        <f t="shared" si="21"/>
        <v>0</v>
      </c>
      <c r="BP51" s="369">
        <f t="shared" si="21"/>
        <v>0</v>
      </c>
      <c r="BQ51" s="369">
        <f t="shared" si="21"/>
        <v>0</v>
      </c>
      <c r="BR51" s="369">
        <f t="shared" si="21"/>
        <v>0</v>
      </c>
      <c r="BS51" s="369">
        <f t="shared" si="21"/>
        <v>0</v>
      </c>
      <c r="BT51" s="369">
        <f t="shared" si="21"/>
        <v>0</v>
      </c>
      <c r="BU51" s="369">
        <f t="shared" si="21"/>
        <v>0</v>
      </c>
      <c r="BW51" s="369" t="e">
        <f>AI51+#REF!+#REF!+#REF!+AW51+BJ51</f>
        <v>#REF!</v>
      </c>
      <c r="BX51" s="369" t="e">
        <f>AJ51+#REF!+#REF!+#REF!+AX51+BK51</f>
        <v>#REF!</v>
      </c>
      <c r="BY51" s="369" t="e">
        <f>AK51+#REF!+#REF!+#REF!+AY51+BL51</f>
        <v>#REF!</v>
      </c>
      <c r="BZ51" s="369" t="e">
        <f>AL51+#REF!+#REF!+#REF!+AZ51+BM51</f>
        <v>#REF!</v>
      </c>
      <c r="CA51" s="369" t="e">
        <f>AM51+#REF!+#REF!+#REF!+BA51+BN51</f>
        <v>#REF!</v>
      </c>
      <c r="CB51" s="369" t="e">
        <f>AN51+#REF!+#REF!+#REF!+BB51+BO51</f>
        <v>#REF!</v>
      </c>
      <c r="CC51" s="369" t="e">
        <f>AO51+#REF!+#REF!+#REF!+BC51+BP51</f>
        <v>#REF!</v>
      </c>
      <c r="CD51" s="369" t="e">
        <f>AP51+#REF!+#REF!+#REF!+BD51+BQ51</f>
        <v>#REF!</v>
      </c>
      <c r="CE51" s="369" t="e">
        <f>AQ51+#REF!+#REF!+#REF!+BE51+BR51</f>
        <v>#REF!</v>
      </c>
      <c r="CF51" s="369" t="e">
        <f>AR51+#REF!+#REF!+#REF!+BF51+BS51</f>
        <v>#REF!</v>
      </c>
      <c r="CG51" s="369" t="e">
        <f>AS51+#REF!+#REF!+#REF!+BG51+BT51</f>
        <v>#REF!</v>
      </c>
      <c r="CH51" s="369" t="e">
        <f>AT51+#REF!+#REF!+#REF!+BH51+BU51</f>
        <v>#REF!</v>
      </c>
    </row>
    <row r="52" spans="11:86" ht="16" hidden="1" x14ac:dyDescent="0.2">
      <c r="K52" s="359"/>
      <c r="L52" s="360"/>
      <c r="M52" s="361"/>
      <c r="N52" s="361"/>
      <c r="O52" s="361"/>
      <c r="P52" s="363">
        <v>5.0000000000000001E-3</v>
      </c>
      <c r="Q52" s="364">
        <f t="shared" si="14"/>
        <v>0</v>
      </c>
      <c r="R52" s="365">
        <v>0</v>
      </c>
      <c r="S52" s="365">
        <v>0.30499999999999999</v>
      </c>
      <c r="T52" s="366">
        <f t="shared" si="15"/>
        <v>0</v>
      </c>
      <c r="V52" s="367"/>
      <c r="W52" s="367"/>
      <c r="X52" s="367"/>
      <c r="Y52" s="367"/>
      <c r="Z52" s="367"/>
      <c r="AA52" s="367"/>
      <c r="AB52" s="367"/>
      <c r="AC52" s="367"/>
      <c r="AD52" s="367"/>
      <c r="AE52" s="367"/>
      <c r="AF52" s="367"/>
      <c r="AG52" s="367"/>
      <c r="AI52" s="368">
        <f t="shared" si="20"/>
        <v>0</v>
      </c>
      <c r="AJ52" s="368">
        <f t="shared" si="20"/>
        <v>0</v>
      </c>
      <c r="AK52" s="368">
        <f t="shared" si="20"/>
        <v>0</v>
      </c>
      <c r="AL52" s="368">
        <f t="shared" si="20"/>
        <v>0</v>
      </c>
      <c r="AM52" s="368">
        <f t="shared" si="20"/>
        <v>0</v>
      </c>
      <c r="AN52" s="368">
        <f t="shared" si="20"/>
        <v>0</v>
      </c>
      <c r="AO52" s="368">
        <f t="shared" si="20"/>
        <v>0</v>
      </c>
      <c r="AP52" s="368">
        <f t="shared" si="20"/>
        <v>0</v>
      </c>
      <c r="AQ52" s="368">
        <f t="shared" si="20"/>
        <v>0</v>
      </c>
      <c r="AR52" s="368">
        <f t="shared" si="20"/>
        <v>0</v>
      </c>
      <c r="AS52" s="368">
        <f t="shared" si="20"/>
        <v>0</v>
      </c>
      <c r="AT52" s="368">
        <f t="shared" si="20"/>
        <v>0</v>
      </c>
      <c r="AW52" s="361"/>
      <c r="AX52" s="361"/>
      <c r="AY52" s="361"/>
      <c r="AZ52" s="361"/>
      <c r="BA52" s="361"/>
      <c r="BB52" s="361"/>
      <c r="BC52" s="361"/>
      <c r="BD52" s="361"/>
      <c r="BE52" s="361"/>
      <c r="BF52" s="361"/>
      <c r="BG52" s="361"/>
      <c r="BH52" s="361"/>
      <c r="BJ52" s="369">
        <f t="shared" si="21"/>
        <v>0</v>
      </c>
      <c r="BK52" s="369">
        <f t="shared" si="21"/>
        <v>0</v>
      </c>
      <c r="BL52" s="369">
        <f t="shared" si="21"/>
        <v>0</v>
      </c>
      <c r="BM52" s="369">
        <f t="shared" si="21"/>
        <v>0</v>
      </c>
      <c r="BN52" s="369">
        <f t="shared" si="21"/>
        <v>0</v>
      </c>
      <c r="BO52" s="369">
        <f t="shared" si="21"/>
        <v>0</v>
      </c>
      <c r="BP52" s="369">
        <f t="shared" si="21"/>
        <v>0</v>
      </c>
      <c r="BQ52" s="369">
        <f t="shared" si="21"/>
        <v>0</v>
      </c>
      <c r="BR52" s="369">
        <f t="shared" si="21"/>
        <v>0</v>
      </c>
      <c r="BS52" s="369">
        <f t="shared" si="21"/>
        <v>0</v>
      </c>
      <c r="BT52" s="369">
        <f t="shared" si="21"/>
        <v>0</v>
      </c>
      <c r="BU52" s="369">
        <f t="shared" si="21"/>
        <v>0</v>
      </c>
      <c r="BW52" s="369" t="e">
        <f>AI52+#REF!+#REF!+#REF!+AW52+BJ52</f>
        <v>#REF!</v>
      </c>
      <c r="BX52" s="369" t="e">
        <f>AJ52+#REF!+#REF!+#REF!+AX52+BK52</f>
        <v>#REF!</v>
      </c>
      <c r="BY52" s="369" t="e">
        <f>AK52+#REF!+#REF!+#REF!+AY52+BL52</f>
        <v>#REF!</v>
      </c>
      <c r="BZ52" s="369" t="e">
        <f>AL52+#REF!+#REF!+#REF!+AZ52+BM52</f>
        <v>#REF!</v>
      </c>
      <c r="CA52" s="369" t="e">
        <f>AM52+#REF!+#REF!+#REF!+BA52+BN52</f>
        <v>#REF!</v>
      </c>
      <c r="CB52" s="369" t="e">
        <f>AN52+#REF!+#REF!+#REF!+BB52+BO52</f>
        <v>#REF!</v>
      </c>
      <c r="CC52" s="369" t="e">
        <f>AO52+#REF!+#REF!+#REF!+BC52+BP52</f>
        <v>#REF!</v>
      </c>
      <c r="CD52" s="369" t="e">
        <f>AP52+#REF!+#REF!+#REF!+BD52+BQ52</f>
        <v>#REF!</v>
      </c>
      <c r="CE52" s="369" t="e">
        <f>AQ52+#REF!+#REF!+#REF!+BE52+BR52</f>
        <v>#REF!</v>
      </c>
      <c r="CF52" s="369" t="e">
        <f>AR52+#REF!+#REF!+#REF!+BF52+BS52</f>
        <v>#REF!</v>
      </c>
      <c r="CG52" s="369" t="e">
        <f>AS52+#REF!+#REF!+#REF!+BG52+BT52</f>
        <v>#REF!</v>
      </c>
      <c r="CH52" s="369" t="e">
        <f>AT52+#REF!+#REF!+#REF!+BH52+BU52</f>
        <v>#REF!</v>
      </c>
    </row>
    <row r="53" spans="11:86" ht="16" hidden="1" x14ac:dyDescent="0.2">
      <c r="K53" s="359"/>
      <c r="L53" s="360"/>
      <c r="M53" s="361"/>
      <c r="N53" s="361"/>
      <c r="O53" s="361"/>
      <c r="P53" s="363">
        <v>5.0000000000000001E-3</v>
      </c>
      <c r="Q53" s="364">
        <f t="shared" si="14"/>
        <v>0</v>
      </c>
      <c r="R53" s="365">
        <v>0</v>
      </c>
      <c r="S53" s="365">
        <v>0.30499999999999999</v>
      </c>
      <c r="T53" s="366">
        <f t="shared" si="15"/>
        <v>0</v>
      </c>
      <c r="V53" s="367"/>
      <c r="W53" s="367"/>
      <c r="X53" s="367"/>
      <c r="Y53" s="367"/>
      <c r="Z53" s="367"/>
      <c r="AA53" s="367"/>
      <c r="AB53" s="367"/>
      <c r="AC53" s="367"/>
      <c r="AD53" s="367"/>
      <c r="AE53" s="367"/>
      <c r="AF53" s="367"/>
      <c r="AG53" s="367"/>
      <c r="AI53" s="368">
        <f t="shared" si="20"/>
        <v>0</v>
      </c>
      <c r="AJ53" s="368">
        <f t="shared" si="20"/>
        <v>0</v>
      </c>
      <c r="AK53" s="368">
        <f t="shared" si="20"/>
        <v>0</v>
      </c>
      <c r="AL53" s="368">
        <f t="shared" ref="AL53:AT75" si="22">$Q53/12*Y53</f>
        <v>0</v>
      </c>
      <c r="AM53" s="368">
        <f t="shared" si="22"/>
        <v>0</v>
      </c>
      <c r="AN53" s="368">
        <f t="shared" si="22"/>
        <v>0</v>
      </c>
      <c r="AO53" s="368">
        <f t="shared" si="22"/>
        <v>0</v>
      </c>
      <c r="AP53" s="368">
        <f t="shared" si="22"/>
        <v>0</v>
      </c>
      <c r="AQ53" s="368">
        <f t="shared" si="22"/>
        <v>0</v>
      </c>
      <c r="AR53" s="368">
        <f t="shared" si="22"/>
        <v>0</v>
      </c>
      <c r="AS53" s="368">
        <f t="shared" si="22"/>
        <v>0</v>
      </c>
      <c r="AT53" s="368">
        <f t="shared" si="22"/>
        <v>0</v>
      </c>
      <c r="AW53" s="361"/>
      <c r="AX53" s="361"/>
      <c r="AY53" s="361"/>
      <c r="AZ53" s="361"/>
      <c r="BA53" s="361"/>
      <c r="BB53" s="361"/>
      <c r="BC53" s="361"/>
      <c r="BD53" s="361"/>
      <c r="BE53" s="361"/>
      <c r="BF53" s="361"/>
      <c r="BG53" s="361"/>
      <c r="BH53" s="361"/>
      <c r="BJ53" s="369">
        <f t="shared" si="21"/>
        <v>0</v>
      </c>
      <c r="BK53" s="369">
        <f t="shared" si="21"/>
        <v>0</v>
      </c>
      <c r="BL53" s="369">
        <f t="shared" si="21"/>
        <v>0</v>
      </c>
      <c r="BM53" s="369">
        <f t="shared" ref="BM53:BU75" si="23">$Q53*$S53/12*Y53</f>
        <v>0</v>
      </c>
      <c r="BN53" s="369">
        <f t="shared" si="23"/>
        <v>0</v>
      </c>
      <c r="BO53" s="369">
        <f t="shared" si="23"/>
        <v>0</v>
      </c>
      <c r="BP53" s="369">
        <f t="shared" si="23"/>
        <v>0</v>
      </c>
      <c r="BQ53" s="369">
        <f t="shared" si="23"/>
        <v>0</v>
      </c>
      <c r="BR53" s="369">
        <f t="shared" si="23"/>
        <v>0</v>
      </c>
      <c r="BS53" s="369">
        <f t="shared" si="23"/>
        <v>0</v>
      </c>
      <c r="BT53" s="369">
        <f t="shared" si="23"/>
        <v>0</v>
      </c>
      <c r="BU53" s="369">
        <f t="shared" si="23"/>
        <v>0</v>
      </c>
      <c r="BW53" s="369" t="e">
        <f>AI53+#REF!+#REF!+#REF!+AW53+BJ53</f>
        <v>#REF!</v>
      </c>
      <c r="BX53" s="369" t="e">
        <f>AJ53+#REF!+#REF!+#REF!+AX53+BK53</f>
        <v>#REF!</v>
      </c>
      <c r="BY53" s="369" t="e">
        <f>AK53+#REF!+#REF!+#REF!+AY53+BL53</f>
        <v>#REF!</v>
      </c>
      <c r="BZ53" s="369" t="e">
        <f>AL53+#REF!+#REF!+#REF!+AZ53+BM53</f>
        <v>#REF!</v>
      </c>
      <c r="CA53" s="369" t="e">
        <f>AM53+#REF!+#REF!+#REF!+BA53+BN53</f>
        <v>#REF!</v>
      </c>
      <c r="CB53" s="369" t="e">
        <f>AN53+#REF!+#REF!+#REF!+BB53+BO53</f>
        <v>#REF!</v>
      </c>
      <c r="CC53" s="369" t="e">
        <f>AO53+#REF!+#REF!+#REF!+BC53+BP53</f>
        <v>#REF!</v>
      </c>
      <c r="CD53" s="369" t="e">
        <f>AP53+#REF!+#REF!+#REF!+BD53+BQ53</f>
        <v>#REF!</v>
      </c>
      <c r="CE53" s="369" t="e">
        <f>AQ53+#REF!+#REF!+#REF!+BE53+BR53</f>
        <v>#REF!</v>
      </c>
      <c r="CF53" s="369" t="e">
        <f>AR53+#REF!+#REF!+#REF!+BF53+BS53</f>
        <v>#REF!</v>
      </c>
      <c r="CG53" s="369" t="e">
        <f>AS53+#REF!+#REF!+#REF!+BG53+BT53</f>
        <v>#REF!</v>
      </c>
      <c r="CH53" s="369" t="e">
        <f>AT53+#REF!+#REF!+#REF!+BH53+BU53</f>
        <v>#REF!</v>
      </c>
    </row>
    <row r="54" spans="11:86" ht="16" hidden="1" x14ac:dyDescent="0.2">
      <c r="K54" s="359"/>
      <c r="L54" s="360"/>
      <c r="M54" s="361"/>
      <c r="N54" s="361"/>
      <c r="O54" s="361"/>
      <c r="P54" s="363">
        <v>5.0000000000000001E-3</v>
      </c>
      <c r="Q54" s="364">
        <f t="shared" si="14"/>
        <v>0</v>
      </c>
      <c r="R54" s="365">
        <v>0</v>
      </c>
      <c r="S54" s="365">
        <v>0.30499999999999999</v>
      </c>
      <c r="T54" s="366">
        <f t="shared" si="15"/>
        <v>0</v>
      </c>
      <c r="V54" s="367"/>
      <c r="W54" s="367"/>
      <c r="X54" s="367"/>
      <c r="Y54" s="367"/>
      <c r="Z54" s="367"/>
      <c r="AA54" s="367"/>
      <c r="AB54" s="367"/>
      <c r="AC54" s="367"/>
      <c r="AD54" s="367"/>
      <c r="AE54" s="367"/>
      <c r="AF54" s="367"/>
      <c r="AG54" s="367"/>
      <c r="AI54" s="368">
        <f t="shared" ref="AI54:AK75" si="24">$Q54/12*V54</f>
        <v>0</v>
      </c>
      <c r="AJ54" s="368">
        <f t="shared" si="24"/>
        <v>0</v>
      </c>
      <c r="AK54" s="368">
        <f t="shared" si="24"/>
        <v>0</v>
      </c>
      <c r="AL54" s="368">
        <f t="shared" si="22"/>
        <v>0</v>
      </c>
      <c r="AM54" s="368">
        <f t="shared" si="22"/>
        <v>0</v>
      </c>
      <c r="AN54" s="368">
        <f t="shared" si="22"/>
        <v>0</v>
      </c>
      <c r="AO54" s="368">
        <f t="shared" si="22"/>
        <v>0</v>
      </c>
      <c r="AP54" s="368">
        <f t="shared" si="22"/>
        <v>0</v>
      </c>
      <c r="AQ54" s="368">
        <f t="shared" si="22"/>
        <v>0</v>
      </c>
      <c r="AR54" s="368">
        <f t="shared" si="22"/>
        <v>0</v>
      </c>
      <c r="AS54" s="368">
        <f t="shared" si="22"/>
        <v>0</v>
      </c>
      <c r="AT54" s="368">
        <f t="shared" si="22"/>
        <v>0</v>
      </c>
      <c r="AW54" s="361"/>
      <c r="AX54" s="361"/>
      <c r="AY54" s="361"/>
      <c r="AZ54" s="361"/>
      <c r="BA54" s="361"/>
      <c r="BB54" s="361"/>
      <c r="BC54" s="361"/>
      <c r="BD54" s="361"/>
      <c r="BE54" s="361"/>
      <c r="BF54" s="361"/>
      <c r="BG54" s="361"/>
      <c r="BH54" s="361"/>
      <c r="BJ54" s="369">
        <f t="shared" ref="BJ54:BL75" si="25">$Q54*$S54/12*V54</f>
        <v>0</v>
      </c>
      <c r="BK54" s="369">
        <f t="shared" si="25"/>
        <v>0</v>
      </c>
      <c r="BL54" s="369">
        <f t="shared" si="25"/>
        <v>0</v>
      </c>
      <c r="BM54" s="369">
        <f t="shared" si="23"/>
        <v>0</v>
      </c>
      <c r="BN54" s="369">
        <f t="shared" si="23"/>
        <v>0</v>
      </c>
      <c r="BO54" s="369">
        <f t="shared" si="23"/>
        <v>0</v>
      </c>
      <c r="BP54" s="369">
        <f t="shared" si="23"/>
        <v>0</v>
      </c>
      <c r="BQ54" s="369">
        <f t="shared" si="23"/>
        <v>0</v>
      </c>
      <c r="BR54" s="369">
        <f t="shared" si="23"/>
        <v>0</v>
      </c>
      <c r="BS54" s="369">
        <f t="shared" si="23"/>
        <v>0</v>
      </c>
      <c r="BT54" s="369">
        <f t="shared" si="23"/>
        <v>0</v>
      </c>
      <c r="BU54" s="369">
        <f t="shared" si="23"/>
        <v>0</v>
      </c>
      <c r="BW54" s="369" t="e">
        <f>AI54+#REF!+#REF!+#REF!+AW54+BJ54</f>
        <v>#REF!</v>
      </c>
      <c r="BX54" s="369" t="e">
        <f>AJ54+#REF!+#REF!+#REF!+AX54+BK54</f>
        <v>#REF!</v>
      </c>
      <c r="BY54" s="369" t="e">
        <f>AK54+#REF!+#REF!+#REF!+AY54+BL54</f>
        <v>#REF!</v>
      </c>
      <c r="BZ54" s="369" t="e">
        <f>AL54+#REF!+#REF!+#REF!+AZ54+BM54</f>
        <v>#REF!</v>
      </c>
      <c r="CA54" s="369" t="e">
        <f>AM54+#REF!+#REF!+#REF!+BA54+BN54</f>
        <v>#REF!</v>
      </c>
      <c r="CB54" s="369" t="e">
        <f>AN54+#REF!+#REF!+#REF!+BB54+BO54</f>
        <v>#REF!</v>
      </c>
      <c r="CC54" s="369" t="e">
        <f>AO54+#REF!+#REF!+#REF!+BC54+BP54</f>
        <v>#REF!</v>
      </c>
      <c r="CD54" s="369" t="e">
        <f>AP54+#REF!+#REF!+#REF!+BD54+BQ54</f>
        <v>#REF!</v>
      </c>
      <c r="CE54" s="369" t="e">
        <f>AQ54+#REF!+#REF!+#REF!+BE54+BR54</f>
        <v>#REF!</v>
      </c>
      <c r="CF54" s="369" t="e">
        <f>AR54+#REF!+#REF!+#REF!+BF54+BS54</f>
        <v>#REF!</v>
      </c>
      <c r="CG54" s="369" t="e">
        <f>AS54+#REF!+#REF!+#REF!+BG54+BT54</f>
        <v>#REF!</v>
      </c>
      <c r="CH54" s="369" t="e">
        <f>AT54+#REF!+#REF!+#REF!+BH54+BU54</f>
        <v>#REF!</v>
      </c>
    </row>
    <row r="55" spans="11:86" ht="16" hidden="1" x14ac:dyDescent="0.2">
      <c r="K55" s="359"/>
      <c r="L55" s="360"/>
      <c r="M55" s="361"/>
      <c r="N55" s="361"/>
      <c r="O55" s="361"/>
      <c r="P55" s="363">
        <v>5.0000000000000001E-3</v>
      </c>
      <c r="Q55" s="364">
        <f t="shared" si="14"/>
        <v>0</v>
      </c>
      <c r="R55" s="365">
        <v>0</v>
      </c>
      <c r="S55" s="365">
        <v>0.30499999999999999</v>
      </c>
      <c r="T55" s="366">
        <f t="shared" si="15"/>
        <v>0</v>
      </c>
      <c r="V55" s="367"/>
      <c r="W55" s="367"/>
      <c r="X55" s="367"/>
      <c r="Y55" s="367"/>
      <c r="Z55" s="367"/>
      <c r="AA55" s="367"/>
      <c r="AB55" s="367"/>
      <c r="AC55" s="367"/>
      <c r="AD55" s="367"/>
      <c r="AE55" s="367"/>
      <c r="AF55" s="367"/>
      <c r="AG55" s="367"/>
      <c r="AI55" s="368">
        <f t="shared" si="24"/>
        <v>0</v>
      </c>
      <c r="AJ55" s="368">
        <f t="shared" si="24"/>
        <v>0</v>
      </c>
      <c r="AK55" s="368">
        <f t="shared" si="24"/>
        <v>0</v>
      </c>
      <c r="AL55" s="368">
        <f t="shared" si="22"/>
        <v>0</v>
      </c>
      <c r="AM55" s="368">
        <f t="shared" si="22"/>
        <v>0</v>
      </c>
      <c r="AN55" s="368">
        <f t="shared" si="22"/>
        <v>0</v>
      </c>
      <c r="AO55" s="368">
        <f t="shared" si="22"/>
        <v>0</v>
      </c>
      <c r="AP55" s="368">
        <f t="shared" si="22"/>
        <v>0</v>
      </c>
      <c r="AQ55" s="368">
        <f t="shared" si="22"/>
        <v>0</v>
      </c>
      <c r="AR55" s="368">
        <f t="shared" si="22"/>
        <v>0</v>
      </c>
      <c r="AS55" s="368">
        <f t="shared" si="22"/>
        <v>0</v>
      </c>
      <c r="AT55" s="368">
        <f t="shared" si="22"/>
        <v>0</v>
      </c>
      <c r="AW55" s="361"/>
      <c r="AX55" s="361"/>
      <c r="AY55" s="361"/>
      <c r="AZ55" s="361"/>
      <c r="BA55" s="361"/>
      <c r="BB55" s="361"/>
      <c r="BC55" s="361"/>
      <c r="BD55" s="361"/>
      <c r="BE55" s="361"/>
      <c r="BF55" s="361"/>
      <c r="BG55" s="361"/>
      <c r="BH55" s="361"/>
      <c r="BJ55" s="369">
        <f t="shared" si="25"/>
        <v>0</v>
      </c>
      <c r="BK55" s="369">
        <f t="shared" si="25"/>
        <v>0</v>
      </c>
      <c r="BL55" s="369">
        <f t="shared" si="25"/>
        <v>0</v>
      </c>
      <c r="BM55" s="369">
        <f t="shared" si="23"/>
        <v>0</v>
      </c>
      <c r="BN55" s="369">
        <f t="shared" si="23"/>
        <v>0</v>
      </c>
      <c r="BO55" s="369">
        <f t="shared" si="23"/>
        <v>0</v>
      </c>
      <c r="BP55" s="369">
        <f t="shared" si="23"/>
        <v>0</v>
      </c>
      <c r="BQ55" s="369">
        <f t="shared" si="23"/>
        <v>0</v>
      </c>
      <c r="BR55" s="369">
        <f t="shared" si="23"/>
        <v>0</v>
      </c>
      <c r="BS55" s="369">
        <f t="shared" si="23"/>
        <v>0</v>
      </c>
      <c r="BT55" s="369">
        <f t="shared" si="23"/>
        <v>0</v>
      </c>
      <c r="BU55" s="369">
        <f t="shared" si="23"/>
        <v>0</v>
      </c>
      <c r="BW55" s="369" t="e">
        <f>AI55+#REF!+#REF!+#REF!+AW55+BJ55</f>
        <v>#REF!</v>
      </c>
      <c r="BX55" s="369" t="e">
        <f>AJ55+#REF!+#REF!+#REF!+AX55+BK55</f>
        <v>#REF!</v>
      </c>
      <c r="BY55" s="369" t="e">
        <f>AK55+#REF!+#REF!+#REF!+AY55+BL55</f>
        <v>#REF!</v>
      </c>
      <c r="BZ55" s="369" t="e">
        <f>AL55+#REF!+#REF!+#REF!+AZ55+BM55</f>
        <v>#REF!</v>
      </c>
      <c r="CA55" s="369" t="e">
        <f>AM55+#REF!+#REF!+#REF!+BA55+BN55</f>
        <v>#REF!</v>
      </c>
      <c r="CB55" s="369" t="e">
        <f>AN55+#REF!+#REF!+#REF!+BB55+BO55</f>
        <v>#REF!</v>
      </c>
      <c r="CC55" s="369" t="e">
        <f>AO55+#REF!+#REF!+#REF!+BC55+BP55</f>
        <v>#REF!</v>
      </c>
      <c r="CD55" s="369" t="e">
        <f>AP55+#REF!+#REF!+#REF!+BD55+BQ55</f>
        <v>#REF!</v>
      </c>
      <c r="CE55" s="369" t="e">
        <f>AQ55+#REF!+#REF!+#REF!+BE55+BR55</f>
        <v>#REF!</v>
      </c>
      <c r="CF55" s="369" t="e">
        <f>AR55+#REF!+#REF!+#REF!+BF55+BS55</f>
        <v>#REF!</v>
      </c>
      <c r="CG55" s="369" t="e">
        <f>AS55+#REF!+#REF!+#REF!+BG55+BT55</f>
        <v>#REF!</v>
      </c>
      <c r="CH55" s="369" t="e">
        <f>AT55+#REF!+#REF!+#REF!+BH55+BU55</f>
        <v>#REF!</v>
      </c>
    </row>
    <row r="56" spans="11:86" ht="16" hidden="1" x14ac:dyDescent="0.2">
      <c r="K56" s="359"/>
      <c r="L56" s="360"/>
      <c r="M56" s="361"/>
      <c r="N56" s="361"/>
      <c r="O56" s="361"/>
      <c r="P56" s="363">
        <v>5.0000000000000001E-3</v>
      </c>
      <c r="Q56" s="364">
        <f t="shared" si="14"/>
        <v>0</v>
      </c>
      <c r="R56" s="365">
        <v>0</v>
      </c>
      <c r="S56" s="365">
        <v>0.30499999999999999</v>
      </c>
      <c r="T56" s="366">
        <f t="shared" si="15"/>
        <v>0</v>
      </c>
      <c r="V56" s="367"/>
      <c r="W56" s="367"/>
      <c r="X56" s="367"/>
      <c r="Y56" s="367"/>
      <c r="Z56" s="367"/>
      <c r="AA56" s="367"/>
      <c r="AB56" s="367"/>
      <c r="AC56" s="367"/>
      <c r="AD56" s="367"/>
      <c r="AE56" s="367"/>
      <c r="AF56" s="367"/>
      <c r="AG56" s="367"/>
      <c r="AI56" s="368">
        <f t="shared" si="24"/>
        <v>0</v>
      </c>
      <c r="AJ56" s="368">
        <f t="shared" si="24"/>
        <v>0</v>
      </c>
      <c r="AK56" s="368">
        <f t="shared" si="24"/>
        <v>0</v>
      </c>
      <c r="AL56" s="368">
        <f t="shared" si="22"/>
        <v>0</v>
      </c>
      <c r="AM56" s="368">
        <f t="shared" si="22"/>
        <v>0</v>
      </c>
      <c r="AN56" s="368">
        <f t="shared" si="22"/>
        <v>0</v>
      </c>
      <c r="AO56" s="368">
        <f t="shared" si="22"/>
        <v>0</v>
      </c>
      <c r="AP56" s="368">
        <f t="shared" si="22"/>
        <v>0</v>
      </c>
      <c r="AQ56" s="368">
        <f t="shared" si="22"/>
        <v>0</v>
      </c>
      <c r="AR56" s="368">
        <f t="shared" si="22"/>
        <v>0</v>
      </c>
      <c r="AS56" s="368">
        <f t="shared" si="22"/>
        <v>0</v>
      </c>
      <c r="AT56" s="368">
        <f t="shared" si="22"/>
        <v>0</v>
      </c>
      <c r="AW56" s="361"/>
      <c r="AX56" s="361"/>
      <c r="AY56" s="361"/>
      <c r="AZ56" s="361"/>
      <c r="BA56" s="361"/>
      <c r="BB56" s="361"/>
      <c r="BC56" s="361"/>
      <c r="BD56" s="361"/>
      <c r="BE56" s="361"/>
      <c r="BF56" s="361"/>
      <c r="BG56" s="361"/>
      <c r="BH56" s="361"/>
      <c r="BJ56" s="369">
        <f t="shared" si="25"/>
        <v>0</v>
      </c>
      <c r="BK56" s="369">
        <f t="shared" si="25"/>
        <v>0</v>
      </c>
      <c r="BL56" s="369">
        <f t="shared" si="25"/>
        <v>0</v>
      </c>
      <c r="BM56" s="369">
        <f t="shared" si="23"/>
        <v>0</v>
      </c>
      <c r="BN56" s="369">
        <f t="shared" si="23"/>
        <v>0</v>
      </c>
      <c r="BO56" s="369">
        <f t="shared" si="23"/>
        <v>0</v>
      </c>
      <c r="BP56" s="369">
        <f t="shared" si="23"/>
        <v>0</v>
      </c>
      <c r="BQ56" s="369">
        <f t="shared" si="23"/>
        <v>0</v>
      </c>
      <c r="BR56" s="369">
        <f t="shared" si="23"/>
        <v>0</v>
      </c>
      <c r="BS56" s="369">
        <f t="shared" si="23"/>
        <v>0</v>
      </c>
      <c r="BT56" s="369">
        <f t="shared" si="23"/>
        <v>0</v>
      </c>
      <c r="BU56" s="369">
        <f t="shared" si="23"/>
        <v>0</v>
      </c>
      <c r="BW56" s="369" t="e">
        <f>AI56+#REF!+#REF!+#REF!+AW56+BJ56</f>
        <v>#REF!</v>
      </c>
      <c r="BX56" s="369" t="e">
        <f>AJ56+#REF!+#REF!+#REF!+AX56+BK56</f>
        <v>#REF!</v>
      </c>
      <c r="BY56" s="369" t="e">
        <f>AK56+#REF!+#REF!+#REF!+AY56+BL56</f>
        <v>#REF!</v>
      </c>
      <c r="BZ56" s="369" t="e">
        <f>AL56+#REF!+#REF!+#REF!+AZ56+BM56</f>
        <v>#REF!</v>
      </c>
      <c r="CA56" s="369" t="e">
        <f>AM56+#REF!+#REF!+#REF!+BA56+BN56</f>
        <v>#REF!</v>
      </c>
      <c r="CB56" s="369" t="e">
        <f>AN56+#REF!+#REF!+#REF!+BB56+BO56</f>
        <v>#REF!</v>
      </c>
      <c r="CC56" s="369" t="e">
        <f>AO56+#REF!+#REF!+#REF!+BC56+BP56</f>
        <v>#REF!</v>
      </c>
      <c r="CD56" s="369" t="e">
        <f>AP56+#REF!+#REF!+#REF!+BD56+BQ56</f>
        <v>#REF!</v>
      </c>
      <c r="CE56" s="369" t="e">
        <f>AQ56+#REF!+#REF!+#REF!+BE56+BR56</f>
        <v>#REF!</v>
      </c>
      <c r="CF56" s="369" t="e">
        <f>AR56+#REF!+#REF!+#REF!+BF56+BS56</f>
        <v>#REF!</v>
      </c>
      <c r="CG56" s="369" t="e">
        <f>AS56+#REF!+#REF!+#REF!+BG56+BT56</f>
        <v>#REF!</v>
      </c>
      <c r="CH56" s="369" t="e">
        <f>AT56+#REF!+#REF!+#REF!+BH56+BU56</f>
        <v>#REF!</v>
      </c>
    </row>
    <row r="57" spans="11:86" ht="16" hidden="1" x14ac:dyDescent="0.2">
      <c r="K57" s="359"/>
      <c r="L57" s="360"/>
      <c r="M57" s="361"/>
      <c r="N57" s="361"/>
      <c r="O57" s="361"/>
      <c r="P57" s="363">
        <v>5.0000000000000001E-3</v>
      </c>
      <c r="Q57" s="364">
        <f t="shared" si="14"/>
        <v>0</v>
      </c>
      <c r="R57" s="365">
        <v>0</v>
      </c>
      <c r="S57" s="365">
        <v>0.30499999999999999</v>
      </c>
      <c r="T57" s="366">
        <f t="shared" si="15"/>
        <v>0</v>
      </c>
      <c r="V57" s="367"/>
      <c r="W57" s="367"/>
      <c r="X57" s="367"/>
      <c r="Y57" s="367"/>
      <c r="Z57" s="367"/>
      <c r="AA57" s="367"/>
      <c r="AB57" s="367"/>
      <c r="AC57" s="367"/>
      <c r="AD57" s="367"/>
      <c r="AE57" s="367"/>
      <c r="AF57" s="367"/>
      <c r="AG57" s="367"/>
      <c r="AI57" s="368">
        <f t="shared" si="24"/>
        <v>0</v>
      </c>
      <c r="AJ57" s="368">
        <f t="shared" si="24"/>
        <v>0</v>
      </c>
      <c r="AK57" s="368">
        <f t="shared" si="24"/>
        <v>0</v>
      </c>
      <c r="AL57" s="368">
        <f t="shared" si="22"/>
        <v>0</v>
      </c>
      <c r="AM57" s="368">
        <f t="shared" si="22"/>
        <v>0</v>
      </c>
      <c r="AN57" s="368">
        <f t="shared" si="22"/>
        <v>0</v>
      </c>
      <c r="AO57" s="368">
        <f t="shared" si="22"/>
        <v>0</v>
      </c>
      <c r="AP57" s="368">
        <f t="shared" si="22"/>
        <v>0</v>
      </c>
      <c r="AQ57" s="368">
        <f t="shared" si="22"/>
        <v>0</v>
      </c>
      <c r="AR57" s="368">
        <f t="shared" si="22"/>
        <v>0</v>
      </c>
      <c r="AS57" s="368">
        <f t="shared" si="22"/>
        <v>0</v>
      </c>
      <c r="AT57" s="368">
        <f t="shared" si="22"/>
        <v>0</v>
      </c>
      <c r="AW57" s="361"/>
      <c r="AX57" s="361"/>
      <c r="AY57" s="361"/>
      <c r="AZ57" s="361"/>
      <c r="BA57" s="361"/>
      <c r="BB57" s="361"/>
      <c r="BC57" s="361"/>
      <c r="BD57" s="361"/>
      <c r="BE57" s="361"/>
      <c r="BF57" s="361"/>
      <c r="BG57" s="361"/>
      <c r="BH57" s="361"/>
      <c r="BJ57" s="369">
        <f t="shared" si="25"/>
        <v>0</v>
      </c>
      <c r="BK57" s="369">
        <f t="shared" si="25"/>
        <v>0</v>
      </c>
      <c r="BL57" s="369">
        <f t="shared" si="25"/>
        <v>0</v>
      </c>
      <c r="BM57" s="369">
        <f t="shared" si="23"/>
        <v>0</v>
      </c>
      <c r="BN57" s="369">
        <f t="shared" si="23"/>
        <v>0</v>
      </c>
      <c r="BO57" s="369">
        <f t="shared" si="23"/>
        <v>0</v>
      </c>
      <c r="BP57" s="369">
        <f t="shared" si="23"/>
        <v>0</v>
      </c>
      <c r="BQ57" s="369">
        <f t="shared" si="23"/>
        <v>0</v>
      </c>
      <c r="BR57" s="369">
        <f t="shared" si="23"/>
        <v>0</v>
      </c>
      <c r="BS57" s="369">
        <f t="shared" si="23"/>
        <v>0</v>
      </c>
      <c r="BT57" s="369">
        <f t="shared" si="23"/>
        <v>0</v>
      </c>
      <c r="BU57" s="369">
        <f t="shared" si="23"/>
        <v>0</v>
      </c>
      <c r="BW57" s="369" t="e">
        <f>AI57+#REF!+#REF!+#REF!+AW57+BJ57</f>
        <v>#REF!</v>
      </c>
      <c r="BX57" s="369" t="e">
        <f>AJ57+#REF!+#REF!+#REF!+AX57+BK57</f>
        <v>#REF!</v>
      </c>
      <c r="BY57" s="369" t="e">
        <f>AK57+#REF!+#REF!+#REF!+AY57+BL57</f>
        <v>#REF!</v>
      </c>
      <c r="BZ57" s="369" t="e">
        <f>AL57+#REF!+#REF!+#REF!+AZ57+BM57</f>
        <v>#REF!</v>
      </c>
      <c r="CA57" s="369" t="e">
        <f>AM57+#REF!+#REF!+#REF!+BA57+BN57</f>
        <v>#REF!</v>
      </c>
      <c r="CB57" s="369" t="e">
        <f>AN57+#REF!+#REF!+#REF!+BB57+BO57</f>
        <v>#REF!</v>
      </c>
      <c r="CC57" s="369" t="e">
        <f>AO57+#REF!+#REF!+#REF!+BC57+BP57</f>
        <v>#REF!</v>
      </c>
      <c r="CD57" s="369" t="e">
        <f>AP57+#REF!+#REF!+#REF!+BD57+BQ57</f>
        <v>#REF!</v>
      </c>
      <c r="CE57" s="369" t="e">
        <f>AQ57+#REF!+#REF!+#REF!+BE57+BR57</f>
        <v>#REF!</v>
      </c>
      <c r="CF57" s="369" t="e">
        <f>AR57+#REF!+#REF!+#REF!+BF57+BS57</f>
        <v>#REF!</v>
      </c>
      <c r="CG57" s="369" t="e">
        <f>AS57+#REF!+#REF!+#REF!+BG57+BT57</f>
        <v>#REF!</v>
      </c>
      <c r="CH57" s="369" t="e">
        <f>AT57+#REF!+#REF!+#REF!+BH57+BU57</f>
        <v>#REF!</v>
      </c>
    </row>
    <row r="58" spans="11:86" ht="16" hidden="1" x14ac:dyDescent="0.2">
      <c r="K58" s="359"/>
      <c r="L58" s="360"/>
      <c r="M58" s="361"/>
      <c r="N58" s="361"/>
      <c r="O58" s="361"/>
      <c r="P58" s="363">
        <v>5.0000000000000001E-3</v>
      </c>
      <c r="Q58" s="364">
        <f t="shared" si="14"/>
        <v>0</v>
      </c>
      <c r="R58" s="365">
        <v>0</v>
      </c>
      <c r="S58" s="365">
        <v>0.30499999999999999</v>
      </c>
      <c r="T58" s="366">
        <f t="shared" si="15"/>
        <v>0</v>
      </c>
      <c r="V58" s="367"/>
      <c r="W58" s="367"/>
      <c r="X58" s="367"/>
      <c r="Y58" s="367"/>
      <c r="Z58" s="367"/>
      <c r="AA58" s="367"/>
      <c r="AB58" s="367"/>
      <c r="AC58" s="367"/>
      <c r="AD58" s="367"/>
      <c r="AE58" s="367"/>
      <c r="AF58" s="367"/>
      <c r="AG58" s="367"/>
      <c r="AI58" s="368">
        <f t="shared" si="24"/>
        <v>0</v>
      </c>
      <c r="AJ58" s="368">
        <f t="shared" si="24"/>
        <v>0</v>
      </c>
      <c r="AK58" s="368">
        <f t="shared" si="24"/>
        <v>0</v>
      </c>
      <c r="AL58" s="368">
        <f t="shared" si="22"/>
        <v>0</v>
      </c>
      <c r="AM58" s="368">
        <f t="shared" si="22"/>
        <v>0</v>
      </c>
      <c r="AN58" s="368">
        <f t="shared" si="22"/>
        <v>0</v>
      </c>
      <c r="AO58" s="368">
        <f t="shared" si="22"/>
        <v>0</v>
      </c>
      <c r="AP58" s="368">
        <f t="shared" si="22"/>
        <v>0</v>
      </c>
      <c r="AQ58" s="368">
        <f t="shared" si="22"/>
        <v>0</v>
      </c>
      <c r="AR58" s="368">
        <f t="shared" si="22"/>
        <v>0</v>
      </c>
      <c r="AS58" s="368">
        <f t="shared" si="22"/>
        <v>0</v>
      </c>
      <c r="AT58" s="368">
        <f t="shared" si="22"/>
        <v>0</v>
      </c>
      <c r="AW58" s="361"/>
      <c r="AX58" s="361"/>
      <c r="AY58" s="361"/>
      <c r="AZ58" s="361"/>
      <c r="BA58" s="361"/>
      <c r="BB58" s="361"/>
      <c r="BC58" s="361"/>
      <c r="BD58" s="361"/>
      <c r="BE58" s="361"/>
      <c r="BF58" s="361"/>
      <c r="BG58" s="361"/>
      <c r="BH58" s="361"/>
      <c r="BJ58" s="369">
        <f t="shared" si="25"/>
        <v>0</v>
      </c>
      <c r="BK58" s="369">
        <f t="shared" si="25"/>
        <v>0</v>
      </c>
      <c r="BL58" s="369">
        <f t="shared" si="25"/>
        <v>0</v>
      </c>
      <c r="BM58" s="369">
        <f t="shared" si="23"/>
        <v>0</v>
      </c>
      <c r="BN58" s="369">
        <f t="shared" si="23"/>
        <v>0</v>
      </c>
      <c r="BO58" s="369">
        <f t="shared" si="23"/>
        <v>0</v>
      </c>
      <c r="BP58" s="369">
        <f t="shared" si="23"/>
        <v>0</v>
      </c>
      <c r="BQ58" s="369">
        <f t="shared" si="23"/>
        <v>0</v>
      </c>
      <c r="BR58" s="369">
        <f t="shared" si="23"/>
        <v>0</v>
      </c>
      <c r="BS58" s="369">
        <f t="shared" si="23"/>
        <v>0</v>
      </c>
      <c r="BT58" s="369">
        <f t="shared" si="23"/>
        <v>0</v>
      </c>
      <c r="BU58" s="369">
        <f t="shared" si="23"/>
        <v>0</v>
      </c>
      <c r="BW58" s="369" t="e">
        <f>AI58+#REF!+#REF!+#REF!+AW58+BJ58</f>
        <v>#REF!</v>
      </c>
      <c r="BX58" s="369" t="e">
        <f>AJ58+#REF!+#REF!+#REF!+AX58+BK58</f>
        <v>#REF!</v>
      </c>
      <c r="BY58" s="369" t="e">
        <f>AK58+#REF!+#REF!+#REF!+AY58+BL58</f>
        <v>#REF!</v>
      </c>
      <c r="BZ58" s="369" t="e">
        <f>AL58+#REF!+#REF!+#REF!+AZ58+BM58</f>
        <v>#REF!</v>
      </c>
      <c r="CA58" s="369" t="e">
        <f>AM58+#REF!+#REF!+#REF!+BA58+BN58</f>
        <v>#REF!</v>
      </c>
      <c r="CB58" s="369" t="e">
        <f>AN58+#REF!+#REF!+#REF!+BB58+BO58</f>
        <v>#REF!</v>
      </c>
      <c r="CC58" s="369" t="e">
        <f>AO58+#REF!+#REF!+#REF!+BC58+BP58</f>
        <v>#REF!</v>
      </c>
      <c r="CD58" s="369" t="e">
        <f>AP58+#REF!+#REF!+#REF!+BD58+BQ58</f>
        <v>#REF!</v>
      </c>
      <c r="CE58" s="369" t="e">
        <f>AQ58+#REF!+#REF!+#REF!+BE58+BR58</f>
        <v>#REF!</v>
      </c>
      <c r="CF58" s="369" t="e">
        <f>AR58+#REF!+#REF!+#REF!+BF58+BS58</f>
        <v>#REF!</v>
      </c>
      <c r="CG58" s="369" t="e">
        <f>AS58+#REF!+#REF!+#REF!+BG58+BT58</f>
        <v>#REF!</v>
      </c>
      <c r="CH58" s="369" t="e">
        <f>AT58+#REF!+#REF!+#REF!+BH58+BU58</f>
        <v>#REF!</v>
      </c>
    </row>
    <row r="59" spans="11:86" ht="16" hidden="1" x14ac:dyDescent="0.2">
      <c r="K59" s="359"/>
      <c r="L59" s="360"/>
      <c r="M59" s="361"/>
      <c r="N59" s="361"/>
      <c r="O59" s="361"/>
      <c r="P59" s="363">
        <v>5.0000000000000001E-3</v>
      </c>
      <c r="Q59" s="364">
        <f t="shared" si="14"/>
        <v>0</v>
      </c>
      <c r="R59" s="365">
        <v>0</v>
      </c>
      <c r="S59" s="365">
        <v>0.30499999999999999</v>
      </c>
      <c r="T59" s="366">
        <f t="shared" si="15"/>
        <v>0</v>
      </c>
      <c r="V59" s="367"/>
      <c r="W59" s="367"/>
      <c r="X59" s="367"/>
      <c r="Y59" s="367"/>
      <c r="Z59" s="367"/>
      <c r="AA59" s="367"/>
      <c r="AB59" s="367"/>
      <c r="AC59" s="367"/>
      <c r="AD59" s="367"/>
      <c r="AE59" s="367"/>
      <c r="AF59" s="367"/>
      <c r="AG59" s="367"/>
      <c r="AI59" s="368">
        <f t="shared" si="24"/>
        <v>0</v>
      </c>
      <c r="AJ59" s="368">
        <f t="shared" si="24"/>
        <v>0</v>
      </c>
      <c r="AK59" s="368">
        <f t="shared" si="24"/>
        <v>0</v>
      </c>
      <c r="AL59" s="368">
        <f t="shared" si="22"/>
        <v>0</v>
      </c>
      <c r="AM59" s="368">
        <f t="shared" si="22"/>
        <v>0</v>
      </c>
      <c r="AN59" s="368">
        <f t="shared" si="22"/>
        <v>0</v>
      </c>
      <c r="AO59" s="368">
        <f t="shared" si="22"/>
        <v>0</v>
      </c>
      <c r="AP59" s="368">
        <f t="shared" si="22"/>
        <v>0</v>
      </c>
      <c r="AQ59" s="368">
        <f t="shared" si="22"/>
        <v>0</v>
      </c>
      <c r="AR59" s="368">
        <f t="shared" si="22"/>
        <v>0</v>
      </c>
      <c r="AS59" s="368">
        <f t="shared" si="22"/>
        <v>0</v>
      </c>
      <c r="AT59" s="368">
        <f t="shared" si="22"/>
        <v>0</v>
      </c>
      <c r="AW59" s="361"/>
      <c r="AX59" s="361"/>
      <c r="AY59" s="361"/>
      <c r="AZ59" s="361"/>
      <c r="BA59" s="361"/>
      <c r="BB59" s="361"/>
      <c r="BC59" s="361"/>
      <c r="BD59" s="361"/>
      <c r="BE59" s="361"/>
      <c r="BF59" s="361"/>
      <c r="BG59" s="361"/>
      <c r="BH59" s="361"/>
      <c r="BJ59" s="369">
        <f t="shared" si="25"/>
        <v>0</v>
      </c>
      <c r="BK59" s="369">
        <f t="shared" si="25"/>
        <v>0</v>
      </c>
      <c r="BL59" s="369">
        <f t="shared" si="25"/>
        <v>0</v>
      </c>
      <c r="BM59" s="369">
        <f t="shared" si="23"/>
        <v>0</v>
      </c>
      <c r="BN59" s="369">
        <f t="shared" si="23"/>
        <v>0</v>
      </c>
      <c r="BO59" s="369">
        <f t="shared" si="23"/>
        <v>0</v>
      </c>
      <c r="BP59" s="369">
        <f t="shared" si="23"/>
        <v>0</v>
      </c>
      <c r="BQ59" s="369">
        <f t="shared" si="23"/>
        <v>0</v>
      </c>
      <c r="BR59" s="369">
        <f t="shared" si="23"/>
        <v>0</v>
      </c>
      <c r="BS59" s="369">
        <f t="shared" si="23"/>
        <v>0</v>
      </c>
      <c r="BT59" s="369">
        <f t="shared" si="23"/>
        <v>0</v>
      </c>
      <c r="BU59" s="369">
        <f t="shared" si="23"/>
        <v>0</v>
      </c>
      <c r="BW59" s="369" t="e">
        <f>AI59+#REF!+#REF!+#REF!+AW59+BJ59</f>
        <v>#REF!</v>
      </c>
      <c r="BX59" s="369" t="e">
        <f>AJ59+#REF!+#REF!+#REF!+AX59+BK59</f>
        <v>#REF!</v>
      </c>
      <c r="BY59" s="369" t="e">
        <f>AK59+#REF!+#REF!+#REF!+AY59+BL59</f>
        <v>#REF!</v>
      </c>
      <c r="BZ59" s="369" t="e">
        <f>AL59+#REF!+#REF!+#REF!+AZ59+BM59</f>
        <v>#REF!</v>
      </c>
      <c r="CA59" s="369" t="e">
        <f>AM59+#REF!+#REF!+#REF!+BA59+BN59</f>
        <v>#REF!</v>
      </c>
      <c r="CB59" s="369" t="e">
        <f>AN59+#REF!+#REF!+#REF!+BB59+BO59</f>
        <v>#REF!</v>
      </c>
      <c r="CC59" s="369" t="e">
        <f>AO59+#REF!+#REF!+#REF!+BC59+BP59</f>
        <v>#REF!</v>
      </c>
      <c r="CD59" s="369" t="e">
        <f>AP59+#REF!+#REF!+#REF!+BD59+BQ59</f>
        <v>#REF!</v>
      </c>
      <c r="CE59" s="369" t="e">
        <f>AQ59+#REF!+#REF!+#REF!+BE59+BR59</f>
        <v>#REF!</v>
      </c>
      <c r="CF59" s="369" t="e">
        <f>AR59+#REF!+#REF!+#REF!+BF59+BS59</f>
        <v>#REF!</v>
      </c>
      <c r="CG59" s="369" t="e">
        <f>AS59+#REF!+#REF!+#REF!+BG59+BT59</f>
        <v>#REF!</v>
      </c>
      <c r="CH59" s="369" t="e">
        <f>AT59+#REF!+#REF!+#REF!+BH59+BU59</f>
        <v>#REF!</v>
      </c>
    </row>
    <row r="60" spans="11:86" ht="16" hidden="1" x14ac:dyDescent="0.2">
      <c r="K60" s="359"/>
      <c r="L60" s="360"/>
      <c r="M60" s="361"/>
      <c r="N60" s="361"/>
      <c r="O60" s="361"/>
      <c r="P60" s="363">
        <v>5.0000000000000001E-3</v>
      </c>
      <c r="Q60" s="364">
        <f t="shared" si="14"/>
        <v>0</v>
      </c>
      <c r="R60" s="365">
        <v>0</v>
      </c>
      <c r="S60" s="365">
        <v>0.30499999999999999</v>
      </c>
      <c r="T60" s="366">
        <f t="shared" si="15"/>
        <v>0</v>
      </c>
      <c r="V60" s="367"/>
      <c r="W60" s="367"/>
      <c r="X60" s="367"/>
      <c r="Y60" s="367"/>
      <c r="Z60" s="367"/>
      <c r="AA60" s="367"/>
      <c r="AB60" s="367"/>
      <c r="AC60" s="367"/>
      <c r="AD60" s="367"/>
      <c r="AE60" s="367"/>
      <c r="AF60" s="367"/>
      <c r="AG60" s="367"/>
      <c r="AI60" s="368">
        <f t="shared" si="24"/>
        <v>0</v>
      </c>
      <c r="AJ60" s="368">
        <f t="shared" si="24"/>
        <v>0</v>
      </c>
      <c r="AK60" s="368">
        <f t="shared" si="24"/>
        <v>0</v>
      </c>
      <c r="AL60" s="368">
        <f t="shared" si="22"/>
        <v>0</v>
      </c>
      <c r="AM60" s="368">
        <f t="shared" si="22"/>
        <v>0</v>
      </c>
      <c r="AN60" s="368">
        <f t="shared" si="22"/>
        <v>0</v>
      </c>
      <c r="AO60" s="368">
        <f t="shared" si="22"/>
        <v>0</v>
      </c>
      <c r="AP60" s="368">
        <f t="shared" si="22"/>
        <v>0</v>
      </c>
      <c r="AQ60" s="368">
        <f t="shared" si="22"/>
        <v>0</v>
      </c>
      <c r="AR60" s="368">
        <f t="shared" si="22"/>
        <v>0</v>
      </c>
      <c r="AS60" s="368">
        <f t="shared" si="22"/>
        <v>0</v>
      </c>
      <c r="AT60" s="368">
        <f t="shared" si="22"/>
        <v>0</v>
      </c>
      <c r="AW60" s="361"/>
      <c r="AX60" s="361"/>
      <c r="AY60" s="361"/>
      <c r="AZ60" s="361"/>
      <c r="BA60" s="361"/>
      <c r="BB60" s="361"/>
      <c r="BC60" s="361"/>
      <c r="BD60" s="361"/>
      <c r="BE60" s="361"/>
      <c r="BF60" s="361"/>
      <c r="BG60" s="361"/>
      <c r="BH60" s="361"/>
      <c r="BJ60" s="369">
        <f t="shared" si="25"/>
        <v>0</v>
      </c>
      <c r="BK60" s="369">
        <f t="shared" si="25"/>
        <v>0</v>
      </c>
      <c r="BL60" s="369">
        <f t="shared" si="25"/>
        <v>0</v>
      </c>
      <c r="BM60" s="369">
        <f t="shared" si="23"/>
        <v>0</v>
      </c>
      <c r="BN60" s="369">
        <f t="shared" si="23"/>
        <v>0</v>
      </c>
      <c r="BO60" s="369">
        <f t="shared" si="23"/>
        <v>0</v>
      </c>
      <c r="BP60" s="369">
        <f t="shared" si="23"/>
        <v>0</v>
      </c>
      <c r="BQ60" s="369">
        <f t="shared" si="23"/>
        <v>0</v>
      </c>
      <c r="BR60" s="369">
        <f t="shared" si="23"/>
        <v>0</v>
      </c>
      <c r="BS60" s="369">
        <f t="shared" si="23"/>
        <v>0</v>
      </c>
      <c r="BT60" s="369">
        <f t="shared" si="23"/>
        <v>0</v>
      </c>
      <c r="BU60" s="369">
        <f t="shared" si="23"/>
        <v>0</v>
      </c>
      <c r="BW60" s="369" t="e">
        <f>AI60+#REF!+#REF!+#REF!+AW60+BJ60</f>
        <v>#REF!</v>
      </c>
      <c r="BX60" s="369" t="e">
        <f>AJ60+#REF!+#REF!+#REF!+AX60+BK60</f>
        <v>#REF!</v>
      </c>
      <c r="BY60" s="369" t="e">
        <f>AK60+#REF!+#REF!+#REF!+AY60+BL60</f>
        <v>#REF!</v>
      </c>
      <c r="BZ60" s="369" t="e">
        <f>AL60+#REF!+#REF!+#REF!+AZ60+BM60</f>
        <v>#REF!</v>
      </c>
      <c r="CA60" s="369" t="e">
        <f>AM60+#REF!+#REF!+#REF!+BA60+BN60</f>
        <v>#REF!</v>
      </c>
      <c r="CB60" s="369" t="e">
        <f>AN60+#REF!+#REF!+#REF!+BB60+BO60</f>
        <v>#REF!</v>
      </c>
      <c r="CC60" s="369" t="e">
        <f>AO60+#REF!+#REF!+#REF!+BC60+BP60</f>
        <v>#REF!</v>
      </c>
      <c r="CD60" s="369" t="e">
        <f>AP60+#REF!+#REF!+#REF!+BD60+BQ60</f>
        <v>#REF!</v>
      </c>
      <c r="CE60" s="369" t="e">
        <f>AQ60+#REF!+#REF!+#REF!+BE60+BR60</f>
        <v>#REF!</v>
      </c>
      <c r="CF60" s="369" t="e">
        <f>AR60+#REF!+#REF!+#REF!+BF60+BS60</f>
        <v>#REF!</v>
      </c>
      <c r="CG60" s="369" t="e">
        <f>AS60+#REF!+#REF!+#REF!+BG60+BT60</f>
        <v>#REF!</v>
      </c>
      <c r="CH60" s="369" t="e">
        <f>AT60+#REF!+#REF!+#REF!+BH60+BU60</f>
        <v>#REF!</v>
      </c>
    </row>
    <row r="61" spans="11:86" ht="16" hidden="1" x14ac:dyDescent="0.2">
      <c r="K61" s="359"/>
      <c r="L61" s="360"/>
      <c r="M61" s="361"/>
      <c r="N61" s="361"/>
      <c r="O61" s="361"/>
      <c r="P61" s="363">
        <v>5.0000000000000001E-3</v>
      </c>
      <c r="Q61" s="364">
        <f t="shared" si="14"/>
        <v>0</v>
      </c>
      <c r="R61" s="365">
        <v>0</v>
      </c>
      <c r="S61" s="365">
        <v>0.30499999999999999</v>
      </c>
      <c r="T61" s="366">
        <f t="shared" si="15"/>
        <v>0</v>
      </c>
      <c r="V61" s="367"/>
      <c r="W61" s="367"/>
      <c r="X61" s="367"/>
      <c r="Y61" s="367"/>
      <c r="Z61" s="367"/>
      <c r="AA61" s="367"/>
      <c r="AB61" s="367"/>
      <c r="AC61" s="367"/>
      <c r="AD61" s="367"/>
      <c r="AE61" s="367"/>
      <c r="AF61" s="367"/>
      <c r="AG61" s="367"/>
      <c r="AI61" s="368">
        <f t="shared" si="24"/>
        <v>0</v>
      </c>
      <c r="AJ61" s="368">
        <f t="shared" si="24"/>
        <v>0</v>
      </c>
      <c r="AK61" s="368">
        <f t="shared" si="24"/>
        <v>0</v>
      </c>
      <c r="AL61" s="368">
        <f t="shared" si="22"/>
        <v>0</v>
      </c>
      <c r="AM61" s="368">
        <f t="shared" si="22"/>
        <v>0</v>
      </c>
      <c r="AN61" s="368">
        <f t="shared" si="22"/>
        <v>0</v>
      </c>
      <c r="AO61" s="368">
        <f t="shared" si="22"/>
        <v>0</v>
      </c>
      <c r="AP61" s="368">
        <f t="shared" si="22"/>
        <v>0</v>
      </c>
      <c r="AQ61" s="368">
        <f t="shared" si="22"/>
        <v>0</v>
      </c>
      <c r="AR61" s="368">
        <f t="shared" si="22"/>
        <v>0</v>
      </c>
      <c r="AS61" s="368">
        <f t="shared" si="22"/>
        <v>0</v>
      </c>
      <c r="AT61" s="368">
        <f t="shared" si="22"/>
        <v>0</v>
      </c>
      <c r="AW61" s="361"/>
      <c r="AX61" s="361"/>
      <c r="AY61" s="361"/>
      <c r="AZ61" s="361"/>
      <c r="BA61" s="361"/>
      <c r="BB61" s="361"/>
      <c r="BC61" s="361"/>
      <c r="BD61" s="361"/>
      <c r="BE61" s="361"/>
      <c r="BF61" s="361"/>
      <c r="BG61" s="361"/>
      <c r="BH61" s="361"/>
      <c r="BJ61" s="369">
        <f t="shared" si="25"/>
        <v>0</v>
      </c>
      <c r="BK61" s="369">
        <f t="shared" si="25"/>
        <v>0</v>
      </c>
      <c r="BL61" s="369">
        <f t="shared" si="25"/>
        <v>0</v>
      </c>
      <c r="BM61" s="369">
        <f t="shared" si="23"/>
        <v>0</v>
      </c>
      <c r="BN61" s="369">
        <f t="shared" si="23"/>
        <v>0</v>
      </c>
      <c r="BO61" s="369">
        <f t="shared" si="23"/>
        <v>0</v>
      </c>
      <c r="BP61" s="369">
        <f t="shared" si="23"/>
        <v>0</v>
      </c>
      <c r="BQ61" s="369">
        <f t="shared" si="23"/>
        <v>0</v>
      </c>
      <c r="BR61" s="369">
        <f t="shared" si="23"/>
        <v>0</v>
      </c>
      <c r="BS61" s="369">
        <f t="shared" si="23"/>
        <v>0</v>
      </c>
      <c r="BT61" s="369">
        <f t="shared" si="23"/>
        <v>0</v>
      </c>
      <c r="BU61" s="369">
        <f t="shared" si="23"/>
        <v>0</v>
      </c>
      <c r="BW61" s="369" t="e">
        <f>AI61+#REF!+#REF!+#REF!+AW61+BJ61</f>
        <v>#REF!</v>
      </c>
      <c r="BX61" s="369" t="e">
        <f>AJ61+#REF!+#REF!+#REF!+AX61+BK61</f>
        <v>#REF!</v>
      </c>
      <c r="BY61" s="369" t="e">
        <f>AK61+#REF!+#REF!+#REF!+AY61+BL61</f>
        <v>#REF!</v>
      </c>
      <c r="BZ61" s="369" t="e">
        <f>AL61+#REF!+#REF!+#REF!+AZ61+BM61</f>
        <v>#REF!</v>
      </c>
      <c r="CA61" s="369" t="e">
        <f>AM61+#REF!+#REF!+#REF!+BA61+BN61</f>
        <v>#REF!</v>
      </c>
      <c r="CB61" s="369" t="e">
        <f>AN61+#REF!+#REF!+#REF!+BB61+BO61</f>
        <v>#REF!</v>
      </c>
      <c r="CC61" s="369" t="e">
        <f>AO61+#REF!+#REF!+#REF!+BC61+BP61</f>
        <v>#REF!</v>
      </c>
      <c r="CD61" s="369" t="e">
        <f>AP61+#REF!+#REF!+#REF!+BD61+BQ61</f>
        <v>#REF!</v>
      </c>
      <c r="CE61" s="369" t="e">
        <f>AQ61+#REF!+#REF!+#REF!+BE61+BR61</f>
        <v>#REF!</v>
      </c>
      <c r="CF61" s="369" t="e">
        <f>AR61+#REF!+#REF!+#REF!+BF61+BS61</f>
        <v>#REF!</v>
      </c>
      <c r="CG61" s="369" t="e">
        <f>AS61+#REF!+#REF!+#REF!+BG61+BT61</f>
        <v>#REF!</v>
      </c>
      <c r="CH61" s="369" t="e">
        <f>AT61+#REF!+#REF!+#REF!+BH61+BU61</f>
        <v>#REF!</v>
      </c>
    </row>
    <row r="62" spans="11:86" ht="16" hidden="1" x14ac:dyDescent="0.2">
      <c r="K62" s="359"/>
      <c r="L62" s="360"/>
      <c r="M62" s="361"/>
      <c r="N62" s="361"/>
      <c r="O62" s="361"/>
      <c r="P62" s="363">
        <v>5.0000000000000001E-3</v>
      </c>
      <c r="Q62" s="364">
        <f t="shared" si="14"/>
        <v>0</v>
      </c>
      <c r="R62" s="365">
        <v>0</v>
      </c>
      <c r="S62" s="365">
        <v>0.30499999999999999</v>
      </c>
      <c r="T62" s="366">
        <f t="shared" si="15"/>
        <v>0</v>
      </c>
      <c r="V62" s="367"/>
      <c r="W62" s="367"/>
      <c r="X62" s="367"/>
      <c r="Y62" s="367"/>
      <c r="Z62" s="367"/>
      <c r="AA62" s="367"/>
      <c r="AB62" s="367"/>
      <c r="AC62" s="367"/>
      <c r="AD62" s="367"/>
      <c r="AE62" s="367"/>
      <c r="AF62" s="367"/>
      <c r="AG62" s="367"/>
      <c r="AI62" s="368">
        <f t="shared" si="24"/>
        <v>0</v>
      </c>
      <c r="AJ62" s="368">
        <f t="shared" si="24"/>
        <v>0</v>
      </c>
      <c r="AK62" s="368">
        <f t="shared" si="24"/>
        <v>0</v>
      </c>
      <c r="AL62" s="368">
        <f t="shared" si="22"/>
        <v>0</v>
      </c>
      <c r="AM62" s="368">
        <f t="shared" si="22"/>
        <v>0</v>
      </c>
      <c r="AN62" s="368">
        <f t="shared" si="22"/>
        <v>0</v>
      </c>
      <c r="AO62" s="368">
        <f t="shared" si="22"/>
        <v>0</v>
      </c>
      <c r="AP62" s="368">
        <f t="shared" si="22"/>
        <v>0</v>
      </c>
      <c r="AQ62" s="368">
        <f t="shared" si="22"/>
        <v>0</v>
      </c>
      <c r="AR62" s="368">
        <f t="shared" si="22"/>
        <v>0</v>
      </c>
      <c r="AS62" s="368">
        <f t="shared" si="22"/>
        <v>0</v>
      </c>
      <c r="AT62" s="368">
        <f t="shared" si="22"/>
        <v>0</v>
      </c>
      <c r="AW62" s="361"/>
      <c r="AX62" s="361"/>
      <c r="AY62" s="361"/>
      <c r="AZ62" s="361"/>
      <c r="BA62" s="361"/>
      <c r="BB62" s="361"/>
      <c r="BC62" s="361"/>
      <c r="BD62" s="361"/>
      <c r="BE62" s="361"/>
      <c r="BF62" s="361"/>
      <c r="BG62" s="361"/>
      <c r="BH62" s="361"/>
      <c r="BJ62" s="369">
        <f t="shared" si="25"/>
        <v>0</v>
      </c>
      <c r="BK62" s="369">
        <f t="shared" si="25"/>
        <v>0</v>
      </c>
      <c r="BL62" s="369">
        <f t="shared" si="25"/>
        <v>0</v>
      </c>
      <c r="BM62" s="369">
        <f t="shared" si="23"/>
        <v>0</v>
      </c>
      <c r="BN62" s="369">
        <f t="shared" si="23"/>
        <v>0</v>
      </c>
      <c r="BO62" s="369">
        <f t="shared" si="23"/>
        <v>0</v>
      </c>
      <c r="BP62" s="369">
        <f t="shared" si="23"/>
        <v>0</v>
      </c>
      <c r="BQ62" s="369">
        <f t="shared" si="23"/>
        <v>0</v>
      </c>
      <c r="BR62" s="369">
        <f t="shared" si="23"/>
        <v>0</v>
      </c>
      <c r="BS62" s="369">
        <f t="shared" si="23"/>
        <v>0</v>
      </c>
      <c r="BT62" s="369">
        <f t="shared" si="23"/>
        <v>0</v>
      </c>
      <c r="BU62" s="369">
        <f t="shared" si="23"/>
        <v>0</v>
      </c>
      <c r="BW62" s="369" t="e">
        <f>AI62+#REF!+#REF!+#REF!+AW62+BJ62</f>
        <v>#REF!</v>
      </c>
      <c r="BX62" s="369" t="e">
        <f>AJ62+#REF!+#REF!+#REF!+AX62+BK62</f>
        <v>#REF!</v>
      </c>
      <c r="BY62" s="369" t="e">
        <f>AK62+#REF!+#REF!+#REF!+AY62+BL62</f>
        <v>#REF!</v>
      </c>
      <c r="BZ62" s="369" t="e">
        <f>AL62+#REF!+#REF!+#REF!+AZ62+BM62</f>
        <v>#REF!</v>
      </c>
      <c r="CA62" s="369" t="e">
        <f>AM62+#REF!+#REF!+#REF!+BA62+BN62</f>
        <v>#REF!</v>
      </c>
      <c r="CB62" s="369" t="e">
        <f>AN62+#REF!+#REF!+#REF!+BB62+BO62</f>
        <v>#REF!</v>
      </c>
      <c r="CC62" s="369" t="e">
        <f>AO62+#REF!+#REF!+#REF!+BC62+BP62</f>
        <v>#REF!</v>
      </c>
      <c r="CD62" s="369" t="e">
        <f>AP62+#REF!+#REF!+#REF!+BD62+BQ62</f>
        <v>#REF!</v>
      </c>
      <c r="CE62" s="369" t="e">
        <f>AQ62+#REF!+#REF!+#REF!+BE62+BR62</f>
        <v>#REF!</v>
      </c>
      <c r="CF62" s="369" t="e">
        <f>AR62+#REF!+#REF!+#REF!+BF62+BS62</f>
        <v>#REF!</v>
      </c>
      <c r="CG62" s="369" t="e">
        <f>AS62+#REF!+#REF!+#REF!+BG62+BT62</f>
        <v>#REF!</v>
      </c>
      <c r="CH62" s="369" t="e">
        <f>AT62+#REF!+#REF!+#REF!+BH62+BU62</f>
        <v>#REF!</v>
      </c>
    </row>
    <row r="63" spans="11:86" ht="16" hidden="1" x14ac:dyDescent="0.2">
      <c r="K63" s="359"/>
      <c r="L63" s="360"/>
      <c r="M63" s="361"/>
      <c r="N63" s="361"/>
      <c r="O63" s="361"/>
      <c r="P63" s="363">
        <v>5.0000000000000001E-3</v>
      </c>
      <c r="Q63" s="364">
        <f t="shared" si="14"/>
        <v>0</v>
      </c>
      <c r="R63" s="365">
        <v>0</v>
      </c>
      <c r="S63" s="365">
        <v>0.30499999999999999</v>
      </c>
      <c r="T63" s="366">
        <f t="shared" si="15"/>
        <v>0</v>
      </c>
      <c r="V63" s="367"/>
      <c r="W63" s="367"/>
      <c r="X63" s="367"/>
      <c r="Y63" s="367"/>
      <c r="Z63" s="367"/>
      <c r="AA63" s="367"/>
      <c r="AB63" s="367"/>
      <c r="AC63" s="367"/>
      <c r="AD63" s="367"/>
      <c r="AE63" s="367"/>
      <c r="AF63" s="367"/>
      <c r="AG63" s="367"/>
      <c r="AI63" s="368">
        <f t="shared" si="24"/>
        <v>0</v>
      </c>
      <c r="AJ63" s="368">
        <f t="shared" si="24"/>
        <v>0</v>
      </c>
      <c r="AK63" s="368">
        <f t="shared" si="24"/>
        <v>0</v>
      </c>
      <c r="AL63" s="368">
        <f t="shared" si="22"/>
        <v>0</v>
      </c>
      <c r="AM63" s="368">
        <f t="shared" si="22"/>
        <v>0</v>
      </c>
      <c r="AN63" s="368">
        <f t="shared" si="22"/>
        <v>0</v>
      </c>
      <c r="AO63" s="368">
        <f t="shared" si="22"/>
        <v>0</v>
      </c>
      <c r="AP63" s="368">
        <f t="shared" si="22"/>
        <v>0</v>
      </c>
      <c r="AQ63" s="368">
        <f t="shared" si="22"/>
        <v>0</v>
      </c>
      <c r="AR63" s="368">
        <f t="shared" si="22"/>
        <v>0</v>
      </c>
      <c r="AS63" s="368">
        <f t="shared" si="22"/>
        <v>0</v>
      </c>
      <c r="AT63" s="368">
        <f t="shared" si="22"/>
        <v>0</v>
      </c>
      <c r="AW63" s="361"/>
      <c r="AX63" s="361"/>
      <c r="AY63" s="361"/>
      <c r="AZ63" s="361"/>
      <c r="BA63" s="361"/>
      <c r="BB63" s="361"/>
      <c r="BC63" s="361"/>
      <c r="BD63" s="361"/>
      <c r="BE63" s="361"/>
      <c r="BF63" s="361"/>
      <c r="BG63" s="361"/>
      <c r="BH63" s="361"/>
      <c r="BJ63" s="369">
        <f t="shared" si="25"/>
        <v>0</v>
      </c>
      <c r="BK63" s="369">
        <f t="shared" si="25"/>
        <v>0</v>
      </c>
      <c r="BL63" s="369">
        <f t="shared" si="25"/>
        <v>0</v>
      </c>
      <c r="BM63" s="369">
        <f t="shared" si="23"/>
        <v>0</v>
      </c>
      <c r="BN63" s="369">
        <f t="shared" si="23"/>
        <v>0</v>
      </c>
      <c r="BO63" s="369">
        <f t="shared" si="23"/>
        <v>0</v>
      </c>
      <c r="BP63" s="369">
        <f t="shared" si="23"/>
        <v>0</v>
      </c>
      <c r="BQ63" s="369">
        <f t="shared" si="23"/>
        <v>0</v>
      </c>
      <c r="BR63" s="369">
        <f t="shared" si="23"/>
        <v>0</v>
      </c>
      <c r="BS63" s="369">
        <f t="shared" si="23"/>
        <v>0</v>
      </c>
      <c r="BT63" s="369">
        <f t="shared" si="23"/>
        <v>0</v>
      </c>
      <c r="BU63" s="369">
        <f t="shared" si="23"/>
        <v>0</v>
      </c>
      <c r="BW63" s="369" t="e">
        <f>AI63+#REF!+#REF!+#REF!+AW63+BJ63</f>
        <v>#REF!</v>
      </c>
      <c r="BX63" s="369" t="e">
        <f>AJ63+#REF!+#REF!+#REF!+AX63+BK63</f>
        <v>#REF!</v>
      </c>
      <c r="BY63" s="369" t="e">
        <f>AK63+#REF!+#REF!+#REF!+AY63+BL63</f>
        <v>#REF!</v>
      </c>
      <c r="BZ63" s="369" t="e">
        <f>AL63+#REF!+#REF!+#REF!+AZ63+BM63</f>
        <v>#REF!</v>
      </c>
      <c r="CA63" s="369" t="e">
        <f>AM63+#REF!+#REF!+#REF!+BA63+BN63</f>
        <v>#REF!</v>
      </c>
      <c r="CB63" s="369" t="e">
        <f>AN63+#REF!+#REF!+#REF!+BB63+BO63</f>
        <v>#REF!</v>
      </c>
      <c r="CC63" s="369" t="e">
        <f>AO63+#REF!+#REF!+#REF!+BC63+BP63</f>
        <v>#REF!</v>
      </c>
      <c r="CD63" s="369" t="e">
        <f>AP63+#REF!+#REF!+#REF!+BD63+BQ63</f>
        <v>#REF!</v>
      </c>
      <c r="CE63" s="369" t="e">
        <f>AQ63+#REF!+#REF!+#REF!+BE63+BR63</f>
        <v>#REF!</v>
      </c>
      <c r="CF63" s="369" t="e">
        <f>AR63+#REF!+#REF!+#REF!+BF63+BS63</f>
        <v>#REF!</v>
      </c>
      <c r="CG63" s="369" t="e">
        <f>AS63+#REF!+#REF!+#REF!+BG63+BT63</f>
        <v>#REF!</v>
      </c>
      <c r="CH63" s="369" t="e">
        <f>AT63+#REF!+#REF!+#REF!+BH63+BU63</f>
        <v>#REF!</v>
      </c>
    </row>
    <row r="64" spans="11:86" ht="16" hidden="1" x14ac:dyDescent="0.2">
      <c r="K64" s="359"/>
      <c r="L64" s="360"/>
      <c r="M64" s="361"/>
      <c r="N64" s="361"/>
      <c r="O64" s="361"/>
      <c r="P64" s="363">
        <v>5.0000000000000001E-3</v>
      </c>
      <c r="Q64" s="364">
        <f t="shared" si="14"/>
        <v>0</v>
      </c>
      <c r="R64" s="365">
        <v>0</v>
      </c>
      <c r="S64" s="365">
        <v>0.30499999999999999</v>
      </c>
      <c r="T64" s="366">
        <f t="shared" si="15"/>
        <v>0</v>
      </c>
      <c r="V64" s="367"/>
      <c r="W64" s="367"/>
      <c r="X64" s="367"/>
      <c r="Y64" s="367"/>
      <c r="Z64" s="367"/>
      <c r="AA64" s="367"/>
      <c r="AB64" s="367"/>
      <c r="AC64" s="367"/>
      <c r="AD64" s="367"/>
      <c r="AE64" s="367"/>
      <c r="AF64" s="367"/>
      <c r="AG64" s="367"/>
      <c r="AI64" s="368">
        <f t="shared" si="24"/>
        <v>0</v>
      </c>
      <c r="AJ64" s="368">
        <f t="shared" si="24"/>
        <v>0</v>
      </c>
      <c r="AK64" s="368">
        <f t="shared" si="24"/>
        <v>0</v>
      </c>
      <c r="AL64" s="368">
        <f t="shared" si="22"/>
        <v>0</v>
      </c>
      <c r="AM64" s="368">
        <f t="shared" si="22"/>
        <v>0</v>
      </c>
      <c r="AN64" s="368">
        <f t="shared" si="22"/>
        <v>0</v>
      </c>
      <c r="AO64" s="368">
        <f t="shared" si="22"/>
        <v>0</v>
      </c>
      <c r="AP64" s="368">
        <f t="shared" si="22"/>
        <v>0</v>
      </c>
      <c r="AQ64" s="368">
        <f t="shared" si="22"/>
        <v>0</v>
      </c>
      <c r="AR64" s="368">
        <f t="shared" si="22"/>
        <v>0</v>
      </c>
      <c r="AS64" s="368">
        <f t="shared" si="22"/>
        <v>0</v>
      </c>
      <c r="AT64" s="368">
        <f t="shared" si="22"/>
        <v>0</v>
      </c>
      <c r="AW64" s="361"/>
      <c r="AX64" s="361"/>
      <c r="AY64" s="361"/>
      <c r="AZ64" s="361"/>
      <c r="BA64" s="361"/>
      <c r="BB64" s="361"/>
      <c r="BC64" s="361"/>
      <c r="BD64" s="361"/>
      <c r="BE64" s="361"/>
      <c r="BF64" s="361"/>
      <c r="BG64" s="361"/>
      <c r="BH64" s="361"/>
      <c r="BJ64" s="369">
        <f t="shared" si="25"/>
        <v>0</v>
      </c>
      <c r="BK64" s="369">
        <f t="shared" si="25"/>
        <v>0</v>
      </c>
      <c r="BL64" s="369">
        <f t="shared" si="25"/>
        <v>0</v>
      </c>
      <c r="BM64" s="369">
        <f t="shared" si="23"/>
        <v>0</v>
      </c>
      <c r="BN64" s="369">
        <f t="shared" si="23"/>
        <v>0</v>
      </c>
      <c r="BO64" s="369">
        <f t="shared" si="23"/>
        <v>0</v>
      </c>
      <c r="BP64" s="369">
        <f t="shared" si="23"/>
        <v>0</v>
      </c>
      <c r="BQ64" s="369">
        <f t="shared" si="23"/>
        <v>0</v>
      </c>
      <c r="BR64" s="369">
        <f t="shared" si="23"/>
        <v>0</v>
      </c>
      <c r="BS64" s="369">
        <f t="shared" si="23"/>
        <v>0</v>
      </c>
      <c r="BT64" s="369">
        <f t="shared" si="23"/>
        <v>0</v>
      </c>
      <c r="BU64" s="369">
        <f t="shared" si="23"/>
        <v>0</v>
      </c>
      <c r="BW64" s="369" t="e">
        <f>AI64+#REF!+#REF!+#REF!+AW64+BJ64</f>
        <v>#REF!</v>
      </c>
      <c r="BX64" s="369" t="e">
        <f>AJ64+#REF!+#REF!+#REF!+AX64+BK64</f>
        <v>#REF!</v>
      </c>
      <c r="BY64" s="369" t="e">
        <f>AK64+#REF!+#REF!+#REF!+AY64+BL64</f>
        <v>#REF!</v>
      </c>
      <c r="BZ64" s="369" t="e">
        <f>AL64+#REF!+#REF!+#REF!+AZ64+BM64</f>
        <v>#REF!</v>
      </c>
      <c r="CA64" s="369" t="e">
        <f>AM64+#REF!+#REF!+#REF!+BA64+BN64</f>
        <v>#REF!</v>
      </c>
      <c r="CB64" s="369" t="e">
        <f>AN64+#REF!+#REF!+#REF!+BB64+BO64</f>
        <v>#REF!</v>
      </c>
      <c r="CC64" s="369" t="e">
        <f>AO64+#REF!+#REF!+#REF!+BC64+BP64</f>
        <v>#REF!</v>
      </c>
      <c r="CD64" s="369" t="e">
        <f>AP64+#REF!+#REF!+#REF!+BD64+BQ64</f>
        <v>#REF!</v>
      </c>
      <c r="CE64" s="369" t="e">
        <f>AQ64+#REF!+#REF!+#REF!+BE64+BR64</f>
        <v>#REF!</v>
      </c>
      <c r="CF64" s="369" t="e">
        <f>AR64+#REF!+#REF!+#REF!+BF64+BS64</f>
        <v>#REF!</v>
      </c>
      <c r="CG64" s="369" t="e">
        <f>AS64+#REF!+#REF!+#REF!+BG64+BT64</f>
        <v>#REF!</v>
      </c>
      <c r="CH64" s="369" t="e">
        <f>AT64+#REF!+#REF!+#REF!+BH64+BU64</f>
        <v>#REF!</v>
      </c>
    </row>
    <row r="65" spans="11:86" ht="16" hidden="1" x14ac:dyDescent="0.2">
      <c r="K65" s="359"/>
      <c r="L65" s="360"/>
      <c r="M65" s="361"/>
      <c r="N65" s="361"/>
      <c r="O65" s="361"/>
      <c r="P65" s="363">
        <v>5.0000000000000001E-3</v>
      </c>
      <c r="Q65" s="364">
        <f t="shared" si="14"/>
        <v>0</v>
      </c>
      <c r="R65" s="365">
        <v>0</v>
      </c>
      <c r="S65" s="365">
        <v>0.30499999999999999</v>
      </c>
      <c r="T65" s="366">
        <f t="shared" si="15"/>
        <v>0</v>
      </c>
      <c r="V65" s="367"/>
      <c r="W65" s="367"/>
      <c r="X65" s="367"/>
      <c r="Y65" s="367"/>
      <c r="Z65" s="367"/>
      <c r="AA65" s="367"/>
      <c r="AB65" s="367"/>
      <c r="AC65" s="367"/>
      <c r="AD65" s="367"/>
      <c r="AE65" s="367"/>
      <c r="AF65" s="367"/>
      <c r="AG65" s="367"/>
      <c r="AI65" s="368">
        <f t="shared" si="24"/>
        <v>0</v>
      </c>
      <c r="AJ65" s="368">
        <f t="shared" si="24"/>
        <v>0</v>
      </c>
      <c r="AK65" s="368">
        <f t="shared" si="24"/>
        <v>0</v>
      </c>
      <c r="AL65" s="368">
        <f t="shared" si="22"/>
        <v>0</v>
      </c>
      <c r="AM65" s="368">
        <f t="shared" si="22"/>
        <v>0</v>
      </c>
      <c r="AN65" s="368">
        <f t="shared" si="22"/>
        <v>0</v>
      </c>
      <c r="AO65" s="368">
        <f t="shared" si="22"/>
        <v>0</v>
      </c>
      <c r="AP65" s="368">
        <f t="shared" si="22"/>
        <v>0</v>
      </c>
      <c r="AQ65" s="368">
        <f t="shared" si="22"/>
        <v>0</v>
      </c>
      <c r="AR65" s="368">
        <f t="shared" si="22"/>
        <v>0</v>
      </c>
      <c r="AS65" s="368">
        <f t="shared" si="22"/>
        <v>0</v>
      </c>
      <c r="AT65" s="368">
        <f t="shared" si="22"/>
        <v>0</v>
      </c>
      <c r="AW65" s="361"/>
      <c r="AX65" s="361"/>
      <c r="AY65" s="361"/>
      <c r="AZ65" s="361"/>
      <c r="BA65" s="361"/>
      <c r="BB65" s="361"/>
      <c r="BC65" s="361"/>
      <c r="BD65" s="361"/>
      <c r="BE65" s="361"/>
      <c r="BF65" s="361"/>
      <c r="BG65" s="361"/>
      <c r="BH65" s="361"/>
      <c r="BJ65" s="369">
        <f t="shared" si="25"/>
        <v>0</v>
      </c>
      <c r="BK65" s="369">
        <f t="shared" si="25"/>
        <v>0</v>
      </c>
      <c r="BL65" s="369">
        <f t="shared" si="25"/>
        <v>0</v>
      </c>
      <c r="BM65" s="369">
        <f t="shared" si="23"/>
        <v>0</v>
      </c>
      <c r="BN65" s="369">
        <f t="shared" si="23"/>
        <v>0</v>
      </c>
      <c r="BO65" s="369">
        <f t="shared" si="23"/>
        <v>0</v>
      </c>
      <c r="BP65" s="369">
        <f t="shared" si="23"/>
        <v>0</v>
      </c>
      <c r="BQ65" s="369">
        <f t="shared" si="23"/>
        <v>0</v>
      </c>
      <c r="BR65" s="369">
        <f t="shared" si="23"/>
        <v>0</v>
      </c>
      <c r="BS65" s="369">
        <f t="shared" si="23"/>
        <v>0</v>
      </c>
      <c r="BT65" s="369">
        <f t="shared" si="23"/>
        <v>0</v>
      </c>
      <c r="BU65" s="369">
        <f t="shared" si="23"/>
        <v>0</v>
      </c>
      <c r="BW65" s="369" t="e">
        <f>AI65+#REF!+#REF!+#REF!+AW65+BJ65</f>
        <v>#REF!</v>
      </c>
      <c r="BX65" s="369" t="e">
        <f>AJ65+#REF!+#REF!+#REF!+AX65+BK65</f>
        <v>#REF!</v>
      </c>
      <c r="BY65" s="369" t="e">
        <f>AK65+#REF!+#REF!+#REF!+AY65+BL65</f>
        <v>#REF!</v>
      </c>
      <c r="BZ65" s="369" t="e">
        <f>AL65+#REF!+#REF!+#REF!+AZ65+BM65</f>
        <v>#REF!</v>
      </c>
      <c r="CA65" s="369" t="e">
        <f>AM65+#REF!+#REF!+#REF!+BA65+BN65</f>
        <v>#REF!</v>
      </c>
      <c r="CB65" s="369" t="e">
        <f>AN65+#REF!+#REF!+#REF!+BB65+BO65</f>
        <v>#REF!</v>
      </c>
      <c r="CC65" s="369" t="e">
        <f>AO65+#REF!+#REF!+#REF!+BC65+BP65</f>
        <v>#REF!</v>
      </c>
      <c r="CD65" s="369" t="e">
        <f>AP65+#REF!+#REF!+#REF!+BD65+BQ65</f>
        <v>#REF!</v>
      </c>
      <c r="CE65" s="369" t="e">
        <f>AQ65+#REF!+#REF!+#REF!+BE65+BR65</f>
        <v>#REF!</v>
      </c>
      <c r="CF65" s="369" t="e">
        <f>AR65+#REF!+#REF!+#REF!+BF65+BS65</f>
        <v>#REF!</v>
      </c>
      <c r="CG65" s="369" t="e">
        <f>AS65+#REF!+#REF!+#REF!+BG65+BT65</f>
        <v>#REF!</v>
      </c>
      <c r="CH65" s="369" t="e">
        <f>AT65+#REF!+#REF!+#REF!+BH65+BU65</f>
        <v>#REF!</v>
      </c>
    </row>
    <row r="66" spans="11:86" ht="16" hidden="1" x14ac:dyDescent="0.2">
      <c r="K66" s="359"/>
      <c r="L66" s="360"/>
      <c r="M66" s="361"/>
      <c r="N66" s="361"/>
      <c r="O66" s="361"/>
      <c r="P66" s="363">
        <v>5.0000000000000001E-3</v>
      </c>
      <c r="Q66" s="364">
        <f t="shared" si="14"/>
        <v>0</v>
      </c>
      <c r="R66" s="365">
        <v>0</v>
      </c>
      <c r="S66" s="365">
        <v>0.30499999999999999</v>
      </c>
      <c r="T66" s="366">
        <f t="shared" si="15"/>
        <v>0</v>
      </c>
      <c r="V66" s="367"/>
      <c r="W66" s="367"/>
      <c r="X66" s="367"/>
      <c r="Y66" s="367"/>
      <c r="Z66" s="367"/>
      <c r="AA66" s="367"/>
      <c r="AB66" s="367"/>
      <c r="AC66" s="367"/>
      <c r="AD66" s="367"/>
      <c r="AE66" s="367"/>
      <c r="AF66" s="367"/>
      <c r="AG66" s="367"/>
      <c r="AI66" s="368">
        <f t="shared" si="24"/>
        <v>0</v>
      </c>
      <c r="AJ66" s="368">
        <f t="shared" si="24"/>
        <v>0</v>
      </c>
      <c r="AK66" s="368">
        <f t="shared" si="24"/>
        <v>0</v>
      </c>
      <c r="AL66" s="368">
        <f t="shared" si="22"/>
        <v>0</v>
      </c>
      <c r="AM66" s="368">
        <f t="shared" si="22"/>
        <v>0</v>
      </c>
      <c r="AN66" s="368">
        <f t="shared" si="22"/>
        <v>0</v>
      </c>
      <c r="AO66" s="368">
        <f t="shared" si="22"/>
        <v>0</v>
      </c>
      <c r="AP66" s="368">
        <f t="shared" si="22"/>
        <v>0</v>
      </c>
      <c r="AQ66" s="368">
        <f t="shared" si="22"/>
        <v>0</v>
      </c>
      <c r="AR66" s="368">
        <f t="shared" si="22"/>
        <v>0</v>
      </c>
      <c r="AS66" s="368">
        <f t="shared" si="22"/>
        <v>0</v>
      </c>
      <c r="AT66" s="368">
        <f t="shared" si="22"/>
        <v>0</v>
      </c>
      <c r="AW66" s="361"/>
      <c r="AX66" s="361"/>
      <c r="AY66" s="361"/>
      <c r="AZ66" s="361"/>
      <c r="BA66" s="361"/>
      <c r="BB66" s="361"/>
      <c r="BC66" s="361"/>
      <c r="BD66" s="361"/>
      <c r="BE66" s="361"/>
      <c r="BF66" s="361"/>
      <c r="BG66" s="361"/>
      <c r="BH66" s="361"/>
      <c r="BJ66" s="369">
        <f t="shared" si="25"/>
        <v>0</v>
      </c>
      <c r="BK66" s="369">
        <f t="shared" si="25"/>
        <v>0</v>
      </c>
      <c r="BL66" s="369">
        <f t="shared" si="25"/>
        <v>0</v>
      </c>
      <c r="BM66" s="369">
        <f t="shared" si="23"/>
        <v>0</v>
      </c>
      <c r="BN66" s="369">
        <f t="shared" si="23"/>
        <v>0</v>
      </c>
      <c r="BO66" s="369">
        <f t="shared" si="23"/>
        <v>0</v>
      </c>
      <c r="BP66" s="369">
        <f t="shared" si="23"/>
        <v>0</v>
      </c>
      <c r="BQ66" s="369">
        <f t="shared" si="23"/>
        <v>0</v>
      </c>
      <c r="BR66" s="369">
        <f t="shared" si="23"/>
        <v>0</v>
      </c>
      <c r="BS66" s="369">
        <f t="shared" si="23"/>
        <v>0</v>
      </c>
      <c r="BT66" s="369">
        <f t="shared" si="23"/>
        <v>0</v>
      </c>
      <c r="BU66" s="369">
        <f t="shared" si="23"/>
        <v>0</v>
      </c>
      <c r="BW66" s="369" t="e">
        <f>AI66+#REF!+#REF!+#REF!+AW66+BJ66</f>
        <v>#REF!</v>
      </c>
      <c r="BX66" s="369" t="e">
        <f>AJ66+#REF!+#REF!+#REF!+AX66+BK66</f>
        <v>#REF!</v>
      </c>
      <c r="BY66" s="369" t="e">
        <f>AK66+#REF!+#REF!+#REF!+AY66+BL66</f>
        <v>#REF!</v>
      </c>
      <c r="BZ66" s="369" t="e">
        <f>AL66+#REF!+#REF!+#REF!+AZ66+BM66</f>
        <v>#REF!</v>
      </c>
      <c r="CA66" s="369" t="e">
        <f>AM66+#REF!+#REF!+#REF!+BA66+BN66</f>
        <v>#REF!</v>
      </c>
      <c r="CB66" s="369" t="e">
        <f>AN66+#REF!+#REF!+#REF!+BB66+BO66</f>
        <v>#REF!</v>
      </c>
      <c r="CC66" s="369" t="e">
        <f>AO66+#REF!+#REF!+#REF!+BC66+BP66</f>
        <v>#REF!</v>
      </c>
      <c r="CD66" s="369" t="e">
        <f>AP66+#REF!+#REF!+#REF!+BD66+BQ66</f>
        <v>#REF!</v>
      </c>
      <c r="CE66" s="369" t="e">
        <f>AQ66+#REF!+#REF!+#REF!+BE66+BR66</f>
        <v>#REF!</v>
      </c>
      <c r="CF66" s="369" t="e">
        <f>AR66+#REF!+#REF!+#REF!+BF66+BS66</f>
        <v>#REF!</v>
      </c>
      <c r="CG66" s="369" t="e">
        <f>AS66+#REF!+#REF!+#REF!+BG66+BT66</f>
        <v>#REF!</v>
      </c>
      <c r="CH66" s="369" t="e">
        <f>AT66+#REF!+#REF!+#REF!+BH66+BU66</f>
        <v>#REF!</v>
      </c>
    </row>
    <row r="67" spans="11:86" ht="16" hidden="1" x14ac:dyDescent="0.2">
      <c r="K67" s="359"/>
      <c r="L67" s="360"/>
      <c r="M67" s="361"/>
      <c r="N67" s="361"/>
      <c r="O67" s="361"/>
      <c r="P67" s="363">
        <v>5.0000000000000001E-3</v>
      </c>
      <c r="Q67" s="364">
        <f t="shared" si="14"/>
        <v>0</v>
      </c>
      <c r="R67" s="365">
        <v>0</v>
      </c>
      <c r="S67" s="365">
        <v>0.30499999999999999</v>
      </c>
      <c r="T67" s="366">
        <f t="shared" si="15"/>
        <v>0</v>
      </c>
      <c r="V67" s="367"/>
      <c r="W67" s="367"/>
      <c r="X67" s="367"/>
      <c r="Y67" s="367"/>
      <c r="Z67" s="367"/>
      <c r="AA67" s="367"/>
      <c r="AB67" s="367"/>
      <c r="AC67" s="367"/>
      <c r="AD67" s="367"/>
      <c r="AE67" s="367"/>
      <c r="AF67" s="367"/>
      <c r="AG67" s="367"/>
      <c r="AI67" s="368">
        <f t="shared" si="24"/>
        <v>0</v>
      </c>
      <c r="AJ67" s="368">
        <f t="shared" si="24"/>
        <v>0</v>
      </c>
      <c r="AK67" s="368">
        <f t="shared" si="24"/>
        <v>0</v>
      </c>
      <c r="AL67" s="368">
        <f t="shared" si="22"/>
        <v>0</v>
      </c>
      <c r="AM67" s="368">
        <f t="shared" si="22"/>
        <v>0</v>
      </c>
      <c r="AN67" s="368">
        <f t="shared" si="22"/>
        <v>0</v>
      </c>
      <c r="AO67" s="368">
        <f t="shared" si="22"/>
        <v>0</v>
      </c>
      <c r="AP67" s="368">
        <f t="shared" si="22"/>
        <v>0</v>
      </c>
      <c r="AQ67" s="368">
        <f t="shared" si="22"/>
        <v>0</v>
      </c>
      <c r="AR67" s="368">
        <f t="shared" si="22"/>
        <v>0</v>
      </c>
      <c r="AS67" s="368">
        <f t="shared" si="22"/>
        <v>0</v>
      </c>
      <c r="AT67" s="368">
        <f t="shared" si="22"/>
        <v>0</v>
      </c>
      <c r="AW67" s="361"/>
      <c r="AX67" s="361"/>
      <c r="AY67" s="361"/>
      <c r="AZ67" s="361"/>
      <c r="BA67" s="361"/>
      <c r="BB67" s="361"/>
      <c r="BC67" s="361"/>
      <c r="BD67" s="361"/>
      <c r="BE67" s="361"/>
      <c r="BF67" s="361"/>
      <c r="BG67" s="361"/>
      <c r="BH67" s="361"/>
      <c r="BJ67" s="369">
        <f t="shared" si="25"/>
        <v>0</v>
      </c>
      <c r="BK67" s="369">
        <f t="shared" si="25"/>
        <v>0</v>
      </c>
      <c r="BL67" s="369">
        <f t="shared" si="25"/>
        <v>0</v>
      </c>
      <c r="BM67" s="369">
        <f t="shared" si="23"/>
        <v>0</v>
      </c>
      <c r="BN67" s="369">
        <f t="shared" si="23"/>
        <v>0</v>
      </c>
      <c r="BO67" s="369">
        <f t="shared" si="23"/>
        <v>0</v>
      </c>
      <c r="BP67" s="369">
        <f t="shared" si="23"/>
        <v>0</v>
      </c>
      <c r="BQ67" s="369">
        <f t="shared" si="23"/>
        <v>0</v>
      </c>
      <c r="BR67" s="369">
        <f t="shared" si="23"/>
        <v>0</v>
      </c>
      <c r="BS67" s="369">
        <f t="shared" si="23"/>
        <v>0</v>
      </c>
      <c r="BT67" s="369">
        <f t="shared" si="23"/>
        <v>0</v>
      </c>
      <c r="BU67" s="369">
        <f t="shared" si="23"/>
        <v>0</v>
      </c>
      <c r="BW67" s="369" t="e">
        <f>AI67+#REF!+#REF!+#REF!+AW67+BJ67</f>
        <v>#REF!</v>
      </c>
      <c r="BX67" s="369" t="e">
        <f>AJ67+#REF!+#REF!+#REF!+AX67+BK67</f>
        <v>#REF!</v>
      </c>
      <c r="BY67" s="369" t="e">
        <f>AK67+#REF!+#REF!+#REF!+AY67+BL67</f>
        <v>#REF!</v>
      </c>
      <c r="BZ67" s="369" t="e">
        <f>AL67+#REF!+#REF!+#REF!+AZ67+BM67</f>
        <v>#REF!</v>
      </c>
      <c r="CA67" s="369" t="e">
        <f>AM67+#REF!+#REF!+#REF!+BA67+BN67</f>
        <v>#REF!</v>
      </c>
      <c r="CB67" s="369" t="e">
        <f>AN67+#REF!+#REF!+#REF!+BB67+BO67</f>
        <v>#REF!</v>
      </c>
      <c r="CC67" s="369" t="e">
        <f>AO67+#REF!+#REF!+#REF!+BC67+BP67</f>
        <v>#REF!</v>
      </c>
      <c r="CD67" s="369" t="e">
        <f>AP67+#REF!+#REF!+#REF!+BD67+BQ67</f>
        <v>#REF!</v>
      </c>
      <c r="CE67" s="369" t="e">
        <f>AQ67+#REF!+#REF!+#REF!+BE67+BR67</f>
        <v>#REF!</v>
      </c>
      <c r="CF67" s="369" t="e">
        <f>AR67+#REF!+#REF!+#REF!+BF67+BS67</f>
        <v>#REF!</v>
      </c>
      <c r="CG67" s="369" t="e">
        <f>AS67+#REF!+#REF!+#REF!+BG67+BT67</f>
        <v>#REF!</v>
      </c>
      <c r="CH67" s="369" t="e">
        <f>AT67+#REF!+#REF!+#REF!+BH67+BU67</f>
        <v>#REF!</v>
      </c>
    </row>
    <row r="68" spans="11:86" ht="16" hidden="1" x14ac:dyDescent="0.2">
      <c r="K68" s="359"/>
      <c r="L68" s="360"/>
      <c r="M68" s="361"/>
      <c r="N68" s="361"/>
      <c r="O68" s="361"/>
      <c r="P68" s="363">
        <v>5.0000000000000001E-3</v>
      </c>
      <c r="Q68" s="364">
        <f t="shared" si="14"/>
        <v>0</v>
      </c>
      <c r="R68" s="365">
        <v>0</v>
      </c>
      <c r="S68" s="365">
        <v>0.30499999999999999</v>
      </c>
      <c r="T68" s="366">
        <f t="shared" si="15"/>
        <v>0</v>
      </c>
      <c r="V68" s="367"/>
      <c r="W68" s="367"/>
      <c r="X68" s="367"/>
      <c r="Y68" s="367"/>
      <c r="Z68" s="367"/>
      <c r="AA68" s="367"/>
      <c r="AB68" s="367"/>
      <c r="AC68" s="367"/>
      <c r="AD68" s="367"/>
      <c r="AE68" s="367"/>
      <c r="AF68" s="367"/>
      <c r="AG68" s="367"/>
      <c r="AI68" s="368">
        <f t="shared" si="24"/>
        <v>0</v>
      </c>
      <c r="AJ68" s="368">
        <f t="shared" si="24"/>
        <v>0</v>
      </c>
      <c r="AK68" s="368">
        <f t="shared" si="24"/>
        <v>0</v>
      </c>
      <c r="AL68" s="368">
        <f t="shared" si="22"/>
        <v>0</v>
      </c>
      <c r="AM68" s="368">
        <f t="shared" si="22"/>
        <v>0</v>
      </c>
      <c r="AN68" s="368">
        <f t="shared" si="22"/>
        <v>0</v>
      </c>
      <c r="AO68" s="368">
        <f t="shared" si="22"/>
        <v>0</v>
      </c>
      <c r="AP68" s="368">
        <f t="shared" si="22"/>
        <v>0</v>
      </c>
      <c r="AQ68" s="368">
        <f t="shared" si="22"/>
        <v>0</v>
      </c>
      <c r="AR68" s="368">
        <f t="shared" si="22"/>
        <v>0</v>
      </c>
      <c r="AS68" s="368">
        <f t="shared" si="22"/>
        <v>0</v>
      </c>
      <c r="AT68" s="368">
        <f t="shared" si="22"/>
        <v>0</v>
      </c>
      <c r="AW68" s="361"/>
      <c r="AX68" s="361"/>
      <c r="AY68" s="361"/>
      <c r="AZ68" s="361"/>
      <c r="BA68" s="361"/>
      <c r="BB68" s="361"/>
      <c r="BC68" s="361"/>
      <c r="BD68" s="361"/>
      <c r="BE68" s="361"/>
      <c r="BF68" s="361"/>
      <c r="BG68" s="361"/>
      <c r="BH68" s="361"/>
      <c r="BJ68" s="369">
        <f t="shared" si="25"/>
        <v>0</v>
      </c>
      <c r="BK68" s="369">
        <f t="shared" si="25"/>
        <v>0</v>
      </c>
      <c r="BL68" s="369">
        <f t="shared" si="25"/>
        <v>0</v>
      </c>
      <c r="BM68" s="369">
        <f t="shared" si="23"/>
        <v>0</v>
      </c>
      <c r="BN68" s="369">
        <f t="shared" si="23"/>
        <v>0</v>
      </c>
      <c r="BO68" s="369">
        <f t="shared" si="23"/>
        <v>0</v>
      </c>
      <c r="BP68" s="369">
        <f t="shared" si="23"/>
        <v>0</v>
      </c>
      <c r="BQ68" s="369">
        <f t="shared" si="23"/>
        <v>0</v>
      </c>
      <c r="BR68" s="369">
        <f t="shared" si="23"/>
        <v>0</v>
      </c>
      <c r="BS68" s="369">
        <f t="shared" si="23"/>
        <v>0</v>
      </c>
      <c r="BT68" s="369">
        <f t="shared" si="23"/>
        <v>0</v>
      </c>
      <c r="BU68" s="369">
        <f t="shared" si="23"/>
        <v>0</v>
      </c>
      <c r="BW68" s="369" t="e">
        <f>AI68+#REF!+#REF!+#REF!+AW68+BJ68</f>
        <v>#REF!</v>
      </c>
      <c r="BX68" s="369" t="e">
        <f>AJ68+#REF!+#REF!+#REF!+AX68+BK68</f>
        <v>#REF!</v>
      </c>
      <c r="BY68" s="369" t="e">
        <f>AK68+#REF!+#REF!+#REF!+AY68+BL68</f>
        <v>#REF!</v>
      </c>
      <c r="BZ68" s="369" t="e">
        <f>AL68+#REF!+#REF!+#REF!+AZ68+BM68</f>
        <v>#REF!</v>
      </c>
      <c r="CA68" s="369" t="e">
        <f>AM68+#REF!+#REF!+#REF!+BA68+BN68</f>
        <v>#REF!</v>
      </c>
      <c r="CB68" s="369" t="e">
        <f>AN68+#REF!+#REF!+#REF!+BB68+BO68</f>
        <v>#REF!</v>
      </c>
      <c r="CC68" s="369" t="e">
        <f>AO68+#REF!+#REF!+#REF!+BC68+BP68</f>
        <v>#REF!</v>
      </c>
      <c r="CD68" s="369" t="e">
        <f>AP68+#REF!+#REF!+#REF!+BD68+BQ68</f>
        <v>#REF!</v>
      </c>
      <c r="CE68" s="369" t="e">
        <f>AQ68+#REF!+#REF!+#REF!+BE68+BR68</f>
        <v>#REF!</v>
      </c>
      <c r="CF68" s="369" t="e">
        <f>AR68+#REF!+#REF!+#REF!+BF68+BS68</f>
        <v>#REF!</v>
      </c>
      <c r="CG68" s="369" t="e">
        <f>AS68+#REF!+#REF!+#REF!+BG68+BT68</f>
        <v>#REF!</v>
      </c>
      <c r="CH68" s="369" t="e">
        <f>AT68+#REF!+#REF!+#REF!+BH68+BU68</f>
        <v>#REF!</v>
      </c>
    </row>
    <row r="69" spans="11:86" ht="16" hidden="1" x14ac:dyDescent="0.2">
      <c r="K69" s="359"/>
      <c r="L69" s="360"/>
      <c r="M69" s="361"/>
      <c r="N69" s="361"/>
      <c r="O69" s="361"/>
      <c r="P69" s="363">
        <v>5.0000000000000001E-3</v>
      </c>
      <c r="Q69" s="364">
        <f t="shared" si="14"/>
        <v>0</v>
      </c>
      <c r="R69" s="365">
        <v>0</v>
      </c>
      <c r="S69" s="365">
        <v>0.30499999999999999</v>
      </c>
      <c r="T69" s="366">
        <f t="shared" si="15"/>
        <v>0</v>
      </c>
      <c r="V69" s="367"/>
      <c r="W69" s="367"/>
      <c r="X69" s="367"/>
      <c r="Y69" s="367"/>
      <c r="Z69" s="367"/>
      <c r="AA69" s="367"/>
      <c r="AB69" s="367"/>
      <c r="AC69" s="367"/>
      <c r="AD69" s="367"/>
      <c r="AE69" s="367"/>
      <c r="AF69" s="367"/>
      <c r="AG69" s="367"/>
      <c r="AI69" s="368">
        <f t="shared" si="24"/>
        <v>0</v>
      </c>
      <c r="AJ69" s="368">
        <f t="shared" si="24"/>
        <v>0</v>
      </c>
      <c r="AK69" s="368">
        <f t="shared" si="24"/>
        <v>0</v>
      </c>
      <c r="AL69" s="368">
        <f t="shared" si="22"/>
        <v>0</v>
      </c>
      <c r="AM69" s="368">
        <f t="shared" si="22"/>
        <v>0</v>
      </c>
      <c r="AN69" s="368">
        <f t="shared" si="22"/>
        <v>0</v>
      </c>
      <c r="AO69" s="368">
        <f t="shared" si="22"/>
        <v>0</v>
      </c>
      <c r="AP69" s="368">
        <f t="shared" si="22"/>
        <v>0</v>
      </c>
      <c r="AQ69" s="368">
        <f t="shared" si="22"/>
        <v>0</v>
      </c>
      <c r="AR69" s="368">
        <f t="shared" si="22"/>
        <v>0</v>
      </c>
      <c r="AS69" s="368">
        <f t="shared" si="22"/>
        <v>0</v>
      </c>
      <c r="AT69" s="368">
        <f t="shared" si="22"/>
        <v>0</v>
      </c>
      <c r="AW69" s="361"/>
      <c r="AX69" s="361"/>
      <c r="AY69" s="361"/>
      <c r="AZ69" s="361"/>
      <c r="BA69" s="361"/>
      <c r="BB69" s="361"/>
      <c r="BC69" s="361"/>
      <c r="BD69" s="361"/>
      <c r="BE69" s="361"/>
      <c r="BF69" s="361"/>
      <c r="BG69" s="361"/>
      <c r="BH69" s="361"/>
      <c r="BJ69" s="369">
        <f t="shared" si="25"/>
        <v>0</v>
      </c>
      <c r="BK69" s="369">
        <f t="shared" si="25"/>
        <v>0</v>
      </c>
      <c r="BL69" s="369">
        <f t="shared" si="25"/>
        <v>0</v>
      </c>
      <c r="BM69" s="369">
        <f t="shared" si="23"/>
        <v>0</v>
      </c>
      <c r="BN69" s="369">
        <f t="shared" si="23"/>
        <v>0</v>
      </c>
      <c r="BO69" s="369">
        <f t="shared" si="23"/>
        <v>0</v>
      </c>
      <c r="BP69" s="369">
        <f t="shared" si="23"/>
        <v>0</v>
      </c>
      <c r="BQ69" s="369">
        <f t="shared" si="23"/>
        <v>0</v>
      </c>
      <c r="BR69" s="369">
        <f t="shared" si="23"/>
        <v>0</v>
      </c>
      <c r="BS69" s="369">
        <f t="shared" si="23"/>
        <v>0</v>
      </c>
      <c r="BT69" s="369">
        <f t="shared" si="23"/>
        <v>0</v>
      </c>
      <c r="BU69" s="369">
        <f t="shared" si="23"/>
        <v>0</v>
      </c>
      <c r="BW69" s="369" t="e">
        <f>AI69+#REF!+#REF!+#REF!+AW69+BJ69</f>
        <v>#REF!</v>
      </c>
      <c r="BX69" s="369" t="e">
        <f>AJ69+#REF!+#REF!+#REF!+AX69+BK69</f>
        <v>#REF!</v>
      </c>
      <c r="BY69" s="369" t="e">
        <f>AK69+#REF!+#REF!+#REF!+AY69+BL69</f>
        <v>#REF!</v>
      </c>
      <c r="BZ69" s="369" t="e">
        <f>AL69+#REF!+#REF!+#REF!+AZ69+BM69</f>
        <v>#REF!</v>
      </c>
      <c r="CA69" s="369" t="e">
        <f>AM69+#REF!+#REF!+#REF!+BA69+BN69</f>
        <v>#REF!</v>
      </c>
      <c r="CB69" s="369" t="e">
        <f>AN69+#REF!+#REF!+#REF!+BB69+BO69</f>
        <v>#REF!</v>
      </c>
      <c r="CC69" s="369" t="e">
        <f>AO69+#REF!+#REF!+#REF!+BC69+BP69</f>
        <v>#REF!</v>
      </c>
      <c r="CD69" s="369" t="e">
        <f>AP69+#REF!+#REF!+#REF!+BD69+BQ69</f>
        <v>#REF!</v>
      </c>
      <c r="CE69" s="369" t="e">
        <f>AQ69+#REF!+#REF!+#REF!+BE69+BR69</f>
        <v>#REF!</v>
      </c>
      <c r="CF69" s="369" t="e">
        <f>AR69+#REF!+#REF!+#REF!+BF69+BS69</f>
        <v>#REF!</v>
      </c>
      <c r="CG69" s="369" t="e">
        <f>AS69+#REF!+#REF!+#REF!+BG69+BT69</f>
        <v>#REF!</v>
      </c>
      <c r="CH69" s="369" t="e">
        <f>AT69+#REF!+#REF!+#REF!+BH69+BU69</f>
        <v>#REF!</v>
      </c>
    </row>
    <row r="70" spans="11:86" ht="16" hidden="1" x14ac:dyDescent="0.2">
      <c r="K70" s="359"/>
      <c r="L70" s="360"/>
      <c r="M70" s="361"/>
      <c r="N70" s="361"/>
      <c r="O70" s="361"/>
      <c r="P70" s="363">
        <v>5.0000000000000001E-3</v>
      </c>
      <c r="Q70" s="364">
        <f t="shared" si="14"/>
        <v>0</v>
      </c>
      <c r="R70" s="365">
        <v>0</v>
      </c>
      <c r="S70" s="365">
        <v>0.30499999999999999</v>
      </c>
      <c r="T70" s="366">
        <f t="shared" si="15"/>
        <v>0</v>
      </c>
      <c r="V70" s="367"/>
      <c r="W70" s="367"/>
      <c r="X70" s="367"/>
      <c r="Y70" s="367"/>
      <c r="Z70" s="367"/>
      <c r="AA70" s="367"/>
      <c r="AB70" s="367"/>
      <c r="AC70" s="367"/>
      <c r="AD70" s="367"/>
      <c r="AE70" s="367"/>
      <c r="AF70" s="367"/>
      <c r="AG70" s="367"/>
      <c r="AI70" s="368">
        <f t="shared" si="24"/>
        <v>0</v>
      </c>
      <c r="AJ70" s="368">
        <f t="shared" si="24"/>
        <v>0</v>
      </c>
      <c r="AK70" s="368">
        <f t="shared" si="24"/>
        <v>0</v>
      </c>
      <c r="AL70" s="368">
        <f t="shared" si="22"/>
        <v>0</v>
      </c>
      <c r="AM70" s="368">
        <f t="shared" si="22"/>
        <v>0</v>
      </c>
      <c r="AN70" s="368">
        <f t="shared" si="22"/>
        <v>0</v>
      </c>
      <c r="AO70" s="368">
        <f t="shared" si="22"/>
        <v>0</v>
      </c>
      <c r="AP70" s="368">
        <f t="shared" si="22"/>
        <v>0</v>
      </c>
      <c r="AQ70" s="368">
        <f t="shared" si="22"/>
        <v>0</v>
      </c>
      <c r="AR70" s="368">
        <f t="shared" si="22"/>
        <v>0</v>
      </c>
      <c r="AS70" s="368">
        <f t="shared" si="22"/>
        <v>0</v>
      </c>
      <c r="AT70" s="368">
        <f t="shared" si="22"/>
        <v>0</v>
      </c>
      <c r="AW70" s="361"/>
      <c r="AX70" s="361"/>
      <c r="AY70" s="361"/>
      <c r="AZ70" s="361"/>
      <c r="BA70" s="361"/>
      <c r="BB70" s="361"/>
      <c r="BC70" s="361"/>
      <c r="BD70" s="361"/>
      <c r="BE70" s="361"/>
      <c r="BF70" s="361"/>
      <c r="BG70" s="361"/>
      <c r="BH70" s="361"/>
      <c r="BJ70" s="369">
        <f t="shared" si="25"/>
        <v>0</v>
      </c>
      <c r="BK70" s="369">
        <f t="shared" si="25"/>
        <v>0</v>
      </c>
      <c r="BL70" s="369">
        <f t="shared" si="25"/>
        <v>0</v>
      </c>
      <c r="BM70" s="369">
        <f t="shared" si="23"/>
        <v>0</v>
      </c>
      <c r="BN70" s="369">
        <f t="shared" si="23"/>
        <v>0</v>
      </c>
      <c r="BO70" s="369">
        <f t="shared" si="23"/>
        <v>0</v>
      </c>
      <c r="BP70" s="369">
        <f t="shared" si="23"/>
        <v>0</v>
      </c>
      <c r="BQ70" s="369">
        <f t="shared" si="23"/>
        <v>0</v>
      </c>
      <c r="BR70" s="369">
        <f t="shared" si="23"/>
        <v>0</v>
      </c>
      <c r="BS70" s="369">
        <f t="shared" si="23"/>
        <v>0</v>
      </c>
      <c r="BT70" s="369">
        <f t="shared" si="23"/>
        <v>0</v>
      </c>
      <c r="BU70" s="369">
        <f t="shared" si="23"/>
        <v>0</v>
      </c>
      <c r="BW70" s="369" t="e">
        <f>AI70+#REF!+#REF!+#REF!+AW70+BJ70</f>
        <v>#REF!</v>
      </c>
      <c r="BX70" s="369" t="e">
        <f>AJ70+#REF!+#REF!+#REF!+AX70+BK70</f>
        <v>#REF!</v>
      </c>
      <c r="BY70" s="369" t="e">
        <f>AK70+#REF!+#REF!+#REF!+AY70+BL70</f>
        <v>#REF!</v>
      </c>
      <c r="BZ70" s="369" t="e">
        <f>AL70+#REF!+#REF!+#REF!+AZ70+BM70</f>
        <v>#REF!</v>
      </c>
      <c r="CA70" s="369" t="e">
        <f>AM70+#REF!+#REF!+#REF!+BA70+BN70</f>
        <v>#REF!</v>
      </c>
      <c r="CB70" s="369" t="e">
        <f>AN70+#REF!+#REF!+#REF!+BB70+BO70</f>
        <v>#REF!</v>
      </c>
      <c r="CC70" s="369" t="e">
        <f>AO70+#REF!+#REF!+#REF!+BC70+BP70</f>
        <v>#REF!</v>
      </c>
      <c r="CD70" s="369" t="e">
        <f>AP70+#REF!+#REF!+#REF!+BD70+BQ70</f>
        <v>#REF!</v>
      </c>
      <c r="CE70" s="369" t="e">
        <f>AQ70+#REF!+#REF!+#REF!+BE70+BR70</f>
        <v>#REF!</v>
      </c>
      <c r="CF70" s="369" t="e">
        <f>AR70+#REF!+#REF!+#REF!+BF70+BS70</f>
        <v>#REF!</v>
      </c>
      <c r="CG70" s="369" t="e">
        <f>AS70+#REF!+#REF!+#REF!+BG70+BT70</f>
        <v>#REF!</v>
      </c>
      <c r="CH70" s="369" t="e">
        <f>AT70+#REF!+#REF!+#REF!+BH70+BU70</f>
        <v>#REF!</v>
      </c>
    </row>
    <row r="71" spans="11:86" ht="16" hidden="1" x14ac:dyDescent="0.2">
      <c r="K71" s="359"/>
      <c r="L71" s="360"/>
      <c r="M71" s="361"/>
      <c r="N71" s="361"/>
      <c r="O71" s="361"/>
      <c r="P71" s="363">
        <v>5.0000000000000001E-3</v>
      </c>
      <c r="Q71" s="364">
        <f t="shared" si="14"/>
        <v>0</v>
      </c>
      <c r="R71" s="365">
        <v>0</v>
      </c>
      <c r="S71" s="365">
        <v>0.30499999999999999</v>
      </c>
      <c r="T71" s="366">
        <f t="shared" si="15"/>
        <v>0</v>
      </c>
      <c r="V71" s="367"/>
      <c r="W71" s="367"/>
      <c r="X71" s="367"/>
      <c r="Y71" s="367"/>
      <c r="Z71" s="367"/>
      <c r="AA71" s="367"/>
      <c r="AB71" s="367"/>
      <c r="AC71" s="367"/>
      <c r="AD71" s="367"/>
      <c r="AE71" s="367"/>
      <c r="AF71" s="367"/>
      <c r="AG71" s="367"/>
      <c r="AI71" s="368">
        <f t="shared" si="24"/>
        <v>0</v>
      </c>
      <c r="AJ71" s="368">
        <f t="shared" si="24"/>
        <v>0</v>
      </c>
      <c r="AK71" s="368">
        <f t="shared" si="24"/>
        <v>0</v>
      </c>
      <c r="AL71" s="368">
        <f t="shared" si="22"/>
        <v>0</v>
      </c>
      <c r="AM71" s="368">
        <f t="shared" si="22"/>
        <v>0</v>
      </c>
      <c r="AN71" s="368">
        <f t="shared" si="22"/>
        <v>0</v>
      </c>
      <c r="AO71" s="368">
        <f t="shared" si="22"/>
        <v>0</v>
      </c>
      <c r="AP71" s="368">
        <f t="shared" si="22"/>
        <v>0</v>
      </c>
      <c r="AQ71" s="368">
        <f t="shared" si="22"/>
        <v>0</v>
      </c>
      <c r="AR71" s="368">
        <f t="shared" si="22"/>
        <v>0</v>
      </c>
      <c r="AS71" s="368">
        <f t="shared" si="22"/>
        <v>0</v>
      </c>
      <c r="AT71" s="368">
        <f t="shared" si="22"/>
        <v>0</v>
      </c>
      <c r="AW71" s="361"/>
      <c r="AX71" s="361"/>
      <c r="AY71" s="361"/>
      <c r="AZ71" s="361"/>
      <c r="BA71" s="361"/>
      <c r="BB71" s="361"/>
      <c r="BC71" s="361"/>
      <c r="BD71" s="361"/>
      <c r="BE71" s="361"/>
      <c r="BF71" s="361"/>
      <c r="BG71" s="361"/>
      <c r="BH71" s="361"/>
      <c r="BJ71" s="369">
        <f t="shared" si="25"/>
        <v>0</v>
      </c>
      <c r="BK71" s="369">
        <f t="shared" si="25"/>
        <v>0</v>
      </c>
      <c r="BL71" s="369">
        <f t="shared" si="25"/>
        <v>0</v>
      </c>
      <c r="BM71" s="369">
        <f t="shared" si="23"/>
        <v>0</v>
      </c>
      <c r="BN71" s="369">
        <f t="shared" si="23"/>
        <v>0</v>
      </c>
      <c r="BO71" s="369">
        <f t="shared" si="23"/>
        <v>0</v>
      </c>
      <c r="BP71" s="369">
        <f t="shared" si="23"/>
        <v>0</v>
      </c>
      <c r="BQ71" s="369">
        <f t="shared" si="23"/>
        <v>0</v>
      </c>
      <c r="BR71" s="369">
        <f t="shared" si="23"/>
        <v>0</v>
      </c>
      <c r="BS71" s="369">
        <f t="shared" si="23"/>
        <v>0</v>
      </c>
      <c r="BT71" s="369">
        <f t="shared" si="23"/>
        <v>0</v>
      </c>
      <c r="BU71" s="369">
        <f t="shared" si="23"/>
        <v>0</v>
      </c>
      <c r="BW71" s="369" t="e">
        <f>AI71+#REF!+#REF!+#REF!+AW71+BJ71</f>
        <v>#REF!</v>
      </c>
      <c r="BX71" s="369" t="e">
        <f>AJ71+#REF!+#REF!+#REF!+AX71+BK71</f>
        <v>#REF!</v>
      </c>
      <c r="BY71" s="369" t="e">
        <f>AK71+#REF!+#REF!+#REF!+AY71+BL71</f>
        <v>#REF!</v>
      </c>
      <c r="BZ71" s="369" t="e">
        <f>AL71+#REF!+#REF!+#REF!+AZ71+BM71</f>
        <v>#REF!</v>
      </c>
      <c r="CA71" s="369" t="e">
        <f>AM71+#REF!+#REF!+#REF!+BA71+BN71</f>
        <v>#REF!</v>
      </c>
      <c r="CB71" s="369" t="e">
        <f>AN71+#REF!+#REF!+#REF!+BB71+BO71</f>
        <v>#REF!</v>
      </c>
      <c r="CC71" s="369" t="e">
        <f>AO71+#REF!+#REF!+#REF!+BC71+BP71</f>
        <v>#REF!</v>
      </c>
      <c r="CD71" s="369" t="e">
        <f>AP71+#REF!+#REF!+#REF!+BD71+BQ71</f>
        <v>#REF!</v>
      </c>
      <c r="CE71" s="369" t="e">
        <f>AQ71+#REF!+#REF!+#REF!+BE71+BR71</f>
        <v>#REF!</v>
      </c>
      <c r="CF71" s="369" t="e">
        <f>AR71+#REF!+#REF!+#REF!+BF71+BS71</f>
        <v>#REF!</v>
      </c>
      <c r="CG71" s="369" t="e">
        <f>AS71+#REF!+#REF!+#REF!+BG71+BT71</f>
        <v>#REF!</v>
      </c>
      <c r="CH71" s="369" t="e">
        <f>AT71+#REF!+#REF!+#REF!+BH71+BU71</f>
        <v>#REF!</v>
      </c>
    </row>
    <row r="72" spans="11:86" ht="16" hidden="1" x14ac:dyDescent="0.2">
      <c r="K72" s="359"/>
      <c r="L72" s="360"/>
      <c r="M72" s="361"/>
      <c r="N72" s="361"/>
      <c r="O72" s="361"/>
      <c r="P72" s="363">
        <v>5.0000000000000001E-3</v>
      </c>
      <c r="Q72" s="364">
        <f t="shared" si="14"/>
        <v>0</v>
      </c>
      <c r="R72" s="365">
        <v>0</v>
      </c>
      <c r="S72" s="365">
        <v>0.30499999999999999</v>
      </c>
      <c r="T72" s="366">
        <f t="shared" si="15"/>
        <v>0</v>
      </c>
      <c r="V72" s="367"/>
      <c r="W72" s="367"/>
      <c r="X72" s="367"/>
      <c r="Y72" s="367"/>
      <c r="Z72" s="367"/>
      <c r="AA72" s="367"/>
      <c r="AB72" s="367"/>
      <c r="AC72" s="367"/>
      <c r="AD72" s="367"/>
      <c r="AE72" s="367"/>
      <c r="AF72" s="367"/>
      <c r="AG72" s="367"/>
      <c r="AI72" s="368">
        <f t="shared" si="24"/>
        <v>0</v>
      </c>
      <c r="AJ72" s="368">
        <f t="shared" si="24"/>
        <v>0</v>
      </c>
      <c r="AK72" s="368">
        <f t="shared" si="24"/>
        <v>0</v>
      </c>
      <c r="AL72" s="368">
        <f t="shared" si="22"/>
        <v>0</v>
      </c>
      <c r="AM72" s="368">
        <f t="shared" si="22"/>
        <v>0</v>
      </c>
      <c r="AN72" s="368">
        <f t="shared" si="22"/>
        <v>0</v>
      </c>
      <c r="AO72" s="368">
        <f t="shared" si="22"/>
        <v>0</v>
      </c>
      <c r="AP72" s="368">
        <f t="shared" si="22"/>
        <v>0</v>
      </c>
      <c r="AQ72" s="368">
        <f t="shared" si="22"/>
        <v>0</v>
      </c>
      <c r="AR72" s="368">
        <f t="shared" si="22"/>
        <v>0</v>
      </c>
      <c r="AS72" s="368">
        <f t="shared" si="22"/>
        <v>0</v>
      </c>
      <c r="AT72" s="368">
        <f t="shared" si="22"/>
        <v>0</v>
      </c>
      <c r="AW72" s="361"/>
      <c r="AX72" s="361"/>
      <c r="AY72" s="361"/>
      <c r="AZ72" s="361"/>
      <c r="BA72" s="361"/>
      <c r="BB72" s="361"/>
      <c r="BC72" s="361"/>
      <c r="BD72" s="361"/>
      <c r="BE72" s="361"/>
      <c r="BF72" s="361"/>
      <c r="BG72" s="361"/>
      <c r="BH72" s="361"/>
      <c r="BJ72" s="369">
        <f t="shared" si="25"/>
        <v>0</v>
      </c>
      <c r="BK72" s="369">
        <f t="shared" si="25"/>
        <v>0</v>
      </c>
      <c r="BL72" s="369">
        <f t="shared" si="25"/>
        <v>0</v>
      </c>
      <c r="BM72" s="369">
        <f t="shared" si="23"/>
        <v>0</v>
      </c>
      <c r="BN72" s="369">
        <f t="shared" si="23"/>
        <v>0</v>
      </c>
      <c r="BO72" s="369">
        <f t="shared" si="23"/>
        <v>0</v>
      </c>
      <c r="BP72" s="369">
        <f t="shared" si="23"/>
        <v>0</v>
      </c>
      <c r="BQ72" s="369">
        <f t="shared" si="23"/>
        <v>0</v>
      </c>
      <c r="BR72" s="369">
        <f t="shared" si="23"/>
        <v>0</v>
      </c>
      <c r="BS72" s="369">
        <f t="shared" si="23"/>
        <v>0</v>
      </c>
      <c r="BT72" s="369">
        <f t="shared" si="23"/>
        <v>0</v>
      </c>
      <c r="BU72" s="369">
        <f t="shared" si="23"/>
        <v>0</v>
      </c>
      <c r="BW72" s="369" t="e">
        <f>AI72+#REF!+#REF!+#REF!+AW72+BJ72</f>
        <v>#REF!</v>
      </c>
      <c r="BX72" s="369" t="e">
        <f>AJ72+#REF!+#REF!+#REF!+AX72+BK72</f>
        <v>#REF!</v>
      </c>
      <c r="BY72" s="369" t="e">
        <f>AK72+#REF!+#REF!+#REF!+AY72+BL72</f>
        <v>#REF!</v>
      </c>
      <c r="BZ72" s="369" t="e">
        <f>AL72+#REF!+#REF!+#REF!+AZ72+BM72</f>
        <v>#REF!</v>
      </c>
      <c r="CA72" s="369" t="e">
        <f>AM72+#REF!+#REF!+#REF!+BA72+BN72</f>
        <v>#REF!</v>
      </c>
      <c r="CB72" s="369" t="e">
        <f>AN72+#REF!+#REF!+#REF!+BB72+BO72</f>
        <v>#REF!</v>
      </c>
      <c r="CC72" s="369" t="e">
        <f>AO72+#REF!+#REF!+#REF!+BC72+BP72</f>
        <v>#REF!</v>
      </c>
      <c r="CD72" s="369" t="e">
        <f>AP72+#REF!+#REF!+#REF!+BD72+BQ72</f>
        <v>#REF!</v>
      </c>
      <c r="CE72" s="369" t="e">
        <f>AQ72+#REF!+#REF!+#REF!+BE72+BR72</f>
        <v>#REF!</v>
      </c>
      <c r="CF72" s="369" t="e">
        <f>AR72+#REF!+#REF!+#REF!+BF72+BS72</f>
        <v>#REF!</v>
      </c>
      <c r="CG72" s="369" t="e">
        <f>AS72+#REF!+#REF!+#REF!+BG72+BT72</f>
        <v>#REF!</v>
      </c>
      <c r="CH72" s="369" t="e">
        <f>AT72+#REF!+#REF!+#REF!+BH72+BU72</f>
        <v>#REF!</v>
      </c>
    </row>
    <row r="73" spans="11:86" ht="16" hidden="1" x14ac:dyDescent="0.2">
      <c r="K73" s="359"/>
      <c r="L73" s="360"/>
      <c r="M73" s="361"/>
      <c r="N73" s="361"/>
      <c r="O73" s="361"/>
      <c r="P73" s="363">
        <v>5.0000000000000001E-3</v>
      </c>
      <c r="Q73" s="364">
        <f t="shared" si="14"/>
        <v>0</v>
      </c>
      <c r="R73" s="365">
        <v>0</v>
      </c>
      <c r="S73" s="365">
        <v>0.30499999999999999</v>
      </c>
      <c r="T73" s="366">
        <f t="shared" si="15"/>
        <v>0</v>
      </c>
      <c r="V73" s="367"/>
      <c r="W73" s="367"/>
      <c r="X73" s="367"/>
      <c r="Y73" s="367"/>
      <c r="Z73" s="367"/>
      <c r="AA73" s="367"/>
      <c r="AB73" s="367"/>
      <c r="AC73" s="367"/>
      <c r="AD73" s="367"/>
      <c r="AE73" s="367"/>
      <c r="AF73" s="367"/>
      <c r="AG73" s="367"/>
      <c r="AI73" s="368">
        <f t="shared" si="24"/>
        <v>0</v>
      </c>
      <c r="AJ73" s="368">
        <f t="shared" si="24"/>
        <v>0</v>
      </c>
      <c r="AK73" s="368">
        <f t="shared" si="24"/>
        <v>0</v>
      </c>
      <c r="AL73" s="368">
        <f t="shared" si="22"/>
        <v>0</v>
      </c>
      <c r="AM73" s="368">
        <f t="shared" si="22"/>
        <v>0</v>
      </c>
      <c r="AN73" s="368">
        <f t="shared" si="22"/>
        <v>0</v>
      </c>
      <c r="AO73" s="368">
        <f t="shared" si="22"/>
        <v>0</v>
      </c>
      <c r="AP73" s="368">
        <f t="shared" si="22"/>
        <v>0</v>
      </c>
      <c r="AQ73" s="368">
        <f t="shared" si="22"/>
        <v>0</v>
      </c>
      <c r="AR73" s="368">
        <f t="shared" si="22"/>
        <v>0</v>
      </c>
      <c r="AS73" s="368">
        <f t="shared" si="22"/>
        <v>0</v>
      </c>
      <c r="AT73" s="368">
        <f t="shared" si="22"/>
        <v>0</v>
      </c>
      <c r="AW73" s="361"/>
      <c r="AX73" s="361"/>
      <c r="AY73" s="361"/>
      <c r="AZ73" s="361"/>
      <c r="BA73" s="361"/>
      <c r="BB73" s="361"/>
      <c r="BC73" s="361"/>
      <c r="BD73" s="361"/>
      <c r="BE73" s="361"/>
      <c r="BF73" s="361"/>
      <c r="BG73" s="361"/>
      <c r="BH73" s="361"/>
      <c r="BJ73" s="369">
        <f t="shared" si="25"/>
        <v>0</v>
      </c>
      <c r="BK73" s="369">
        <f t="shared" si="25"/>
        <v>0</v>
      </c>
      <c r="BL73" s="369">
        <f t="shared" si="25"/>
        <v>0</v>
      </c>
      <c r="BM73" s="369">
        <f t="shared" si="23"/>
        <v>0</v>
      </c>
      <c r="BN73" s="369">
        <f t="shared" si="23"/>
        <v>0</v>
      </c>
      <c r="BO73" s="369">
        <f t="shared" si="23"/>
        <v>0</v>
      </c>
      <c r="BP73" s="369">
        <f t="shared" si="23"/>
        <v>0</v>
      </c>
      <c r="BQ73" s="369">
        <f t="shared" si="23"/>
        <v>0</v>
      </c>
      <c r="BR73" s="369">
        <f t="shared" si="23"/>
        <v>0</v>
      </c>
      <c r="BS73" s="369">
        <f t="shared" si="23"/>
        <v>0</v>
      </c>
      <c r="BT73" s="369">
        <f t="shared" si="23"/>
        <v>0</v>
      </c>
      <c r="BU73" s="369">
        <f t="shared" si="23"/>
        <v>0</v>
      </c>
      <c r="BW73" s="369" t="e">
        <f>AI73+#REF!+#REF!+#REF!+AW73+BJ73</f>
        <v>#REF!</v>
      </c>
      <c r="BX73" s="369" t="e">
        <f>AJ73+#REF!+#REF!+#REF!+AX73+BK73</f>
        <v>#REF!</v>
      </c>
      <c r="BY73" s="369" t="e">
        <f>AK73+#REF!+#REF!+#REF!+AY73+BL73</f>
        <v>#REF!</v>
      </c>
      <c r="BZ73" s="369" t="e">
        <f>AL73+#REF!+#REF!+#REF!+AZ73+BM73</f>
        <v>#REF!</v>
      </c>
      <c r="CA73" s="369" t="e">
        <f>AM73+#REF!+#REF!+#REF!+BA73+BN73</f>
        <v>#REF!</v>
      </c>
      <c r="CB73" s="369" t="e">
        <f>AN73+#REF!+#REF!+#REF!+BB73+BO73</f>
        <v>#REF!</v>
      </c>
      <c r="CC73" s="369" t="e">
        <f>AO73+#REF!+#REF!+#REF!+BC73+BP73</f>
        <v>#REF!</v>
      </c>
      <c r="CD73" s="369" t="e">
        <f>AP73+#REF!+#REF!+#REF!+BD73+BQ73</f>
        <v>#REF!</v>
      </c>
      <c r="CE73" s="369" t="e">
        <f>AQ73+#REF!+#REF!+#REF!+BE73+BR73</f>
        <v>#REF!</v>
      </c>
      <c r="CF73" s="369" t="e">
        <f>AR73+#REF!+#REF!+#REF!+BF73+BS73</f>
        <v>#REF!</v>
      </c>
      <c r="CG73" s="369" t="e">
        <f>AS73+#REF!+#REF!+#REF!+BG73+BT73</f>
        <v>#REF!</v>
      </c>
      <c r="CH73" s="369" t="e">
        <f>AT73+#REF!+#REF!+#REF!+BH73+BU73</f>
        <v>#REF!</v>
      </c>
    </row>
    <row r="74" spans="11:86" ht="16" hidden="1" x14ac:dyDescent="0.2">
      <c r="K74" s="359"/>
      <c r="L74" s="360"/>
      <c r="M74" s="361"/>
      <c r="N74" s="361"/>
      <c r="O74" s="361"/>
      <c r="P74" s="363">
        <v>5.0000000000000001E-3</v>
      </c>
      <c r="Q74" s="364">
        <f t="shared" si="14"/>
        <v>0</v>
      </c>
      <c r="R74" s="365">
        <v>0</v>
      </c>
      <c r="S74" s="365">
        <v>0.30499999999999999</v>
      </c>
      <c r="T74" s="366">
        <f t="shared" si="15"/>
        <v>0</v>
      </c>
      <c r="V74" s="367"/>
      <c r="W74" s="367"/>
      <c r="X74" s="367"/>
      <c r="Y74" s="367"/>
      <c r="Z74" s="367"/>
      <c r="AA74" s="367"/>
      <c r="AB74" s="367"/>
      <c r="AC74" s="367"/>
      <c r="AD74" s="367"/>
      <c r="AE74" s="367"/>
      <c r="AF74" s="367"/>
      <c r="AG74" s="367"/>
      <c r="AI74" s="368">
        <f t="shared" si="24"/>
        <v>0</v>
      </c>
      <c r="AJ74" s="368">
        <f t="shared" si="24"/>
        <v>0</v>
      </c>
      <c r="AK74" s="368">
        <f t="shared" si="24"/>
        <v>0</v>
      </c>
      <c r="AL74" s="368">
        <f t="shared" si="22"/>
        <v>0</v>
      </c>
      <c r="AM74" s="368">
        <f t="shared" si="22"/>
        <v>0</v>
      </c>
      <c r="AN74" s="368">
        <f t="shared" si="22"/>
        <v>0</v>
      </c>
      <c r="AO74" s="368">
        <f t="shared" si="22"/>
        <v>0</v>
      </c>
      <c r="AP74" s="368">
        <f t="shared" si="22"/>
        <v>0</v>
      </c>
      <c r="AQ74" s="368">
        <f t="shared" si="22"/>
        <v>0</v>
      </c>
      <c r="AR74" s="368">
        <f t="shared" si="22"/>
        <v>0</v>
      </c>
      <c r="AS74" s="368">
        <f t="shared" si="22"/>
        <v>0</v>
      </c>
      <c r="AT74" s="368">
        <f t="shared" si="22"/>
        <v>0</v>
      </c>
      <c r="AW74" s="361"/>
      <c r="AX74" s="361"/>
      <c r="AY74" s="361"/>
      <c r="AZ74" s="361"/>
      <c r="BA74" s="361"/>
      <c r="BB74" s="361"/>
      <c r="BC74" s="361"/>
      <c r="BD74" s="361"/>
      <c r="BE74" s="361"/>
      <c r="BF74" s="361"/>
      <c r="BG74" s="361"/>
      <c r="BH74" s="361"/>
      <c r="BJ74" s="369">
        <f t="shared" si="25"/>
        <v>0</v>
      </c>
      <c r="BK74" s="369">
        <f t="shared" si="25"/>
        <v>0</v>
      </c>
      <c r="BL74" s="369">
        <f t="shared" si="25"/>
        <v>0</v>
      </c>
      <c r="BM74" s="369">
        <f t="shared" si="23"/>
        <v>0</v>
      </c>
      <c r="BN74" s="369">
        <f t="shared" si="23"/>
        <v>0</v>
      </c>
      <c r="BO74" s="369">
        <f t="shared" si="23"/>
        <v>0</v>
      </c>
      <c r="BP74" s="369">
        <f t="shared" si="23"/>
        <v>0</v>
      </c>
      <c r="BQ74" s="369">
        <f t="shared" si="23"/>
        <v>0</v>
      </c>
      <c r="BR74" s="369">
        <f t="shared" si="23"/>
        <v>0</v>
      </c>
      <c r="BS74" s="369">
        <f t="shared" si="23"/>
        <v>0</v>
      </c>
      <c r="BT74" s="369">
        <f t="shared" si="23"/>
        <v>0</v>
      </c>
      <c r="BU74" s="369">
        <f t="shared" si="23"/>
        <v>0</v>
      </c>
      <c r="BW74" s="369" t="e">
        <f>AI74+#REF!+#REF!+#REF!+AW74+BJ74</f>
        <v>#REF!</v>
      </c>
      <c r="BX74" s="369" t="e">
        <f>AJ74+#REF!+#REF!+#REF!+AX74+BK74</f>
        <v>#REF!</v>
      </c>
      <c r="BY74" s="369" t="e">
        <f>AK74+#REF!+#REF!+#REF!+AY74+BL74</f>
        <v>#REF!</v>
      </c>
      <c r="BZ74" s="369" t="e">
        <f>AL74+#REF!+#REF!+#REF!+AZ74+BM74</f>
        <v>#REF!</v>
      </c>
      <c r="CA74" s="369" t="e">
        <f>AM74+#REF!+#REF!+#REF!+BA74+BN74</f>
        <v>#REF!</v>
      </c>
      <c r="CB74" s="369" t="e">
        <f>AN74+#REF!+#REF!+#REF!+BB74+BO74</f>
        <v>#REF!</v>
      </c>
      <c r="CC74" s="369" t="e">
        <f>AO74+#REF!+#REF!+#REF!+BC74+BP74</f>
        <v>#REF!</v>
      </c>
      <c r="CD74" s="369" t="e">
        <f>AP74+#REF!+#REF!+#REF!+BD74+BQ74</f>
        <v>#REF!</v>
      </c>
      <c r="CE74" s="369" t="e">
        <f>AQ74+#REF!+#REF!+#REF!+BE74+BR74</f>
        <v>#REF!</v>
      </c>
      <c r="CF74" s="369" t="e">
        <f>AR74+#REF!+#REF!+#REF!+BF74+BS74</f>
        <v>#REF!</v>
      </c>
      <c r="CG74" s="369" t="e">
        <f>AS74+#REF!+#REF!+#REF!+BG74+BT74</f>
        <v>#REF!</v>
      </c>
      <c r="CH74" s="369" t="e">
        <f>AT74+#REF!+#REF!+#REF!+BH74+BU74</f>
        <v>#REF!</v>
      </c>
    </row>
    <row r="75" spans="11:86" ht="16" hidden="1" x14ac:dyDescent="0.2">
      <c r="K75" s="359"/>
      <c r="L75" s="360"/>
      <c r="M75" s="361"/>
      <c r="N75" s="361"/>
      <c r="O75" s="361"/>
      <c r="P75" s="363">
        <v>5.0000000000000001E-3</v>
      </c>
      <c r="Q75" s="364">
        <f t="shared" si="14"/>
        <v>0</v>
      </c>
      <c r="R75" s="365">
        <v>0</v>
      </c>
      <c r="S75" s="365">
        <v>0.30499999999999999</v>
      </c>
      <c r="T75" s="366">
        <f t="shared" si="15"/>
        <v>0</v>
      </c>
      <c r="V75" s="367"/>
      <c r="W75" s="367"/>
      <c r="X75" s="367"/>
      <c r="Y75" s="367"/>
      <c r="Z75" s="367"/>
      <c r="AA75" s="367"/>
      <c r="AB75" s="367"/>
      <c r="AC75" s="367"/>
      <c r="AD75" s="367"/>
      <c r="AE75" s="367"/>
      <c r="AF75" s="367"/>
      <c r="AG75" s="367"/>
      <c r="AI75" s="368">
        <f t="shared" si="24"/>
        <v>0</v>
      </c>
      <c r="AJ75" s="368">
        <f t="shared" si="24"/>
        <v>0</v>
      </c>
      <c r="AK75" s="368">
        <f t="shared" si="24"/>
        <v>0</v>
      </c>
      <c r="AL75" s="368">
        <f t="shared" si="22"/>
        <v>0</v>
      </c>
      <c r="AM75" s="368">
        <f t="shared" si="22"/>
        <v>0</v>
      </c>
      <c r="AN75" s="368">
        <f t="shared" si="22"/>
        <v>0</v>
      </c>
      <c r="AO75" s="368">
        <f t="shared" si="22"/>
        <v>0</v>
      </c>
      <c r="AP75" s="368">
        <f t="shared" si="22"/>
        <v>0</v>
      </c>
      <c r="AQ75" s="368">
        <f t="shared" si="22"/>
        <v>0</v>
      </c>
      <c r="AR75" s="368">
        <f t="shared" si="22"/>
        <v>0</v>
      </c>
      <c r="AS75" s="368">
        <f t="shared" si="22"/>
        <v>0</v>
      </c>
      <c r="AT75" s="368">
        <f t="shared" si="22"/>
        <v>0</v>
      </c>
      <c r="AW75" s="361"/>
      <c r="AX75" s="361"/>
      <c r="AY75" s="361"/>
      <c r="AZ75" s="361"/>
      <c r="BA75" s="361"/>
      <c r="BB75" s="361"/>
      <c r="BC75" s="361"/>
      <c r="BD75" s="361"/>
      <c r="BE75" s="361"/>
      <c r="BF75" s="361"/>
      <c r="BG75" s="361"/>
      <c r="BH75" s="361"/>
      <c r="BJ75" s="369">
        <f t="shared" si="25"/>
        <v>0</v>
      </c>
      <c r="BK75" s="369">
        <f t="shared" si="25"/>
        <v>0</v>
      </c>
      <c r="BL75" s="369">
        <f t="shared" si="25"/>
        <v>0</v>
      </c>
      <c r="BM75" s="369">
        <f t="shared" si="23"/>
        <v>0</v>
      </c>
      <c r="BN75" s="369">
        <f t="shared" si="23"/>
        <v>0</v>
      </c>
      <c r="BO75" s="369">
        <f t="shared" si="23"/>
        <v>0</v>
      </c>
      <c r="BP75" s="369">
        <f t="shared" si="23"/>
        <v>0</v>
      </c>
      <c r="BQ75" s="369">
        <f t="shared" si="23"/>
        <v>0</v>
      </c>
      <c r="BR75" s="369">
        <f t="shared" si="23"/>
        <v>0</v>
      </c>
      <c r="BS75" s="369">
        <f t="shared" si="23"/>
        <v>0</v>
      </c>
      <c r="BT75" s="369">
        <f t="shared" si="23"/>
        <v>0</v>
      </c>
      <c r="BU75" s="369">
        <f t="shared" si="23"/>
        <v>0</v>
      </c>
      <c r="BW75" s="369" t="e">
        <f>AI75+#REF!+#REF!+#REF!+AW75+BJ75</f>
        <v>#REF!</v>
      </c>
      <c r="BX75" s="369" t="e">
        <f>AJ75+#REF!+#REF!+#REF!+AX75+BK75</f>
        <v>#REF!</v>
      </c>
      <c r="BY75" s="369" t="e">
        <f>AK75+#REF!+#REF!+#REF!+AY75+BL75</f>
        <v>#REF!</v>
      </c>
      <c r="BZ75" s="369" t="e">
        <f>AL75+#REF!+#REF!+#REF!+AZ75+BM75</f>
        <v>#REF!</v>
      </c>
      <c r="CA75" s="369" t="e">
        <f>AM75+#REF!+#REF!+#REF!+BA75+BN75</f>
        <v>#REF!</v>
      </c>
      <c r="CB75" s="369" t="e">
        <f>AN75+#REF!+#REF!+#REF!+BB75+BO75</f>
        <v>#REF!</v>
      </c>
      <c r="CC75" s="369" t="e">
        <f>AO75+#REF!+#REF!+#REF!+BC75+BP75</f>
        <v>#REF!</v>
      </c>
      <c r="CD75" s="369" t="e">
        <f>AP75+#REF!+#REF!+#REF!+BD75+BQ75</f>
        <v>#REF!</v>
      </c>
      <c r="CE75" s="369" t="e">
        <f>AQ75+#REF!+#REF!+#REF!+BE75+BR75</f>
        <v>#REF!</v>
      </c>
      <c r="CF75" s="369" t="e">
        <f>AR75+#REF!+#REF!+#REF!+BF75+BS75</f>
        <v>#REF!</v>
      </c>
      <c r="CG75" s="369" t="e">
        <f>AS75+#REF!+#REF!+#REF!+BG75+BT75</f>
        <v>#REF!</v>
      </c>
      <c r="CH75" s="369" t="e">
        <f>AT75+#REF!+#REF!+#REF!+BH75+BU75</f>
        <v>#REF!</v>
      </c>
    </row>
    <row r="76" spans="11:86" ht="16" x14ac:dyDescent="0.2">
      <c r="CG76" s="375" t="s">
        <v>365</v>
      </c>
      <c r="CH76" s="376">
        <f>SUM(BW24:CH24)</f>
        <v>395569.30812499992</v>
      </c>
    </row>
    <row r="77" spans="11:86" ht="16" x14ac:dyDescent="0.2">
      <c r="BW77" s="436"/>
      <c r="BX77" s="435"/>
      <c r="BY77" s="435" t="s">
        <v>366</v>
      </c>
      <c r="BZ77" s="377" t="s">
        <v>367</v>
      </c>
      <c r="CA77" s="378"/>
      <c r="CH77" s="358"/>
    </row>
    <row r="78" spans="11:86" ht="16" x14ac:dyDescent="0.2">
      <c r="BW78" s="437" t="s">
        <v>368</v>
      </c>
      <c r="BX78" s="111">
        <v>1</v>
      </c>
      <c r="BY78" s="430">
        <v>48000</v>
      </c>
      <c r="BZ78" s="431">
        <f>SUM(BW10:CH10)</f>
        <v>62953.19999999999</v>
      </c>
      <c r="CA78" s="378"/>
      <c r="CH78" s="358"/>
    </row>
    <row r="79" spans="11:86" ht="16" x14ac:dyDescent="0.2">
      <c r="BW79" s="437" t="s">
        <v>427</v>
      </c>
      <c r="BX79" s="111">
        <v>1</v>
      </c>
      <c r="BY79" s="432">
        <v>35000</v>
      </c>
      <c r="BZ79" s="380">
        <f>SUM(BW11:CH11)</f>
        <v>45903.374999999993</v>
      </c>
      <c r="CA79" s="378"/>
      <c r="CH79" s="358"/>
    </row>
    <row r="80" spans="11:86" ht="16" x14ac:dyDescent="0.2">
      <c r="BW80" s="437" t="s">
        <v>369</v>
      </c>
      <c r="BX80" s="111">
        <v>1</v>
      </c>
      <c r="BY80" s="432">
        <v>35000</v>
      </c>
      <c r="BZ80" s="380">
        <f>SUM(BW12:CH12)</f>
        <v>45903.374999999993</v>
      </c>
      <c r="CA80" s="378"/>
      <c r="CH80" s="358"/>
    </row>
    <row r="81" spans="75:86" ht="16" x14ac:dyDescent="0.2">
      <c r="BW81" s="438" t="s">
        <v>370</v>
      </c>
      <c r="BX81" s="149">
        <v>1</v>
      </c>
      <c r="BY81" s="433">
        <v>35000</v>
      </c>
      <c r="BZ81" s="434">
        <f>SUM(BW13:CH13)</f>
        <v>45903.374999999993</v>
      </c>
      <c r="CA81" s="378"/>
      <c r="CH81" s="358"/>
    </row>
    <row r="82" spans="75:86" ht="16" x14ac:dyDescent="0.2">
      <c r="BW82" s="439" t="s">
        <v>426</v>
      </c>
      <c r="BX82" s="427">
        <f>SUM(BX78:BX81)</f>
        <v>4</v>
      </c>
      <c r="BY82" s="237">
        <f>BY78+BY79+BY80+BY81</f>
        <v>153000</v>
      </c>
      <c r="BZ82" s="428">
        <f>SUM(BZ78:BZ81)</f>
        <v>200663.32499999998</v>
      </c>
      <c r="CA82" s="378"/>
      <c r="CH82" s="358"/>
    </row>
    <row r="83" spans="75:86" ht="16" x14ac:dyDescent="0.2">
      <c r="BW83" s="440" t="s">
        <v>428</v>
      </c>
      <c r="BX83" s="144">
        <v>1</v>
      </c>
      <c r="BY83" s="379">
        <v>28000</v>
      </c>
      <c r="BZ83" s="380">
        <f t="shared" ref="BZ83:BZ89" si="26">SUM(BW15:CH15)</f>
        <v>36722.69999999999</v>
      </c>
      <c r="CA83" s="378"/>
      <c r="CH83" s="358"/>
    </row>
    <row r="84" spans="75:86" ht="16" x14ac:dyDescent="0.2">
      <c r="BW84" s="440" t="s">
        <v>429</v>
      </c>
      <c r="BX84" s="111">
        <v>1</v>
      </c>
      <c r="BY84" s="379">
        <v>18900</v>
      </c>
      <c r="BZ84" s="380">
        <f>SUM(BW16:CH16)</f>
        <v>25411.822499999995</v>
      </c>
      <c r="CA84" s="378"/>
      <c r="CB84" s="336"/>
      <c r="CC84" s="381"/>
      <c r="CD84" s="381"/>
      <c r="CE84" s="381"/>
      <c r="CF84" s="381"/>
      <c r="CG84" s="381"/>
      <c r="CH84" s="358"/>
    </row>
    <row r="85" spans="75:86" ht="16" x14ac:dyDescent="0.2">
      <c r="BW85" s="440" t="s">
        <v>429</v>
      </c>
      <c r="BX85" s="111">
        <v>1</v>
      </c>
      <c r="BY85" s="379">
        <v>18900</v>
      </c>
      <c r="BZ85" s="380">
        <f t="shared" si="26"/>
        <v>25411.822499999995</v>
      </c>
      <c r="CA85" s="378"/>
      <c r="CC85" s="381"/>
      <c r="CD85" s="381"/>
      <c r="CE85" s="381"/>
      <c r="CF85" s="381"/>
      <c r="CG85" s="381"/>
      <c r="CH85" s="358"/>
    </row>
    <row r="86" spans="75:86" ht="16" x14ac:dyDescent="0.2">
      <c r="BW86" s="440" t="s">
        <v>429</v>
      </c>
      <c r="BX86" s="111">
        <v>1</v>
      </c>
      <c r="BY86" s="379">
        <v>18900</v>
      </c>
      <c r="BZ86" s="380">
        <f t="shared" si="26"/>
        <v>25411.822499999995</v>
      </c>
      <c r="CA86" s="378"/>
      <c r="CC86" s="381"/>
      <c r="CD86" s="381"/>
      <c r="CE86" s="381"/>
      <c r="CF86" s="381"/>
      <c r="CG86" s="381"/>
      <c r="CH86" s="358"/>
    </row>
    <row r="87" spans="75:86" ht="16" x14ac:dyDescent="0.2">
      <c r="BW87" s="440" t="s">
        <v>429</v>
      </c>
      <c r="BX87" s="15">
        <v>1</v>
      </c>
      <c r="BY87" s="379">
        <v>18900</v>
      </c>
      <c r="BZ87" s="380">
        <f t="shared" si="26"/>
        <v>25411.822499999995</v>
      </c>
      <c r="CA87" s="378"/>
      <c r="CC87" s="381"/>
      <c r="CD87" s="381"/>
      <c r="CE87" s="381"/>
      <c r="CF87" s="381"/>
      <c r="CG87" s="381"/>
      <c r="CH87" s="358"/>
    </row>
    <row r="88" spans="75:86" ht="16" x14ac:dyDescent="0.2">
      <c r="BW88" s="440" t="s">
        <v>429</v>
      </c>
      <c r="BX88" s="111">
        <v>1</v>
      </c>
      <c r="BY88" s="379">
        <v>18900</v>
      </c>
      <c r="BZ88" s="380">
        <f>SUM(BW20:CH20)</f>
        <v>18868.563125000004</v>
      </c>
      <c r="CA88" s="378"/>
      <c r="CC88" s="381"/>
      <c r="CD88" s="381"/>
      <c r="CE88" s="381"/>
      <c r="CF88" s="381"/>
      <c r="CG88" s="381"/>
      <c r="CH88" s="358"/>
    </row>
    <row r="89" spans="75:86" ht="16" x14ac:dyDescent="0.2">
      <c r="BW89" s="440" t="s">
        <v>429</v>
      </c>
      <c r="BX89" s="111">
        <v>1</v>
      </c>
      <c r="BY89" s="379">
        <v>18900</v>
      </c>
      <c r="BZ89" s="380">
        <f t="shared" si="26"/>
        <v>12671.607499999996</v>
      </c>
      <c r="CA89" s="378"/>
      <c r="CC89" s="381"/>
      <c r="CD89" s="381"/>
      <c r="CE89" s="381"/>
      <c r="CF89" s="381"/>
      <c r="CG89" s="381"/>
      <c r="CH89" s="358"/>
    </row>
    <row r="90" spans="75:86" ht="16" hidden="1" x14ac:dyDescent="0.2">
      <c r="BW90" s="441" t="s">
        <v>372</v>
      </c>
      <c r="BX90" s="149"/>
      <c r="BY90" s="382"/>
      <c r="BZ90" s="380">
        <f>BY90*(1+0.31)*BX90</f>
        <v>0</v>
      </c>
      <c r="CA90" s="378"/>
      <c r="CC90" s="381"/>
      <c r="CD90" s="381"/>
      <c r="CE90" s="381"/>
      <c r="CF90" s="381"/>
      <c r="CG90" s="381"/>
      <c r="CH90" s="358"/>
    </row>
    <row r="91" spans="75:86" ht="16" x14ac:dyDescent="0.2">
      <c r="BW91" s="439" t="s">
        <v>371</v>
      </c>
      <c r="BX91" s="427">
        <f>SUM(BX83:BX89)</f>
        <v>7</v>
      </c>
      <c r="BY91" s="237">
        <f>SUM(BY83:BY90)</f>
        <v>141400</v>
      </c>
      <c r="BZ91" s="428">
        <f>SUM(BZ83:BZ90)</f>
        <v>169910.16062499996</v>
      </c>
      <c r="CA91" s="378"/>
      <c r="CH91" s="358"/>
    </row>
    <row r="92" spans="75:86" ht="16" x14ac:dyDescent="0.2">
      <c r="BW92" s="442" t="s">
        <v>374</v>
      </c>
      <c r="BX92" s="111">
        <v>1</v>
      </c>
      <c r="BY92" s="383">
        <v>18900</v>
      </c>
      <c r="BZ92" s="380">
        <f>SUM(BW22:CH22)</f>
        <v>24995.822499999995</v>
      </c>
      <c r="CA92" s="378"/>
      <c r="CC92" s="381"/>
      <c r="CD92" s="381"/>
      <c r="CE92" s="381"/>
      <c r="CF92" s="381"/>
      <c r="CG92" s="381"/>
      <c r="CH92" s="358"/>
    </row>
    <row r="93" spans="75:86" ht="16" x14ac:dyDescent="0.2">
      <c r="BW93" s="426" t="s">
        <v>373</v>
      </c>
      <c r="BX93" s="427">
        <f>SUM(BX92:BX92)</f>
        <v>1</v>
      </c>
      <c r="BY93" s="237">
        <f>SUM(BY92:BY92)</f>
        <v>18900</v>
      </c>
      <c r="BZ93" s="428">
        <f>SUM(BZ92:BZ92)</f>
        <v>24995.822499999995</v>
      </c>
      <c r="CA93" s="378"/>
      <c r="CC93" s="381"/>
      <c r="CD93" s="381"/>
      <c r="CE93" s="381"/>
      <c r="CF93" s="381"/>
      <c r="CG93" s="381"/>
      <c r="CH93" s="358"/>
    </row>
    <row r="94" spans="75:86" ht="16" x14ac:dyDescent="0.2">
      <c r="BW94" s="426" t="s">
        <v>375</v>
      </c>
      <c r="BX94" s="429"/>
      <c r="BY94" s="429"/>
      <c r="BZ94" s="429"/>
      <c r="CA94" s="237">
        <f>BZ93+BZ91+BZ82</f>
        <v>395569.30812499998</v>
      </c>
      <c r="CB94" s="378"/>
    </row>
    <row r="95" spans="75:86" ht="16" x14ac:dyDescent="0.2">
      <c r="BW95" s="378"/>
      <c r="BX95" s="378"/>
      <c r="BY95" s="378"/>
      <c r="BZ95" s="378"/>
      <c r="CA95" s="378"/>
      <c r="CB95" s="378"/>
    </row>
    <row r="96" spans="75:86" ht="16" x14ac:dyDescent="0.2">
      <c r="BW96" s="384"/>
      <c r="BX96" s="385" t="s">
        <v>376</v>
      </c>
      <c r="BY96" s="385" t="s">
        <v>377</v>
      </c>
      <c r="BZ96" s="385" t="s">
        <v>378</v>
      </c>
      <c r="CA96" s="385" t="s">
        <v>379</v>
      </c>
      <c r="CB96" s="386" t="s">
        <v>380</v>
      </c>
    </row>
    <row r="97" spans="75:80" ht="16" x14ac:dyDescent="0.2">
      <c r="BW97" s="27" t="s">
        <v>381</v>
      </c>
      <c r="BX97" s="28">
        <f>CA94</f>
        <v>395569.30812499998</v>
      </c>
      <c r="BY97" s="28">
        <f>BX97*(1+0.03)</f>
        <v>407436.38736875</v>
      </c>
      <c r="BZ97" s="28">
        <f>BY97*(1+0.03)</f>
        <v>419659.47898981249</v>
      </c>
      <c r="CA97" s="28">
        <f t="shared" ref="CA97:CB97" si="27">BZ97*(1+0.03)</f>
        <v>432249.26335950685</v>
      </c>
      <c r="CB97" s="28">
        <f t="shared" si="27"/>
        <v>445216.74126029207</v>
      </c>
    </row>
    <row r="98" spans="75:80" ht="18" customHeight="1" x14ac:dyDescent="0.2">
      <c r="BW98" s="27" t="s">
        <v>382</v>
      </c>
      <c r="BX98" s="28">
        <f>BX97*0.01</f>
        <v>3955.69308125</v>
      </c>
      <c r="BY98" s="28">
        <f>BY97*0.01</f>
        <v>4074.3638736875</v>
      </c>
      <c r="BZ98" s="28">
        <f>BZ97*0.01</f>
        <v>4196.5947898981249</v>
      </c>
      <c r="CA98" s="28">
        <f>CA97*0.01</f>
        <v>4322.4926335950686</v>
      </c>
      <c r="CB98" s="28">
        <f>CB97*0.01</f>
        <v>4452.1674126029211</v>
      </c>
    </row>
    <row r="99" spans="75:80" ht="18" customHeight="1" x14ac:dyDescent="0.2">
      <c r="BW99" s="27"/>
      <c r="BX99" s="28"/>
      <c r="BY99" s="28"/>
      <c r="BZ99" s="28"/>
      <c r="CA99" s="28"/>
      <c r="CB99" s="387"/>
    </row>
    <row r="100" spans="75:80" ht="18" customHeight="1" x14ac:dyDescent="0.2">
      <c r="BW100" s="27" t="s">
        <v>383</v>
      </c>
      <c r="BX100" s="28"/>
      <c r="BY100" s="28"/>
      <c r="BZ100" s="28"/>
      <c r="CA100" s="28"/>
      <c r="CB100" s="387"/>
    </row>
    <row r="101" spans="75:80" ht="18" customHeight="1" x14ac:dyDescent="0.2">
      <c r="BW101" s="388" t="s">
        <v>384</v>
      </c>
      <c r="BX101" s="389">
        <f>SUM(BX97:BX100)</f>
        <v>399525.00120624999</v>
      </c>
      <c r="BY101" s="389">
        <f>SUM(BY97:BY100)</f>
        <v>411510.75124243752</v>
      </c>
      <c r="BZ101" s="389">
        <f>SUM(BZ97:BZ100)</f>
        <v>423856.07377971063</v>
      </c>
      <c r="CA101" s="389">
        <f>SUM(CA97:CA100)</f>
        <v>436571.75599310192</v>
      </c>
      <c r="CB101" s="389">
        <f>SUM(CB97:CB100)</f>
        <v>449668.90867289499</v>
      </c>
    </row>
    <row r="102" spans="75:80" ht="18" customHeight="1" x14ac:dyDescent="0.2">
      <c r="BW102" s="378"/>
      <c r="BX102" s="378"/>
      <c r="BY102" s="378"/>
      <c r="BZ102" s="378"/>
      <c r="CA102" s="378"/>
      <c r="CB102" s="378"/>
    </row>
  </sheetData>
  <mergeCells count="5">
    <mergeCell ref="BJ8:BU8"/>
    <mergeCell ref="BW8:CH8"/>
    <mergeCell ref="V8:AG8"/>
    <mergeCell ref="AI8:AT8"/>
    <mergeCell ref="AW8:BH8"/>
  </mergeCells>
  <phoneticPr fontId="3" type="noConversion"/>
  <dataValidations count="1">
    <dataValidation type="list" allowBlank="1" showInputMessage="1" showErrorMessage="1" sqref="L10:L75">
      <formula1>CC</formula1>
    </dataValidation>
  </dataValidations>
  <pageMargins left="0.75" right="0.75" top="1" bottom="1" header="0.5" footer="0.5"/>
  <ignoredErrors>
    <ignoredError sqref="W9:AA9 AB9:AF9 AG9 Q10 T10 AI10:AN10" unlockedFormula="1"/>
    <ignoredError sqref="BY82:BZ82" formula="1"/>
    <ignoredError sqref="CE75:CH75 CC75" evalError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5"/>
  <sheetViews>
    <sheetView zoomScale="130" zoomScaleNormal="130" zoomScalePageLayoutView="130" workbookViewId="0">
      <selection activeCell="J24" sqref="J24"/>
    </sheetView>
  </sheetViews>
  <sheetFormatPr baseColWidth="10" defaultRowHeight="16" x14ac:dyDescent="0.15"/>
  <cols>
    <col min="1" max="1" width="10.83203125" style="126"/>
    <col min="2" max="2" width="26.83203125" style="126" customWidth="1"/>
    <col min="3" max="7" width="12.83203125" style="308" customWidth="1"/>
    <col min="8" max="9" width="10.83203125" style="126"/>
    <col min="10" max="10" width="19.5" style="126" customWidth="1"/>
    <col min="11" max="13" width="10.83203125" style="126"/>
    <col min="14" max="14" width="10.83203125" style="126" customWidth="1"/>
    <col min="15" max="16384" width="10.83203125" style="126"/>
  </cols>
  <sheetData>
    <row r="2" spans="2:15" ht="40" customHeight="1" x14ac:dyDescent="0.15">
      <c r="B2" s="637" t="s">
        <v>504</v>
      </c>
      <c r="C2" s="637" t="s">
        <v>376</v>
      </c>
      <c r="D2" s="637" t="s">
        <v>377</v>
      </c>
      <c r="E2" s="637" t="s">
        <v>378</v>
      </c>
      <c r="F2" s="637" t="s">
        <v>379</v>
      </c>
      <c r="G2" s="637" t="s">
        <v>380</v>
      </c>
    </row>
    <row r="3" spans="2:15" x14ac:dyDescent="0.15">
      <c r="B3" s="470" t="s">
        <v>118</v>
      </c>
      <c r="C3" s="638">
        <v>0.35</v>
      </c>
      <c r="D3" s="638">
        <v>0.40249999999999997</v>
      </c>
      <c r="E3" s="638">
        <v>0.46287499999999993</v>
      </c>
      <c r="F3" s="638">
        <v>0.56470749999999992</v>
      </c>
      <c r="G3" s="638">
        <v>0.66635484999999983</v>
      </c>
      <c r="J3" s="531"/>
      <c r="K3" s="641" t="s">
        <v>376</v>
      </c>
      <c r="L3" s="641" t="s">
        <v>377</v>
      </c>
      <c r="M3" s="641" t="s">
        <v>378</v>
      </c>
      <c r="N3" s="641" t="s">
        <v>379</v>
      </c>
      <c r="O3" s="641" t="s">
        <v>380</v>
      </c>
    </row>
    <row r="4" spans="2:15" x14ac:dyDescent="0.15">
      <c r="B4" s="470" t="s">
        <v>119</v>
      </c>
      <c r="C4" s="638">
        <v>0.35</v>
      </c>
      <c r="D4" s="638">
        <v>0.40249999999999997</v>
      </c>
      <c r="E4" s="638">
        <v>0.46287499999999993</v>
      </c>
      <c r="F4" s="638">
        <v>0.56470749999999992</v>
      </c>
      <c r="G4" s="638">
        <v>0.66635484999999983</v>
      </c>
      <c r="J4" s="602" t="s">
        <v>458</v>
      </c>
      <c r="K4" s="643">
        <f>C15</f>
        <v>0.51458333333333339</v>
      </c>
      <c r="L4" s="643">
        <f t="shared" ref="L4:O4" si="0">D15</f>
        <v>0.5792708333333334</v>
      </c>
      <c r="M4" s="643">
        <f t="shared" si="0"/>
        <v>0.66032812500000004</v>
      </c>
      <c r="N4" s="643">
        <f t="shared" si="0"/>
        <v>0.75223374999999981</v>
      </c>
      <c r="O4" s="643">
        <f t="shared" si="0"/>
        <v>0.82996534791666665</v>
      </c>
    </row>
    <row r="5" spans="2:15" x14ac:dyDescent="0.15">
      <c r="B5" s="470" t="s">
        <v>120</v>
      </c>
      <c r="C5" s="638">
        <v>0.4</v>
      </c>
      <c r="D5" s="638">
        <v>0.45999999999999996</v>
      </c>
      <c r="E5" s="638">
        <v>0.52899999999999991</v>
      </c>
      <c r="F5" s="638">
        <v>0.64537999999999984</v>
      </c>
      <c r="G5" s="638">
        <v>0.76154839999999979</v>
      </c>
      <c r="J5" s="642" t="s">
        <v>464</v>
      </c>
      <c r="K5" s="638">
        <v>0.56666666666666665</v>
      </c>
      <c r="L5" s="638">
        <v>0.65166666666666662</v>
      </c>
      <c r="M5" s="638">
        <v>0.78199999999999992</v>
      </c>
      <c r="N5" s="638">
        <v>0.89929999999999977</v>
      </c>
      <c r="O5" s="638">
        <v>0.94426500000000002</v>
      </c>
    </row>
    <row r="6" spans="2:15" x14ac:dyDescent="0.15">
      <c r="B6" s="470" t="s">
        <v>121</v>
      </c>
      <c r="C6" s="638">
        <v>0.5</v>
      </c>
      <c r="D6" s="638">
        <v>0.57499999999999996</v>
      </c>
      <c r="E6" s="638">
        <v>0.66124999999999989</v>
      </c>
      <c r="F6" s="638">
        <v>0.8067249999999998</v>
      </c>
      <c r="G6" s="638">
        <v>0.95193549999999971</v>
      </c>
      <c r="J6" s="642" t="s">
        <v>453</v>
      </c>
      <c r="K6" s="638">
        <v>0.1</v>
      </c>
      <c r="L6" s="638">
        <v>0.115</v>
      </c>
      <c r="M6" s="638">
        <v>0.13225000000000001</v>
      </c>
      <c r="N6" s="638">
        <v>0.15208749999999996</v>
      </c>
      <c r="O6" s="638">
        <v>0.17490062499999995</v>
      </c>
    </row>
    <row r="7" spans="2:15" x14ac:dyDescent="0.15">
      <c r="B7" s="470" t="s">
        <v>122</v>
      </c>
      <c r="C7" s="638">
        <v>0.55000000000000004</v>
      </c>
      <c r="D7" s="638">
        <v>0.63249999999999995</v>
      </c>
      <c r="E7" s="638">
        <v>0.72737499999999988</v>
      </c>
      <c r="F7" s="638">
        <v>0.88739749999999984</v>
      </c>
      <c r="G7" s="638">
        <v>1</v>
      </c>
    </row>
    <row r="8" spans="2:15" x14ac:dyDescent="0.15">
      <c r="B8" s="470" t="s">
        <v>123</v>
      </c>
      <c r="C8" s="638">
        <v>0.7</v>
      </c>
      <c r="D8" s="638">
        <v>0.80499999999999994</v>
      </c>
      <c r="E8" s="638">
        <v>0.92574999999999985</v>
      </c>
      <c r="F8" s="638">
        <v>1</v>
      </c>
      <c r="G8" s="638">
        <v>1</v>
      </c>
    </row>
    <row r="9" spans="2:15" x14ac:dyDescent="0.15">
      <c r="B9" s="470" t="s">
        <v>124</v>
      </c>
      <c r="C9" s="638">
        <v>0.8</v>
      </c>
      <c r="D9" s="638">
        <v>0.88000000000000012</v>
      </c>
      <c r="E9" s="638">
        <v>1</v>
      </c>
      <c r="F9" s="638">
        <v>1</v>
      </c>
      <c r="G9" s="638">
        <v>1</v>
      </c>
    </row>
    <row r="10" spans="2:15" x14ac:dyDescent="0.15">
      <c r="B10" s="470" t="s">
        <v>125</v>
      </c>
      <c r="C10" s="638">
        <v>0.8</v>
      </c>
      <c r="D10" s="638">
        <v>0.88000000000000012</v>
      </c>
      <c r="E10" s="638">
        <v>1</v>
      </c>
      <c r="F10" s="638">
        <v>1</v>
      </c>
      <c r="G10" s="638">
        <v>1</v>
      </c>
    </row>
    <row r="11" spans="2:15" x14ac:dyDescent="0.15">
      <c r="B11" s="470" t="s">
        <v>126</v>
      </c>
      <c r="C11" s="638">
        <v>0.65</v>
      </c>
      <c r="D11" s="638">
        <v>0.66</v>
      </c>
      <c r="E11" s="638">
        <v>0.85962499999999986</v>
      </c>
      <c r="F11" s="638">
        <v>1</v>
      </c>
      <c r="G11" s="638">
        <v>1</v>
      </c>
    </row>
    <row r="12" spans="2:15" x14ac:dyDescent="0.15">
      <c r="B12" s="470" t="s">
        <v>127</v>
      </c>
      <c r="C12" s="638">
        <v>0.5</v>
      </c>
      <c r="D12" s="638">
        <v>0.55000000000000004</v>
      </c>
      <c r="E12" s="638">
        <v>0.66124999999999989</v>
      </c>
      <c r="F12" s="638">
        <v>0.8067249999999998</v>
      </c>
      <c r="G12" s="638">
        <v>0.95193549999999971</v>
      </c>
    </row>
    <row r="13" spans="2:15" x14ac:dyDescent="0.15">
      <c r="B13" s="470" t="s">
        <v>266</v>
      </c>
      <c r="C13" s="638">
        <v>0.4</v>
      </c>
      <c r="D13" s="638">
        <v>0.44000000000000006</v>
      </c>
      <c r="E13" s="638">
        <v>0.52899999999999991</v>
      </c>
      <c r="F13" s="638">
        <v>0.64537999999999984</v>
      </c>
      <c r="G13" s="638">
        <v>0.76154839999999979</v>
      </c>
    </row>
    <row r="14" spans="2:15" x14ac:dyDescent="0.15">
      <c r="B14" s="470" t="s">
        <v>267</v>
      </c>
      <c r="C14" s="638">
        <v>0.35</v>
      </c>
      <c r="D14" s="638">
        <v>0.40249999999999997</v>
      </c>
      <c r="E14" s="638">
        <v>0.46287499999999993</v>
      </c>
      <c r="F14" s="638">
        <v>0.56470749999999992</v>
      </c>
      <c r="G14" s="638">
        <v>0.66635484999999983</v>
      </c>
    </row>
    <row r="15" spans="2:15" x14ac:dyDescent="0.15">
      <c r="B15" s="602" t="s">
        <v>498</v>
      </c>
      <c r="C15" s="639">
        <v>0.51458333333333339</v>
      </c>
      <c r="D15" s="639">
        <v>0.5792708333333334</v>
      </c>
      <c r="E15" s="639">
        <v>0.66032812500000004</v>
      </c>
      <c r="F15" s="639">
        <v>0.75223374999999981</v>
      </c>
      <c r="G15" s="639">
        <v>0.82996534791666665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3"/>
  <sheetViews>
    <sheetView zoomScale="150" zoomScaleNormal="150" zoomScalePageLayoutView="150" workbookViewId="0">
      <selection activeCell="N25" sqref="N25"/>
    </sheetView>
  </sheetViews>
  <sheetFormatPr baseColWidth="10" defaultRowHeight="13" x14ac:dyDescent="0.15"/>
  <cols>
    <col min="1" max="1" width="28.83203125" customWidth="1"/>
    <col min="2" max="2" width="31.5" customWidth="1"/>
    <col min="3" max="7" width="17.33203125" customWidth="1"/>
    <col min="9" max="9" width="33.1640625" customWidth="1"/>
    <col min="10" max="10" width="9.6640625" style="640" customWidth="1"/>
    <col min="11" max="13" width="10.83203125" style="640"/>
  </cols>
  <sheetData>
    <row r="2" spans="2:19" ht="16" x14ac:dyDescent="0.2">
      <c r="B2" s="129"/>
      <c r="C2" s="91" t="s">
        <v>376</v>
      </c>
      <c r="D2" s="91" t="s">
        <v>377</v>
      </c>
      <c r="E2" s="91" t="s">
        <v>378</v>
      </c>
      <c r="F2" s="91" t="s">
        <v>379</v>
      </c>
      <c r="G2" s="91" t="s">
        <v>380</v>
      </c>
    </row>
    <row r="3" spans="2:19" ht="16" hidden="1" x14ac:dyDescent="0.2">
      <c r="B3" s="91" t="s">
        <v>224</v>
      </c>
      <c r="C3" s="153">
        <v>0.51458333333333339</v>
      </c>
      <c r="D3" s="153">
        <v>0.5792708333333334</v>
      </c>
      <c r="E3" s="153">
        <v>0.66032812500000004</v>
      </c>
      <c r="F3" s="153">
        <v>0.75223374999999981</v>
      </c>
      <c r="G3" s="131">
        <v>0.82996534791666665</v>
      </c>
    </row>
    <row r="4" spans="2:19" ht="16" x14ac:dyDescent="0.2">
      <c r="B4" s="48" t="s">
        <v>457</v>
      </c>
      <c r="C4" s="50">
        <v>42895.82837301588</v>
      </c>
      <c r="D4" s="50">
        <v>46904.980406746035</v>
      </c>
      <c r="E4" s="50">
        <v>51300.948975694453</v>
      </c>
      <c r="F4" s="50">
        <v>56559.033408134914</v>
      </c>
      <c r="G4" s="50">
        <v>60777.893791000337</v>
      </c>
    </row>
    <row r="5" spans="2:19" ht="16" x14ac:dyDescent="0.2">
      <c r="B5" s="48" t="s">
        <v>506</v>
      </c>
      <c r="C5" s="50">
        <f>RRHH!BX101</f>
        <v>399525.00120624999</v>
      </c>
      <c r="D5" s="50">
        <f>C5*(1+0.12)</f>
        <v>447468.00135100004</v>
      </c>
      <c r="E5" s="50">
        <f t="shared" ref="E5:G5" si="0">D5*(1+0.12)</f>
        <v>501164.16151312011</v>
      </c>
      <c r="F5" s="50">
        <f t="shared" si="0"/>
        <v>561303.86089469458</v>
      </c>
      <c r="G5" s="50">
        <f t="shared" si="0"/>
        <v>628660.32420205802</v>
      </c>
    </row>
    <row r="6" spans="2:19" ht="16" x14ac:dyDescent="0.2">
      <c r="B6" s="48" t="s">
        <v>507</v>
      </c>
      <c r="C6" s="50">
        <v>24764.69885428972</v>
      </c>
      <c r="D6" s="50">
        <v>27877.832050345169</v>
      </c>
      <c r="E6" s="50">
        <v>31778.773429589208</v>
      </c>
      <c r="F6" s="50">
        <v>36201.79877593468</v>
      </c>
      <c r="G6" s="50">
        <v>39942.688713817734</v>
      </c>
    </row>
    <row r="7" spans="2:19" ht="16" x14ac:dyDescent="0.2">
      <c r="B7" s="48" t="s">
        <v>508</v>
      </c>
      <c r="C7" s="50">
        <f>'Perdidas&amp;Ganancias'!B12</f>
        <v>1140</v>
      </c>
      <c r="D7" s="50">
        <f>'Perdidas&amp;Ganancias'!D12</f>
        <v>1162.8</v>
      </c>
      <c r="E7" s="50">
        <f>'Perdidas&amp;Ganancias'!F12</f>
        <v>1186.056</v>
      </c>
      <c r="F7" s="50">
        <f>'Perdidas&amp;Ganancias'!H12</f>
        <v>1209.77712</v>
      </c>
      <c r="G7" s="50">
        <f>'Perdidas&amp;Ganancias'!J12</f>
        <v>1233.9726624</v>
      </c>
    </row>
    <row r="8" spans="2:19" ht="16" x14ac:dyDescent="0.2">
      <c r="B8" s="48" t="s">
        <v>230</v>
      </c>
      <c r="C8" s="50">
        <v>23934.465</v>
      </c>
      <c r="D8" s="50">
        <v>27581.702445000003</v>
      </c>
      <c r="E8" s="50">
        <v>33085.016551179004</v>
      </c>
      <c r="F8" s="50">
        <v>38228.085808597956</v>
      </c>
      <c r="G8" s="50">
        <v>42493.54105120452</v>
      </c>
    </row>
    <row r="9" spans="2:19" ht="16" x14ac:dyDescent="0.2">
      <c r="B9" s="48" t="s">
        <v>231</v>
      </c>
      <c r="C9" s="50">
        <v>59836.162500000006</v>
      </c>
      <c r="D9" s="50">
        <v>68954.256112500007</v>
      </c>
      <c r="E9" s="50">
        <v>82712.541377947506</v>
      </c>
      <c r="F9" s="50">
        <v>95570.214521494883</v>
      </c>
      <c r="G9" s="50">
        <v>106233.85262801131</v>
      </c>
    </row>
    <row r="10" spans="2:19" ht="16" x14ac:dyDescent="0.2">
      <c r="B10" s="48" t="s">
        <v>416</v>
      </c>
      <c r="C10" s="50">
        <v>7920</v>
      </c>
      <c r="D10" s="50">
        <v>7920</v>
      </c>
      <c r="E10" s="50">
        <v>7920</v>
      </c>
      <c r="F10" s="50">
        <v>7920</v>
      </c>
      <c r="G10" s="50">
        <v>7920</v>
      </c>
    </row>
    <row r="11" spans="2:19" ht="16" x14ac:dyDescent="0.2">
      <c r="B11" s="48" t="s">
        <v>405</v>
      </c>
      <c r="C11" s="50">
        <v>40372.959999999999</v>
      </c>
      <c r="D11" s="50">
        <v>41584.148800000003</v>
      </c>
      <c r="E11" s="50">
        <v>42831.673263999997</v>
      </c>
      <c r="F11" s="50">
        <v>44116.623461919997</v>
      </c>
      <c r="G11" s="50">
        <v>45440.122165777604</v>
      </c>
    </row>
    <row r="12" spans="2:19" ht="16" x14ac:dyDescent="0.2">
      <c r="B12" s="48" t="s">
        <v>167</v>
      </c>
      <c r="C12" s="50">
        <f>'Perdidas&amp;Ganancias'!B15</f>
        <v>23934.465</v>
      </c>
      <c r="D12" s="50">
        <f>'Perdidas&amp;Ganancias'!D15</f>
        <v>27581.702445000003</v>
      </c>
      <c r="E12" s="50">
        <f>'Perdidas&amp;Ganancias'!F15</f>
        <v>33085.016551179004</v>
      </c>
      <c r="F12" s="50">
        <f>'Perdidas&amp;Ganancias'!H15</f>
        <v>38228.085808597956</v>
      </c>
      <c r="G12" s="50">
        <f>'Perdidas&amp;Ganancias'!J15</f>
        <v>42493.54105120452</v>
      </c>
    </row>
    <row r="13" spans="2:19" ht="17" thickBot="1" x14ac:dyDescent="0.25">
      <c r="B13" s="134" t="s">
        <v>509</v>
      </c>
      <c r="C13" s="135">
        <f>SUM(C4:C12)</f>
        <v>624323.58093355549</v>
      </c>
      <c r="D13" s="135">
        <f t="shared" ref="D13:G13" si="1">SUM(D4:D12)</f>
        <v>697035.4236105911</v>
      </c>
      <c r="E13" s="135">
        <f>SUM(E4:E12)</f>
        <v>785064.18766270927</v>
      </c>
      <c r="F13" s="135">
        <f t="shared" si="1"/>
        <v>879337.47979937505</v>
      </c>
      <c r="G13" s="135">
        <f t="shared" si="1"/>
        <v>975195.93626547407</v>
      </c>
    </row>
    <row r="14" spans="2:19" ht="33" thickBot="1" x14ac:dyDescent="0.2">
      <c r="I14" s="660" t="s">
        <v>286</v>
      </c>
      <c r="J14" s="165" t="s">
        <v>287</v>
      </c>
      <c r="K14" s="166" t="s">
        <v>513</v>
      </c>
      <c r="L14" s="166" t="s">
        <v>514</v>
      </c>
      <c r="M14" s="166" t="s">
        <v>515</v>
      </c>
      <c r="N14" s="167" t="s">
        <v>289</v>
      </c>
      <c r="O14" s="167" t="s">
        <v>290</v>
      </c>
      <c r="P14" s="168" t="s">
        <v>291</v>
      </c>
      <c r="Q14" s="169" t="s">
        <v>292</v>
      </c>
      <c r="R14" s="169" t="s">
        <v>293</v>
      </c>
    </row>
    <row r="15" spans="2:19" ht="19" customHeight="1" x14ac:dyDescent="0.2">
      <c r="I15" s="170" t="s">
        <v>296</v>
      </c>
      <c r="J15" s="647">
        <v>0.15</v>
      </c>
      <c r="K15" s="648">
        <v>0.6</v>
      </c>
      <c r="L15" s="648">
        <v>0.6</v>
      </c>
      <c r="M15" s="648">
        <v>0.57999999999999996</v>
      </c>
      <c r="N15" s="173">
        <v>117913.05</v>
      </c>
      <c r="O15" s="173">
        <v>135103.59764999998</v>
      </c>
      <c r="P15" s="173">
        <v>157440.64370264998</v>
      </c>
      <c r="Q15" s="173">
        <v>157440.64370264998</v>
      </c>
      <c r="R15" s="173">
        <v>191759.59848547829</v>
      </c>
    </row>
    <row r="16" spans="2:19" s="7" customFormat="1" ht="19" customHeight="1" x14ac:dyDescent="0.2">
      <c r="I16" s="645" t="s">
        <v>297</v>
      </c>
      <c r="J16" s="649">
        <v>0.1</v>
      </c>
      <c r="K16" s="650">
        <v>0.1</v>
      </c>
      <c r="L16" s="650">
        <v>0</v>
      </c>
      <c r="M16" s="650">
        <v>0</v>
      </c>
      <c r="N16" s="646">
        <v>13101.45</v>
      </c>
      <c r="O16" s="646">
        <v>15011.510850000001</v>
      </c>
      <c r="P16" s="646">
        <v>0</v>
      </c>
      <c r="Q16" s="646">
        <v>0</v>
      </c>
      <c r="R16" s="646">
        <v>0</v>
      </c>
      <c r="S16" s="163"/>
    </row>
    <row r="17" spans="9:19" s="7" customFormat="1" ht="19" customHeight="1" x14ac:dyDescent="0.2">
      <c r="I17" s="127" t="s">
        <v>512</v>
      </c>
      <c r="J17" s="651">
        <v>0.22</v>
      </c>
      <c r="K17" s="652">
        <v>0.15</v>
      </c>
      <c r="L17" s="652">
        <v>0.12</v>
      </c>
      <c r="M17" s="652">
        <v>0.1</v>
      </c>
      <c r="N17" s="173">
        <v>43234.785000000003</v>
      </c>
      <c r="O17" s="173">
        <v>49537.985804999997</v>
      </c>
      <c r="P17" s="173">
        <v>46182.588819443998</v>
      </c>
      <c r="Q17" s="173">
        <v>52486.511174941057</v>
      </c>
      <c r="R17" s="173">
        <v>48490.932950350834</v>
      </c>
      <c r="S17" s="111"/>
    </row>
    <row r="18" spans="9:19" s="126" customFormat="1" ht="19" customHeight="1" x14ac:dyDescent="0.2">
      <c r="I18" s="179" t="s">
        <v>298</v>
      </c>
      <c r="J18" s="653">
        <v>0.12</v>
      </c>
      <c r="K18" s="654">
        <v>0.05</v>
      </c>
      <c r="L18" s="654">
        <v>0.04</v>
      </c>
      <c r="M18" s="654">
        <v>0.04</v>
      </c>
      <c r="N18" s="173">
        <v>7860.87</v>
      </c>
      <c r="O18" s="173">
        <v>9006.9065099999989</v>
      </c>
      <c r="P18" s="173">
        <v>8396.8343308079984</v>
      </c>
      <c r="Q18" s="173">
        <v>9543.0020318074639</v>
      </c>
      <c r="R18" s="173">
        <v>10579.839916440182</v>
      </c>
      <c r="S18" s="506"/>
    </row>
    <row r="19" spans="9:19" s="7" customFormat="1" ht="19" customHeight="1" x14ac:dyDescent="0.2">
      <c r="I19" s="105" t="s">
        <v>299</v>
      </c>
      <c r="J19" s="654">
        <v>0.22</v>
      </c>
      <c r="K19" s="654">
        <v>0.05</v>
      </c>
      <c r="L19" s="654">
        <v>0.04</v>
      </c>
      <c r="M19" s="654">
        <v>0.04</v>
      </c>
      <c r="N19" s="173">
        <v>14411.594999999999</v>
      </c>
      <c r="O19" s="173">
        <v>16512.661935</v>
      </c>
      <c r="P19" s="173">
        <v>15394.196273148</v>
      </c>
      <c r="Q19" s="173">
        <v>21869.379656225443</v>
      </c>
      <c r="R19" s="173">
        <v>19396.373180140334</v>
      </c>
      <c r="S19" s="111"/>
    </row>
    <row r="20" spans="9:19" s="7" customFormat="1" ht="19" customHeight="1" thickBot="1" x14ac:dyDescent="0.25">
      <c r="I20" s="118" t="s">
        <v>300</v>
      </c>
      <c r="J20" s="655">
        <v>0</v>
      </c>
      <c r="K20" s="656">
        <v>0.05</v>
      </c>
      <c r="L20" s="656">
        <v>0.2</v>
      </c>
      <c r="M20" s="656">
        <v>0.24</v>
      </c>
      <c r="N20" s="173">
        <v>0</v>
      </c>
      <c r="O20" s="173">
        <v>0</v>
      </c>
      <c r="P20" s="173">
        <v>0</v>
      </c>
      <c r="Q20" s="173">
        <v>0</v>
      </c>
      <c r="R20" s="173">
        <v>0</v>
      </c>
      <c r="S20" s="111"/>
    </row>
    <row r="21" spans="9:19" s="7" customFormat="1" ht="17" thickBot="1" x14ac:dyDescent="0.25">
      <c r="I21" s="183" t="s">
        <v>301</v>
      </c>
      <c r="J21" s="657"/>
      <c r="K21" s="658">
        <v>1</v>
      </c>
      <c r="L21" s="658">
        <v>1</v>
      </c>
      <c r="M21" s="658">
        <v>1</v>
      </c>
      <c r="N21" s="186">
        <v>196521.75</v>
      </c>
      <c r="O21" s="186">
        <v>225172.66274999999</v>
      </c>
      <c r="P21" s="186">
        <v>227414.26312604998</v>
      </c>
      <c r="Q21" s="186">
        <v>241339.53656562394</v>
      </c>
      <c r="R21" s="186">
        <v>270226.74453240965</v>
      </c>
      <c r="S21" s="111"/>
    </row>
    <row r="22" spans="9:19" s="7" customFormat="1" ht="16" x14ac:dyDescent="0.2">
      <c r="J22" s="129"/>
      <c r="K22" s="129"/>
      <c r="L22" s="659"/>
      <c r="M22" s="659"/>
      <c r="N22" s="111"/>
      <c r="O22" s="111"/>
      <c r="P22" s="111"/>
      <c r="Q22" s="111"/>
      <c r="R22" s="111"/>
      <c r="S22" s="111"/>
    </row>
    <row r="23" spans="9:19" s="7" customFormat="1" ht="16" x14ac:dyDescent="0.2">
      <c r="J23" s="129"/>
      <c r="K23" s="129"/>
      <c r="L23" s="659"/>
      <c r="M23" s="659"/>
      <c r="N23" s="111"/>
      <c r="O23" s="111"/>
      <c r="P23" s="111"/>
      <c r="Q23" s="111"/>
      <c r="R23" s="111"/>
      <c r="S23" s="1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13"/>
  <sheetViews>
    <sheetView zoomScale="130" zoomScaleNormal="130" zoomScalePageLayoutView="130" workbookViewId="0">
      <selection activeCell="K57" sqref="K57"/>
    </sheetView>
  </sheetViews>
  <sheetFormatPr baseColWidth="10" defaultColWidth="10.83203125" defaultRowHeight="16" x14ac:dyDescent="0.2"/>
  <cols>
    <col min="1" max="1" width="10.83203125" style="250"/>
    <col min="2" max="2" width="28.83203125" style="250" customWidth="1"/>
    <col min="3" max="3" width="10.83203125" style="250"/>
    <col min="4" max="4" width="12.5" style="250" bestFit="1" customWidth="1"/>
    <col min="5" max="11" width="10.83203125" style="250"/>
    <col min="12" max="12" width="11.5" style="250" bestFit="1" customWidth="1"/>
    <col min="13" max="16384" width="10.83203125" style="250"/>
  </cols>
  <sheetData>
    <row r="3" spans="2:12" x14ac:dyDescent="0.2">
      <c r="C3" s="251" t="s">
        <v>5</v>
      </c>
      <c r="D3" s="252"/>
      <c r="E3" s="252"/>
      <c r="F3" s="251" t="s">
        <v>6</v>
      </c>
      <c r="G3" s="252"/>
      <c r="H3" s="252"/>
      <c r="I3" s="251" t="s">
        <v>7</v>
      </c>
      <c r="K3" s="253" t="s">
        <v>8</v>
      </c>
      <c r="L3" s="253">
        <v>2732</v>
      </c>
    </row>
    <row r="4" spans="2:12" x14ac:dyDescent="0.2">
      <c r="B4" s="250" t="s">
        <v>9</v>
      </c>
      <c r="C4" s="254">
        <v>365</v>
      </c>
      <c r="F4" s="254">
        <v>365</v>
      </c>
      <c r="I4" s="254">
        <v>365</v>
      </c>
      <c r="K4" s="253" t="s">
        <v>194</v>
      </c>
      <c r="L4" s="253">
        <v>75</v>
      </c>
    </row>
    <row r="5" spans="2:12" x14ac:dyDescent="0.2">
      <c r="B5" s="250" t="s">
        <v>10</v>
      </c>
      <c r="C5" s="254">
        <v>64</v>
      </c>
      <c r="F5" s="254">
        <v>64</v>
      </c>
      <c r="I5" s="254">
        <v>64</v>
      </c>
    </row>
    <row r="6" spans="2:12" x14ac:dyDescent="0.2">
      <c r="B6" s="250" t="s">
        <v>11</v>
      </c>
      <c r="C6" s="254">
        <v>2</v>
      </c>
      <c r="F6" s="254">
        <v>2</v>
      </c>
      <c r="I6" s="254">
        <v>2</v>
      </c>
    </row>
    <row r="7" spans="2:12" x14ac:dyDescent="0.2">
      <c r="B7" s="250" t="s">
        <v>464</v>
      </c>
      <c r="C7" s="254">
        <v>3</v>
      </c>
      <c r="F7" s="254">
        <v>3</v>
      </c>
      <c r="I7" s="254">
        <v>3</v>
      </c>
    </row>
    <row r="8" spans="2:12" x14ac:dyDescent="0.2">
      <c r="B8" s="250" t="s">
        <v>450</v>
      </c>
      <c r="C8" s="254">
        <v>6</v>
      </c>
      <c r="F8" s="254">
        <v>6</v>
      </c>
      <c r="I8" s="254">
        <v>6</v>
      </c>
    </row>
    <row r="9" spans="2:12" x14ac:dyDescent="0.2">
      <c r="B9" s="250" t="s">
        <v>12</v>
      </c>
      <c r="C9" s="254">
        <v>45</v>
      </c>
      <c r="F9" s="254">
        <v>60</v>
      </c>
      <c r="I9" s="254">
        <v>90</v>
      </c>
    </row>
    <row r="10" spans="2:12" x14ac:dyDescent="0.2">
      <c r="B10" s="250" t="s">
        <v>13</v>
      </c>
      <c r="C10" s="254">
        <v>45</v>
      </c>
      <c r="F10" s="254">
        <v>60</v>
      </c>
      <c r="I10" s="254">
        <v>90</v>
      </c>
    </row>
    <row r="11" spans="2:12" x14ac:dyDescent="0.2">
      <c r="B11" s="250" t="s">
        <v>467</v>
      </c>
      <c r="C11" s="254">
        <v>30</v>
      </c>
      <c r="F11" s="254">
        <v>45</v>
      </c>
      <c r="I11" s="254">
        <v>75</v>
      </c>
    </row>
    <row r="12" spans="2:12" x14ac:dyDescent="0.2">
      <c r="B12" s="250" t="s">
        <v>451</v>
      </c>
      <c r="C12" s="254">
        <v>85</v>
      </c>
      <c r="F12" s="254">
        <v>113</v>
      </c>
      <c r="I12" s="254">
        <v>150</v>
      </c>
    </row>
    <row r="13" spans="2:12" x14ac:dyDescent="0.2">
      <c r="B13" s="250" t="s">
        <v>14</v>
      </c>
      <c r="C13" s="255">
        <v>0.65</v>
      </c>
      <c r="F13" s="255">
        <v>0.71</v>
      </c>
      <c r="I13" s="255">
        <v>0.85</v>
      </c>
    </row>
    <row r="14" spans="2:12" x14ac:dyDescent="0.2">
      <c r="B14" s="250" t="s">
        <v>15</v>
      </c>
      <c r="C14" s="255"/>
      <c r="F14" s="255"/>
      <c r="I14" s="255"/>
    </row>
    <row r="15" spans="2:12" x14ac:dyDescent="0.2">
      <c r="B15" s="277" t="s">
        <v>468</v>
      </c>
      <c r="C15" s="255"/>
      <c r="F15" s="255"/>
      <c r="I15" s="255"/>
    </row>
    <row r="16" spans="2:12" x14ac:dyDescent="0.2">
      <c r="B16" s="250" t="s">
        <v>452</v>
      </c>
      <c r="C16" s="255"/>
      <c r="F16" s="255"/>
      <c r="I16" s="255"/>
    </row>
    <row r="17" spans="2:10" x14ac:dyDescent="0.2">
      <c r="C17" s="256"/>
      <c r="F17" s="256"/>
      <c r="I17" s="256"/>
    </row>
    <row r="18" spans="2:10" x14ac:dyDescent="0.2">
      <c r="B18" s="250" t="s">
        <v>16</v>
      </c>
      <c r="C18" s="257">
        <v>0.214</v>
      </c>
      <c r="D18" s="258"/>
      <c r="E18" s="258"/>
      <c r="F18" s="257">
        <v>0.23</v>
      </c>
      <c r="I18" s="257">
        <v>0.23</v>
      </c>
    </row>
    <row r="19" spans="2:10" x14ac:dyDescent="0.2">
      <c r="B19" s="250" t="s">
        <v>17</v>
      </c>
      <c r="C19" s="255">
        <v>0.03</v>
      </c>
      <c r="D19" s="259"/>
      <c r="E19" s="259"/>
      <c r="F19" s="255">
        <v>0.03</v>
      </c>
      <c r="G19" s="259"/>
      <c r="H19" s="259"/>
      <c r="I19" s="255">
        <v>0.03</v>
      </c>
    </row>
    <row r="20" spans="2:10" x14ac:dyDescent="0.2">
      <c r="C20" s="256"/>
      <c r="F20" s="256"/>
      <c r="I20" s="256"/>
    </row>
    <row r="21" spans="2:10" x14ac:dyDescent="0.2">
      <c r="B21" s="250" t="s">
        <v>18</v>
      </c>
      <c r="C21" s="255">
        <v>0.3</v>
      </c>
      <c r="F21" s="255">
        <v>0.3</v>
      </c>
      <c r="I21" s="255">
        <v>0.3</v>
      </c>
    </row>
    <row r="22" spans="2:10" x14ac:dyDescent="0.2">
      <c r="B22" s="250" t="s">
        <v>19</v>
      </c>
      <c r="C22" s="255">
        <v>0.35</v>
      </c>
      <c r="F22" s="255">
        <v>0.35</v>
      </c>
      <c r="I22" s="255">
        <v>0.35</v>
      </c>
    </row>
    <row r="23" spans="2:10" x14ac:dyDescent="0.2">
      <c r="B23" s="250" t="s">
        <v>20</v>
      </c>
      <c r="C23" s="255">
        <v>0.4</v>
      </c>
      <c r="F23" s="257">
        <v>0.45</v>
      </c>
      <c r="I23" s="255">
        <v>0.5</v>
      </c>
    </row>
    <row r="24" spans="2:10" x14ac:dyDescent="0.2">
      <c r="C24" s="256"/>
      <c r="F24" s="256"/>
      <c r="I24" s="256"/>
    </row>
    <row r="25" spans="2:10" x14ac:dyDescent="0.2">
      <c r="B25" s="250" t="s">
        <v>21</v>
      </c>
      <c r="C25" s="257">
        <v>0</v>
      </c>
      <c r="F25" s="255">
        <v>0.09</v>
      </c>
      <c r="I25" s="255">
        <v>0.14000000000000001</v>
      </c>
    </row>
    <row r="26" spans="2:10" x14ac:dyDescent="0.2">
      <c r="B26" s="250" t="s">
        <v>22</v>
      </c>
      <c r="C26" s="260">
        <f>2732*C27*12</f>
        <v>275713.44</v>
      </c>
      <c r="F26" s="260">
        <f>2732*F27*12</f>
        <v>275713.44</v>
      </c>
      <c r="I26" s="260">
        <f>2732*I27*12</f>
        <v>275713.44</v>
      </c>
    </row>
    <row r="27" spans="2:10" x14ac:dyDescent="0.2">
      <c r="B27" s="250" t="s">
        <v>23</v>
      </c>
      <c r="C27" s="261">
        <v>8.41</v>
      </c>
      <c r="D27" s="262"/>
      <c r="E27" s="262"/>
      <c r="F27" s="261">
        <v>8.41</v>
      </c>
      <c r="G27" s="262"/>
      <c r="H27" s="262"/>
      <c r="I27" s="261">
        <v>8.41</v>
      </c>
    </row>
    <row r="28" spans="2:10" x14ac:dyDescent="0.2">
      <c r="C28" s="256"/>
      <c r="F28" s="256"/>
      <c r="I28" s="256"/>
    </row>
    <row r="29" spans="2:10" x14ac:dyDescent="0.2">
      <c r="B29" s="250" t="s">
        <v>193</v>
      </c>
      <c r="C29" s="260">
        <v>50</v>
      </c>
      <c r="F29" s="260">
        <v>200</v>
      </c>
      <c r="I29" s="260">
        <v>700</v>
      </c>
    </row>
    <row r="30" spans="2:10" x14ac:dyDescent="0.2">
      <c r="B30" s="250" t="s">
        <v>24</v>
      </c>
      <c r="C30" s="260">
        <v>1464.1288433382138</v>
      </c>
      <c r="F30" s="260">
        <f>F43/L3</f>
        <v>1976.5739385065885</v>
      </c>
      <c r="I30" s="260">
        <f>F30+(F30*0.3)</f>
        <v>2569.5461200585651</v>
      </c>
    </row>
    <row r="32" spans="2:10" x14ac:dyDescent="0.2">
      <c r="B32" s="250" t="s">
        <v>25</v>
      </c>
      <c r="C32" s="263">
        <f>(C5*C4*C9*C13)+(C6*C4*C10*C13)+(C7*C4*C11*C13)+(C8*C4*C12*C13)</f>
        <v>846982.5</v>
      </c>
      <c r="D32" s="264">
        <f>C32/C35</f>
        <v>0.75600000000000001</v>
      </c>
      <c r="E32" s="265">
        <f>(F32-C32)/C32</f>
        <v>0.46038784744667094</v>
      </c>
      <c r="F32" s="263">
        <f>(F5*F4*F9*F13)+(F6*F4*F10*F13)+(F7*F4*F11*F13)+(F8*F4*F12*F13)</f>
        <v>1236922.95</v>
      </c>
      <c r="G32" s="264">
        <f>F32/F35</f>
        <v>0.74</v>
      </c>
      <c r="H32" s="265">
        <f>(I32-F32)/F32</f>
        <v>0.7720717769849772</v>
      </c>
      <c r="I32" s="263">
        <f>(I5*I4*I9*I13)+(I6*I4*I10*I13)+(I7*I4*I11*I13)+(I8*I4*I12*I13)</f>
        <v>2191916.25</v>
      </c>
      <c r="J32" s="264">
        <f>I32/I35</f>
        <v>0.74</v>
      </c>
    </row>
    <row r="33" spans="2:10" x14ac:dyDescent="0.2">
      <c r="B33" s="250" t="s">
        <v>26</v>
      </c>
      <c r="C33" s="263">
        <f>(C32*C18)/(1-C18-C19)</f>
        <v>239754.30555555556</v>
      </c>
      <c r="D33" s="264">
        <f>C33/C35</f>
        <v>0.214</v>
      </c>
      <c r="E33" s="263"/>
      <c r="F33" s="263">
        <f t="shared" ref="F33:I33" si="0">(F32*F18)/(1-F18-F19)</f>
        <v>384449.02500000002</v>
      </c>
      <c r="G33" s="264">
        <f>F33/F35</f>
        <v>0.23</v>
      </c>
      <c r="H33" s="263"/>
      <c r="I33" s="263">
        <f t="shared" si="0"/>
        <v>681271.26689189195</v>
      </c>
      <c r="J33" s="264">
        <f>I33/I35</f>
        <v>0.23</v>
      </c>
    </row>
    <row r="34" spans="2:10" x14ac:dyDescent="0.2">
      <c r="B34" s="250" t="s">
        <v>27</v>
      </c>
      <c r="C34" s="263">
        <f>(C32*C19)/(1-C18-C19)</f>
        <v>33610.416666666664</v>
      </c>
      <c r="D34" s="264">
        <f>C34/C35</f>
        <v>2.9999999999999995E-2</v>
      </c>
      <c r="E34" s="263"/>
      <c r="F34" s="263">
        <f t="shared" ref="F34:I34" si="1">(F32*F19)/(1-F18-F19)</f>
        <v>50145.524999999994</v>
      </c>
      <c r="G34" s="264">
        <f>F34/F35</f>
        <v>2.9999999999999995E-2</v>
      </c>
      <c r="H34" s="263"/>
      <c r="I34" s="263">
        <f t="shared" si="1"/>
        <v>88861.4695945946</v>
      </c>
      <c r="J34" s="264">
        <f>I34/I35</f>
        <v>0.03</v>
      </c>
    </row>
    <row r="35" spans="2:10" s="266" customFormat="1" x14ac:dyDescent="0.2">
      <c r="B35" s="266" t="s">
        <v>28</v>
      </c>
      <c r="C35" s="267">
        <f>SUM(C32:C34)</f>
        <v>1120347.2222222222</v>
      </c>
      <c r="D35" s="268">
        <v>1</v>
      </c>
      <c r="F35" s="267">
        <f>SUM(F32:F34)</f>
        <v>1671517.5</v>
      </c>
      <c r="G35" s="268">
        <v>1</v>
      </c>
      <c r="I35" s="267">
        <f>SUM(I32:I34)</f>
        <v>2962048.9864864866</v>
      </c>
      <c r="J35" s="268">
        <v>1</v>
      </c>
    </row>
    <row r="36" spans="2:10" x14ac:dyDescent="0.2">
      <c r="B36" s="250" t="s">
        <v>276</v>
      </c>
      <c r="C36" s="263">
        <f>C33*C21</f>
        <v>71926.291666666672</v>
      </c>
      <c r="D36" s="264">
        <f>C36/C35</f>
        <v>6.4200000000000007E-2</v>
      </c>
      <c r="E36" s="263"/>
      <c r="F36" s="263">
        <f t="shared" ref="F36:I36" si="2">F33*F21</f>
        <v>115334.7075</v>
      </c>
      <c r="G36" s="264">
        <f>F36/F35</f>
        <v>6.9000000000000006E-2</v>
      </c>
      <c r="H36" s="263"/>
      <c r="I36" s="263">
        <f t="shared" si="2"/>
        <v>204381.38006756757</v>
      </c>
      <c r="J36" s="264">
        <f>I36/I35</f>
        <v>6.9000000000000006E-2</v>
      </c>
    </row>
    <row r="37" spans="2:10" x14ac:dyDescent="0.2">
      <c r="B37" s="250" t="s">
        <v>29</v>
      </c>
      <c r="C37" s="263">
        <f>C35*C22</f>
        <v>392121.52777777775</v>
      </c>
      <c r="D37" s="264">
        <f>C37/C35</f>
        <v>0.35</v>
      </c>
      <c r="E37" s="263"/>
      <c r="F37" s="263">
        <f t="shared" ref="F37:I37" si="3">F35*F22</f>
        <v>585031.125</v>
      </c>
      <c r="G37" s="264">
        <f>F37/F35</f>
        <v>0.35</v>
      </c>
      <c r="H37" s="263"/>
      <c r="I37" s="263">
        <f t="shared" si="3"/>
        <v>1036717.1452702703</v>
      </c>
      <c r="J37" s="264">
        <f>I37/I35</f>
        <v>0.35</v>
      </c>
    </row>
    <row r="38" spans="2:10" x14ac:dyDescent="0.2">
      <c r="B38" s="250" t="s">
        <v>30</v>
      </c>
      <c r="C38" s="263">
        <v>15909</v>
      </c>
      <c r="D38" s="264">
        <f>C38/C35</f>
        <v>1.4200061984751751E-2</v>
      </c>
      <c r="F38" s="263">
        <f>F39-(F36+F37)</f>
        <v>51817.042499999981</v>
      </c>
      <c r="G38" s="264">
        <f>F38/F35</f>
        <v>3.0999999999999989E-2</v>
      </c>
      <c r="H38" s="263"/>
      <c r="I38" s="263">
        <f>I39-(I36+I37)</f>
        <v>239925.96790540544</v>
      </c>
      <c r="J38" s="264">
        <f>I38/I35</f>
        <v>8.1000000000000003E-2</v>
      </c>
    </row>
    <row r="39" spans="2:10" s="266" customFormat="1" x14ac:dyDescent="0.2">
      <c r="B39" s="266" t="s">
        <v>171</v>
      </c>
      <c r="C39" s="267">
        <f>C35*C23</f>
        <v>448138.88888888893</v>
      </c>
      <c r="D39" s="268">
        <v>0.4</v>
      </c>
      <c r="E39" s="267"/>
      <c r="F39" s="267">
        <f>F35*F23</f>
        <v>752182.875</v>
      </c>
      <c r="G39" s="268">
        <v>0.45</v>
      </c>
      <c r="H39" s="267"/>
      <c r="I39" s="267">
        <f>I35*I23</f>
        <v>1481024.4932432433</v>
      </c>
      <c r="J39" s="268">
        <v>0.5</v>
      </c>
    </row>
    <row r="40" spans="2:10" x14ac:dyDescent="0.2">
      <c r="B40" s="250" t="s">
        <v>31</v>
      </c>
      <c r="C40" s="263">
        <f>C26+(C25*C35)</f>
        <v>275713.44</v>
      </c>
      <c r="D40" s="264">
        <f>C40/C35</f>
        <v>0.24609641951279984</v>
      </c>
      <c r="E40" s="263"/>
      <c r="F40" s="263">
        <f t="shared" ref="F40" si="4">F26+(F25*F35)</f>
        <v>426150.01500000001</v>
      </c>
      <c r="G40" s="264">
        <f>F40/F35</f>
        <v>0.25494798289578186</v>
      </c>
      <c r="H40" s="263"/>
      <c r="I40" s="263">
        <f>I26+(I25*I35)</f>
        <v>690400.29810810811</v>
      </c>
      <c r="J40" s="264">
        <f>I40/I35</f>
        <v>0.23308199873056279</v>
      </c>
    </row>
    <row r="41" spans="2:10" s="266" customFormat="1" x14ac:dyDescent="0.2">
      <c r="B41" s="266" t="s">
        <v>174</v>
      </c>
      <c r="C41" s="267">
        <f>C39-C40</f>
        <v>172425.44888888893</v>
      </c>
      <c r="D41" s="268">
        <f>C41/C35</f>
        <v>0.15390358048720018</v>
      </c>
      <c r="F41" s="267">
        <f>F39-F40</f>
        <v>326032.86</v>
      </c>
      <c r="G41" s="268">
        <f>F41/F35</f>
        <v>0.19505201710421816</v>
      </c>
      <c r="I41" s="267">
        <f>I39-I40</f>
        <v>790624.1951351352</v>
      </c>
      <c r="J41" s="268">
        <f>I41/I35</f>
        <v>0.26691800126943721</v>
      </c>
    </row>
    <row r="42" spans="2:10" x14ac:dyDescent="0.2">
      <c r="J42" s="264"/>
    </row>
    <row r="43" spans="2:10" x14ac:dyDescent="0.2">
      <c r="B43" s="250" t="s">
        <v>32</v>
      </c>
      <c r="C43" s="263">
        <v>4000000</v>
      </c>
      <c r="F43" s="263">
        <v>5400000</v>
      </c>
      <c r="I43" s="263">
        <f>I30*L3</f>
        <v>7020000</v>
      </c>
    </row>
    <row r="44" spans="2:10" x14ac:dyDescent="0.2">
      <c r="B44" s="250" t="s">
        <v>252</v>
      </c>
      <c r="C44" s="263">
        <f>C29*L3</f>
        <v>136600</v>
      </c>
      <c r="F44" s="263">
        <f>F29*L3</f>
        <v>546400</v>
      </c>
      <c r="I44" s="263">
        <f>I29*L3</f>
        <v>1912400</v>
      </c>
    </row>
    <row r="45" spans="2:10" s="266" customFormat="1" x14ac:dyDescent="0.2">
      <c r="B45" s="266" t="s">
        <v>33</v>
      </c>
      <c r="C45" s="267">
        <f>C43+C44</f>
        <v>4136600</v>
      </c>
      <c r="F45" s="267">
        <f>SUM(F43:F44)</f>
        <v>5946400</v>
      </c>
      <c r="I45" s="267">
        <f>SUM(I43:I44)</f>
        <v>8932400</v>
      </c>
    </row>
    <row r="46" spans="2:10" x14ac:dyDescent="0.2">
      <c r="B46" s="250" t="s">
        <v>34</v>
      </c>
      <c r="C46" s="258">
        <f>C39/C45</f>
        <v>0.10833507926531183</v>
      </c>
      <c r="D46" s="258"/>
      <c r="E46" s="258"/>
      <c r="F46" s="258">
        <f>F39/F45</f>
        <v>0.12649382399434952</v>
      </c>
      <c r="G46" s="258"/>
      <c r="H46" s="258"/>
      <c r="I46" s="258">
        <f t="shared" ref="I46" si="5">I39/I45</f>
        <v>0.16580364663956421</v>
      </c>
    </row>
    <row r="47" spans="2:10" x14ac:dyDescent="0.2">
      <c r="B47" s="250" t="s">
        <v>35</v>
      </c>
      <c r="C47" s="258">
        <f>C40/C45</f>
        <v>6.6652187787071507E-2</v>
      </c>
      <c r="D47" s="258"/>
      <c r="E47" s="258"/>
      <c r="F47" s="258">
        <f t="shared" ref="F47:I47" si="6">F40/F45</f>
        <v>7.1665211724741024E-2</v>
      </c>
      <c r="G47" s="258"/>
      <c r="H47" s="258"/>
      <c r="I47" s="258">
        <f t="shared" si="6"/>
        <v>7.7291690711131178E-2</v>
      </c>
    </row>
    <row r="48" spans="2:10" x14ac:dyDescent="0.2">
      <c r="B48" s="250" t="s">
        <v>36</v>
      </c>
      <c r="C48" s="258">
        <f>C26/C45</f>
        <v>6.6652187787071507E-2</v>
      </c>
      <c r="D48" s="258"/>
      <c r="E48" s="258"/>
      <c r="F48" s="258">
        <f t="shared" ref="F48:I48" si="7">F26/F45</f>
        <v>4.6366446925871115E-2</v>
      </c>
      <c r="G48" s="258"/>
      <c r="H48" s="258"/>
      <c r="I48" s="258">
        <f t="shared" si="7"/>
        <v>3.0866669652053199E-2</v>
      </c>
    </row>
    <row r="49" spans="2:13" x14ac:dyDescent="0.2">
      <c r="B49" s="250" t="s">
        <v>37</v>
      </c>
      <c r="C49" s="263">
        <f>C45/L4</f>
        <v>55154.666666666664</v>
      </c>
      <c r="F49" s="263">
        <f>F45/$L$4</f>
        <v>79285.333333333328</v>
      </c>
      <c r="G49" s="263"/>
      <c r="H49" s="263"/>
      <c r="I49" s="263">
        <f>I45/$L$4</f>
        <v>119098.66666666667</v>
      </c>
    </row>
    <row r="51" spans="2:13" x14ac:dyDescent="0.2">
      <c r="B51" s="250" t="s">
        <v>38</v>
      </c>
      <c r="C51" s="263">
        <f>C26/$L$4</f>
        <v>3676.1792</v>
      </c>
      <c r="D51" s="263"/>
      <c r="E51" s="263"/>
      <c r="F51" s="263">
        <f>F26/$L$4</f>
        <v>3676.1792</v>
      </c>
      <c r="G51" s="263"/>
      <c r="H51" s="263"/>
      <c r="I51" s="263">
        <f t="shared" ref="I51" si="8">I26/$L$4</f>
        <v>3676.1792</v>
      </c>
    </row>
    <row r="52" spans="2:13" x14ac:dyDescent="0.2">
      <c r="B52" s="250" t="s">
        <v>39</v>
      </c>
      <c r="C52" s="263">
        <f>C40/$L$4</f>
        <v>3676.1792</v>
      </c>
      <c r="D52" s="263"/>
      <c r="E52" s="263"/>
      <c r="F52" s="263">
        <f t="shared" ref="F52:I52" si="9">F40/$L$4</f>
        <v>5682.0002000000004</v>
      </c>
      <c r="G52" s="263"/>
      <c r="H52" s="263"/>
      <c r="I52" s="263">
        <f t="shared" si="9"/>
        <v>9205.3373081081081</v>
      </c>
    </row>
    <row r="53" spans="2:13" x14ac:dyDescent="0.2">
      <c r="B53" s="250" t="s">
        <v>40</v>
      </c>
      <c r="C53" s="265">
        <f>C40/$L$3/12</f>
        <v>8.41</v>
      </c>
      <c r="D53" s="265"/>
      <c r="E53" s="265"/>
      <c r="F53" s="265">
        <f t="shared" ref="F53:I53" si="10">F40/$L$3/12</f>
        <v>12.998719344802344</v>
      </c>
      <c r="G53" s="265"/>
      <c r="H53" s="265"/>
      <c r="I53" s="265">
        <f t="shared" si="10"/>
        <v>21.059062289778797</v>
      </c>
      <c r="J53" s="258"/>
    </row>
    <row r="55" spans="2:13" x14ac:dyDescent="0.2">
      <c r="B55" s="250" t="s">
        <v>41</v>
      </c>
      <c r="C55" s="269">
        <f>C32/$L$4/365</f>
        <v>30.94</v>
      </c>
      <c r="D55" s="269"/>
      <c r="E55" s="269"/>
      <c r="F55" s="269">
        <f t="shared" ref="F55:I55" si="11">F32/$L$4/365</f>
        <v>45.184400000000004</v>
      </c>
      <c r="G55" s="269"/>
      <c r="H55" s="269"/>
      <c r="I55" s="269">
        <f t="shared" si="11"/>
        <v>80.069999999999993</v>
      </c>
    </row>
    <row r="56" spans="2:13" x14ac:dyDescent="0.2">
      <c r="B56" s="250" t="s">
        <v>42</v>
      </c>
      <c r="C56" s="269">
        <f>C35/$L$4/365</f>
        <v>40.925925925925931</v>
      </c>
      <c r="D56" s="269"/>
      <c r="E56" s="269"/>
      <c r="F56" s="269">
        <f t="shared" ref="F56:I56" si="12">F35/$L$4/365</f>
        <v>61.06</v>
      </c>
      <c r="G56" s="269"/>
      <c r="H56" s="269"/>
      <c r="I56" s="269">
        <f t="shared" si="12"/>
        <v>108.20270270270271</v>
      </c>
    </row>
    <row r="58" spans="2:13" x14ac:dyDescent="0.2">
      <c r="B58" s="250" t="s">
        <v>43</v>
      </c>
      <c r="C58" s="263">
        <f>C32/$L$4</f>
        <v>11293.1</v>
      </c>
      <c r="D58" s="263"/>
      <c r="E58" s="263"/>
      <c r="F58" s="263">
        <f t="shared" ref="F58:I58" si="13">F32/$L$4</f>
        <v>16492.306</v>
      </c>
      <c r="G58" s="263"/>
      <c r="H58" s="263"/>
      <c r="I58" s="263">
        <f t="shared" si="13"/>
        <v>29225.55</v>
      </c>
    </row>
    <row r="59" spans="2:13" x14ac:dyDescent="0.2">
      <c r="B59" s="250" t="s">
        <v>44</v>
      </c>
      <c r="C59" s="263">
        <f>C35/$L$4</f>
        <v>14937.962962962964</v>
      </c>
      <c r="D59" s="263"/>
      <c r="E59" s="263"/>
      <c r="F59" s="263">
        <f t="shared" ref="F59:I59" si="14">F35/$L$4</f>
        <v>22286.9</v>
      </c>
      <c r="G59" s="263"/>
      <c r="H59" s="263"/>
      <c r="I59" s="263">
        <f t="shared" si="14"/>
        <v>39493.986486486487</v>
      </c>
    </row>
    <row r="61" spans="2:13" x14ac:dyDescent="0.2">
      <c r="B61" s="270" t="s">
        <v>98</v>
      </c>
      <c r="C61" s="271">
        <f>C45-C62</f>
        <v>4136600</v>
      </c>
      <c r="D61" s="256"/>
      <c r="E61" s="256"/>
      <c r="F61" s="271">
        <f>F45-F62</f>
        <v>5946400</v>
      </c>
      <c r="G61" s="256"/>
      <c r="H61" s="256"/>
      <c r="I61" s="271">
        <f>I45-I62</f>
        <v>8932400</v>
      </c>
      <c r="M61" s="250">
        <f>(576+861)/2</f>
        <v>718.5</v>
      </c>
    </row>
    <row r="62" spans="2:13" x14ac:dyDescent="0.2">
      <c r="B62" s="270" t="s">
        <v>45</v>
      </c>
      <c r="C62" s="271">
        <v>0</v>
      </c>
      <c r="D62" s="256"/>
      <c r="E62" s="256"/>
      <c r="F62" s="271">
        <v>0</v>
      </c>
      <c r="G62" s="256"/>
      <c r="H62" s="256"/>
      <c r="I62" s="271">
        <v>0</v>
      </c>
    </row>
    <row r="63" spans="2:13" x14ac:dyDescent="0.2">
      <c r="B63" s="270" t="s">
        <v>46</v>
      </c>
      <c r="C63" s="272">
        <v>0</v>
      </c>
      <c r="D63" s="256"/>
      <c r="E63" s="256"/>
      <c r="F63" s="272">
        <v>0</v>
      </c>
      <c r="G63" s="256"/>
      <c r="H63" s="256"/>
      <c r="I63" s="272">
        <v>0</v>
      </c>
    </row>
    <row r="64" spans="2:13" x14ac:dyDescent="0.2">
      <c r="B64" s="256"/>
      <c r="C64" s="256"/>
      <c r="D64" s="256"/>
      <c r="E64" s="256"/>
      <c r="F64" s="256"/>
      <c r="G64" s="256"/>
      <c r="H64" s="256"/>
      <c r="I64" s="256"/>
      <c r="K64" s="263"/>
    </row>
    <row r="65" spans="2:12" x14ac:dyDescent="0.2">
      <c r="B65" s="270" t="s">
        <v>47</v>
      </c>
      <c r="C65" s="272">
        <f>C40/C61</f>
        <v>6.6652187787071507E-2</v>
      </c>
      <c r="D65" s="256"/>
      <c r="E65" s="256"/>
      <c r="F65" s="272">
        <f>F40/F61</f>
        <v>7.1665211724741024E-2</v>
      </c>
      <c r="G65" s="256"/>
      <c r="H65" s="256"/>
      <c r="I65" s="272">
        <f>I40/I61</f>
        <v>7.7291690711131178E-2</v>
      </c>
    </row>
    <row r="67" spans="2:12" x14ac:dyDescent="0.2">
      <c r="B67" s="253" t="s">
        <v>48</v>
      </c>
      <c r="C67" s="250">
        <v>1</v>
      </c>
      <c r="D67" s="250">
        <v>2</v>
      </c>
      <c r="E67" s="250">
        <v>3</v>
      </c>
      <c r="F67" s="250">
        <v>4</v>
      </c>
      <c r="G67" s="250">
        <v>5</v>
      </c>
      <c r="H67" s="250">
        <v>6</v>
      </c>
      <c r="I67" s="250">
        <v>7</v>
      </c>
      <c r="J67" s="250">
        <v>8</v>
      </c>
      <c r="K67" s="250">
        <v>9</v>
      </c>
      <c r="L67" s="250">
        <v>10</v>
      </c>
    </row>
    <row r="68" spans="2:12" x14ac:dyDescent="0.2">
      <c r="B68" s="250" t="s">
        <v>31</v>
      </c>
      <c r="C68" s="263">
        <f>C40</f>
        <v>275713.44</v>
      </c>
      <c r="D68" s="263">
        <f>C68*1.02</f>
        <v>281227.70880000002</v>
      </c>
      <c r="E68" s="263">
        <f t="shared" ref="E68:L68" si="15">D68*1.02</f>
        <v>286852.26297600003</v>
      </c>
      <c r="F68" s="263">
        <f t="shared" si="15"/>
        <v>292589.30823552003</v>
      </c>
      <c r="G68" s="263">
        <f t="shared" si="15"/>
        <v>298441.09440023045</v>
      </c>
      <c r="H68" s="263">
        <f t="shared" si="15"/>
        <v>304409.91628823505</v>
      </c>
      <c r="I68" s="263">
        <f t="shared" si="15"/>
        <v>310498.11461399973</v>
      </c>
      <c r="J68" s="263">
        <f t="shared" si="15"/>
        <v>316708.07690627972</v>
      </c>
      <c r="K68" s="263">
        <f t="shared" si="15"/>
        <v>323042.23844440532</v>
      </c>
      <c r="L68" s="263">
        <f t="shared" si="15"/>
        <v>329503.0832132934</v>
      </c>
    </row>
    <row r="69" spans="2:12" x14ac:dyDescent="0.2">
      <c r="B69" s="250" t="s">
        <v>176</v>
      </c>
      <c r="C69" s="263">
        <f>-C45*5%</f>
        <v>-206830</v>
      </c>
      <c r="D69" s="263">
        <f>C69</f>
        <v>-206830</v>
      </c>
      <c r="E69" s="263">
        <f t="shared" ref="E69:L69" si="16">D69</f>
        <v>-206830</v>
      </c>
      <c r="F69" s="263">
        <f t="shared" si="16"/>
        <v>-206830</v>
      </c>
      <c r="G69" s="263">
        <f t="shared" si="16"/>
        <v>-206830</v>
      </c>
      <c r="H69" s="263">
        <f t="shared" si="16"/>
        <v>-206830</v>
      </c>
      <c r="I69" s="263">
        <f t="shared" si="16"/>
        <v>-206830</v>
      </c>
      <c r="J69" s="263">
        <f t="shared" si="16"/>
        <v>-206830</v>
      </c>
      <c r="K69" s="263">
        <f t="shared" si="16"/>
        <v>-206830</v>
      </c>
      <c r="L69" s="263">
        <f t="shared" si="16"/>
        <v>-206830</v>
      </c>
    </row>
    <row r="70" spans="2:12" x14ac:dyDescent="0.2">
      <c r="B70" s="250" t="s">
        <v>49</v>
      </c>
      <c r="C70" s="263">
        <f>SUM(C68:C69)</f>
        <v>68883.44</v>
      </c>
      <c r="D70" s="263">
        <f t="shared" ref="D70:L70" si="17">SUM(D68:D69)</f>
        <v>74397.708800000022</v>
      </c>
      <c r="E70" s="263">
        <f t="shared" si="17"/>
        <v>80022.262976000027</v>
      </c>
      <c r="F70" s="263">
        <f t="shared" si="17"/>
        <v>85759.308235520031</v>
      </c>
      <c r="G70" s="263">
        <f t="shared" si="17"/>
        <v>91611.094400230446</v>
      </c>
      <c r="H70" s="263">
        <f t="shared" si="17"/>
        <v>97579.91628823505</v>
      </c>
      <c r="I70" s="263">
        <f t="shared" si="17"/>
        <v>103668.11461399973</v>
      </c>
      <c r="J70" s="263">
        <f t="shared" si="17"/>
        <v>109878.07690627972</v>
      </c>
      <c r="K70" s="263">
        <f t="shared" si="17"/>
        <v>116212.23844440532</v>
      </c>
      <c r="L70" s="263">
        <f t="shared" si="17"/>
        <v>122673.0832132934</v>
      </c>
    </row>
    <row r="71" spans="2:12" x14ac:dyDescent="0.2">
      <c r="B71" s="250" t="s">
        <v>50</v>
      </c>
      <c r="C71" s="263">
        <f>-C70*25%</f>
        <v>-17220.86</v>
      </c>
      <c r="D71" s="263">
        <f t="shared" ref="D71:L71" si="18">-D70*25%</f>
        <v>-18599.427200000006</v>
      </c>
      <c r="E71" s="263">
        <f t="shared" si="18"/>
        <v>-20005.565744000007</v>
      </c>
      <c r="F71" s="263">
        <f t="shared" si="18"/>
        <v>-21439.827058880008</v>
      </c>
      <c r="G71" s="263">
        <f t="shared" si="18"/>
        <v>-22902.773600057611</v>
      </c>
      <c r="H71" s="263">
        <f t="shared" si="18"/>
        <v>-24394.979072058763</v>
      </c>
      <c r="I71" s="263">
        <f t="shared" si="18"/>
        <v>-25917.028653499932</v>
      </c>
      <c r="J71" s="263">
        <f t="shared" si="18"/>
        <v>-27469.51922656993</v>
      </c>
      <c r="K71" s="263">
        <f t="shared" si="18"/>
        <v>-29053.059611101329</v>
      </c>
      <c r="L71" s="263">
        <f t="shared" si="18"/>
        <v>-30668.27080332335</v>
      </c>
    </row>
    <row r="72" spans="2:12" x14ac:dyDescent="0.2">
      <c r="B72" s="250" t="s">
        <v>51</v>
      </c>
      <c r="C72" s="263">
        <f>SUM(C70:C71)</f>
        <v>51662.58</v>
      </c>
      <c r="D72" s="263">
        <f t="shared" ref="D72:L72" si="19">SUM(D70:D71)</f>
        <v>55798.281600000017</v>
      </c>
      <c r="E72" s="263">
        <f t="shared" si="19"/>
        <v>60016.69723200002</v>
      </c>
      <c r="F72" s="263">
        <f t="shared" si="19"/>
        <v>64319.481176640023</v>
      </c>
      <c r="G72" s="263">
        <f t="shared" si="19"/>
        <v>68708.320800172834</v>
      </c>
      <c r="H72" s="263">
        <f t="shared" si="19"/>
        <v>73184.937216176288</v>
      </c>
      <c r="I72" s="263">
        <f t="shared" si="19"/>
        <v>77751.085960499797</v>
      </c>
      <c r="J72" s="263">
        <f t="shared" si="19"/>
        <v>82408.557679709789</v>
      </c>
      <c r="K72" s="263">
        <f t="shared" si="19"/>
        <v>87159.178833303988</v>
      </c>
      <c r="L72" s="263">
        <f t="shared" si="19"/>
        <v>92004.812409970051</v>
      </c>
    </row>
    <row r="73" spans="2:12" x14ac:dyDescent="0.2">
      <c r="B73" s="250" t="s">
        <v>176</v>
      </c>
      <c r="C73" s="263">
        <f>-C69</f>
        <v>206830</v>
      </c>
      <c r="D73" s="263">
        <f t="shared" ref="D73:L73" si="20">-D69</f>
        <v>206830</v>
      </c>
      <c r="E73" s="263">
        <f t="shared" si="20"/>
        <v>206830</v>
      </c>
      <c r="F73" s="263">
        <f t="shared" si="20"/>
        <v>206830</v>
      </c>
      <c r="G73" s="263">
        <f t="shared" si="20"/>
        <v>206830</v>
      </c>
      <c r="H73" s="263">
        <f t="shared" si="20"/>
        <v>206830</v>
      </c>
      <c r="I73" s="263">
        <f t="shared" si="20"/>
        <v>206830</v>
      </c>
      <c r="J73" s="263">
        <f t="shared" si="20"/>
        <v>206830</v>
      </c>
      <c r="K73" s="263">
        <f t="shared" si="20"/>
        <v>206830</v>
      </c>
      <c r="L73" s="263">
        <f t="shared" si="20"/>
        <v>206830</v>
      </c>
    </row>
    <row r="74" spans="2:12" x14ac:dyDescent="0.2">
      <c r="B74" s="250" t="s">
        <v>52</v>
      </c>
      <c r="C74" s="263">
        <f t="shared" ref="C74:K74" si="21">C72+C73</f>
        <v>258492.58000000002</v>
      </c>
      <c r="D74" s="263">
        <f t="shared" si="21"/>
        <v>262628.28159999999</v>
      </c>
      <c r="E74" s="263">
        <f t="shared" si="21"/>
        <v>266846.69723200001</v>
      </c>
      <c r="F74" s="263">
        <f t="shared" si="21"/>
        <v>271149.48117664002</v>
      </c>
      <c r="G74" s="263">
        <f t="shared" si="21"/>
        <v>275538.32080017286</v>
      </c>
      <c r="H74" s="263">
        <f t="shared" si="21"/>
        <v>280014.9372161763</v>
      </c>
      <c r="I74" s="263">
        <f t="shared" si="21"/>
        <v>284581.08596049983</v>
      </c>
      <c r="J74" s="263">
        <f t="shared" si="21"/>
        <v>289238.5576797098</v>
      </c>
      <c r="K74" s="263">
        <f t="shared" si="21"/>
        <v>293989.17883330397</v>
      </c>
      <c r="L74" s="263">
        <f>L72+L73</f>
        <v>298834.81240997004</v>
      </c>
    </row>
    <row r="75" spans="2:12" x14ac:dyDescent="0.2">
      <c r="B75" s="250" t="s">
        <v>108</v>
      </c>
      <c r="C75" s="263">
        <f>NPV(C76,C74:L74)+((L74*(1+I76))/(C76-I76))/(1+C76)^L67</f>
        <v>3844606.4757569069</v>
      </c>
      <c r="D75" s="263"/>
    </row>
    <row r="76" spans="2:12" x14ac:dyDescent="0.2">
      <c r="B76" s="266" t="s">
        <v>53</v>
      </c>
      <c r="C76" s="257">
        <v>0.08</v>
      </c>
      <c r="D76" s="266" t="s">
        <v>54</v>
      </c>
      <c r="E76" s="257">
        <v>0.02</v>
      </c>
      <c r="G76" s="266" t="s">
        <v>55</v>
      </c>
      <c r="I76" s="257">
        <v>0.01</v>
      </c>
    </row>
    <row r="77" spans="2:12" x14ac:dyDescent="0.2">
      <c r="C77" s="258"/>
      <c r="E77" s="258"/>
      <c r="I77" s="258"/>
    </row>
    <row r="78" spans="2:12" x14ac:dyDescent="0.2">
      <c r="C78" s="263">
        <f>C74</f>
        <v>258492.58000000002</v>
      </c>
      <c r="D78" s="263">
        <f t="shared" ref="D78:L78" si="22">D74</f>
        <v>262628.28159999999</v>
      </c>
      <c r="E78" s="263">
        <f t="shared" si="22"/>
        <v>266846.69723200001</v>
      </c>
      <c r="F78" s="263">
        <f t="shared" si="22"/>
        <v>271149.48117664002</v>
      </c>
      <c r="G78" s="263">
        <f t="shared" si="22"/>
        <v>275538.32080017286</v>
      </c>
      <c r="H78" s="263">
        <f t="shared" si="22"/>
        <v>280014.9372161763</v>
      </c>
      <c r="I78" s="263">
        <f t="shared" si="22"/>
        <v>284581.08596049983</v>
      </c>
      <c r="J78" s="263">
        <f t="shared" si="22"/>
        <v>289238.5576797098</v>
      </c>
      <c r="K78" s="263">
        <f t="shared" si="22"/>
        <v>293989.17883330397</v>
      </c>
      <c r="L78" s="263">
        <f t="shared" si="22"/>
        <v>298834.81240997004</v>
      </c>
    </row>
    <row r="79" spans="2:12" x14ac:dyDescent="0.2">
      <c r="C79" s="258"/>
      <c r="E79" s="258"/>
      <c r="I79" s="258"/>
      <c r="L79" s="263">
        <f>L74*(1+I76)/(C76-I76)</f>
        <v>4311759.4362009959</v>
      </c>
    </row>
    <row r="80" spans="2:12" x14ac:dyDescent="0.2">
      <c r="B80" s="263">
        <f>-C45</f>
        <v>-4136600</v>
      </c>
      <c r="C80" s="263">
        <f>C74</f>
        <v>258492.58000000002</v>
      </c>
      <c r="D80" s="263">
        <f t="shared" ref="D80:K80" si="23">D74</f>
        <v>262628.28159999999</v>
      </c>
      <c r="E80" s="263">
        <f t="shared" si="23"/>
        <v>266846.69723200001</v>
      </c>
      <c r="F80" s="263">
        <f t="shared" si="23"/>
        <v>271149.48117664002</v>
      </c>
      <c r="G80" s="263">
        <f t="shared" si="23"/>
        <v>275538.32080017286</v>
      </c>
      <c r="H80" s="263">
        <f t="shared" si="23"/>
        <v>280014.9372161763</v>
      </c>
      <c r="I80" s="263">
        <f t="shared" si="23"/>
        <v>284581.08596049983</v>
      </c>
      <c r="J80" s="263">
        <f t="shared" si="23"/>
        <v>289238.5576797098</v>
      </c>
      <c r="K80" s="263">
        <f t="shared" si="23"/>
        <v>293989.17883330397</v>
      </c>
      <c r="L80" s="263">
        <f>L78+L79</f>
        <v>4610594.2486109659</v>
      </c>
    </row>
    <row r="81" spans="2:14" x14ac:dyDescent="0.2">
      <c r="B81" s="273" t="s">
        <v>110</v>
      </c>
      <c r="C81" s="257">
        <f>IRR(B80:L80)</f>
        <v>6.9709284287092554E-2</v>
      </c>
      <c r="D81" s="274"/>
      <c r="E81" s="258"/>
      <c r="I81" s="258"/>
    </row>
    <row r="83" spans="2:14" x14ac:dyDescent="0.2">
      <c r="B83" s="253" t="s">
        <v>56</v>
      </c>
      <c r="C83" s="250">
        <v>1</v>
      </c>
      <c r="D83" s="250">
        <v>2</v>
      </c>
      <c r="E83" s="250">
        <v>3</v>
      </c>
      <c r="F83" s="250">
        <v>4</v>
      </c>
      <c r="G83" s="250">
        <v>5</v>
      </c>
      <c r="H83" s="250">
        <v>6</v>
      </c>
      <c r="I83" s="250">
        <v>7</v>
      </c>
      <c r="J83" s="250">
        <v>8</v>
      </c>
      <c r="K83" s="250">
        <v>9</v>
      </c>
      <c r="L83" s="250">
        <v>10</v>
      </c>
    </row>
    <row r="84" spans="2:14" x14ac:dyDescent="0.2">
      <c r="B84" s="250" t="s">
        <v>31</v>
      </c>
      <c r="C84" s="263">
        <f>F40</f>
        <v>426150.01500000001</v>
      </c>
      <c r="D84" s="263">
        <f>C84*1.02</f>
        <v>434673.01530000003</v>
      </c>
      <c r="E84" s="263">
        <f t="shared" ref="E84:L84" si="24">D84*1.02</f>
        <v>443366.47560600005</v>
      </c>
      <c r="F84" s="263">
        <f t="shared" si="24"/>
        <v>452233.80511812004</v>
      </c>
      <c r="G84" s="263">
        <f t="shared" si="24"/>
        <v>461278.48122048244</v>
      </c>
      <c r="H84" s="263">
        <f t="shared" si="24"/>
        <v>470504.0508448921</v>
      </c>
      <c r="I84" s="263">
        <f t="shared" si="24"/>
        <v>479914.13186178997</v>
      </c>
      <c r="J84" s="263">
        <f t="shared" si="24"/>
        <v>489512.41449902579</v>
      </c>
      <c r="K84" s="263">
        <f t="shared" si="24"/>
        <v>499302.66278900631</v>
      </c>
      <c r="L84" s="263">
        <f t="shared" si="24"/>
        <v>509288.71604478644</v>
      </c>
    </row>
    <row r="85" spans="2:14" x14ac:dyDescent="0.2">
      <c r="B85" s="250" t="s">
        <v>176</v>
      </c>
      <c r="C85" s="263">
        <f>-F45*5%</f>
        <v>-297320</v>
      </c>
      <c r="D85" s="263">
        <f>C85</f>
        <v>-297320</v>
      </c>
      <c r="E85" s="263">
        <f t="shared" ref="E85:L85" si="25">D85</f>
        <v>-297320</v>
      </c>
      <c r="F85" s="263">
        <f t="shared" si="25"/>
        <v>-297320</v>
      </c>
      <c r="G85" s="263">
        <f t="shared" si="25"/>
        <v>-297320</v>
      </c>
      <c r="H85" s="263">
        <f t="shared" si="25"/>
        <v>-297320</v>
      </c>
      <c r="I85" s="263">
        <f t="shared" si="25"/>
        <v>-297320</v>
      </c>
      <c r="J85" s="263">
        <f t="shared" si="25"/>
        <v>-297320</v>
      </c>
      <c r="K85" s="263">
        <f t="shared" si="25"/>
        <v>-297320</v>
      </c>
      <c r="L85" s="263">
        <f t="shared" si="25"/>
        <v>-297320</v>
      </c>
    </row>
    <row r="86" spans="2:14" x14ac:dyDescent="0.2">
      <c r="B86" s="250" t="s">
        <v>49</v>
      </c>
      <c r="C86" s="263">
        <f>SUM(C84:C85)</f>
        <v>128830.01500000001</v>
      </c>
      <c r="D86" s="263">
        <f t="shared" ref="D86:L86" si="26">SUM(D84:D85)</f>
        <v>137353.01530000003</v>
      </c>
      <c r="E86" s="263">
        <f t="shared" si="26"/>
        <v>146046.47560600005</v>
      </c>
      <c r="F86" s="263">
        <f t="shared" si="26"/>
        <v>154913.80511812004</v>
      </c>
      <c r="G86" s="263">
        <f t="shared" si="26"/>
        <v>163958.48122048244</v>
      </c>
      <c r="H86" s="263">
        <f t="shared" si="26"/>
        <v>173184.0508448921</v>
      </c>
      <c r="I86" s="263">
        <f t="shared" si="26"/>
        <v>182594.13186178997</v>
      </c>
      <c r="J86" s="263">
        <f t="shared" si="26"/>
        <v>192192.41449902579</v>
      </c>
      <c r="K86" s="263">
        <f t="shared" si="26"/>
        <v>201982.66278900631</v>
      </c>
      <c r="L86" s="263">
        <f t="shared" si="26"/>
        <v>211968.71604478644</v>
      </c>
    </row>
    <row r="87" spans="2:14" x14ac:dyDescent="0.2">
      <c r="B87" s="250" t="s">
        <v>50</v>
      </c>
      <c r="C87" s="263">
        <f>-C86*25%</f>
        <v>-32207.503750000003</v>
      </c>
      <c r="D87" s="263">
        <f t="shared" ref="D87:L87" si="27">-D86*25%</f>
        <v>-34338.253825000007</v>
      </c>
      <c r="E87" s="263">
        <f t="shared" si="27"/>
        <v>-36511.618901500013</v>
      </c>
      <c r="F87" s="263">
        <f t="shared" si="27"/>
        <v>-38728.451279530011</v>
      </c>
      <c r="G87" s="263">
        <f t="shared" si="27"/>
        <v>-40989.62030512061</v>
      </c>
      <c r="H87" s="263">
        <f t="shared" si="27"/>
        <v>-43296.012711223026</v>
      </c>
      <c r="I87" s="263">
        <f t="shared" si="27"/>
        <v>-45648.532965447492</v>
      </c>
      <c r="J87" s="263">
        <f t="shared" si="27"/>
        <v>-48048.103624756448</v>
      </c>
      <c r="K87" s="263">
        <f t="shared" si="27"/>
        <v>-50495.665697251578</v>
      </c>
      <c r="L87" s="263">
        <f t="shared" si="27"/>
        <v>-52992.179011196611</v>
      </c>
    </row>
    <row r="88" spans="2:14" x14ac:dyDescent="0.2">
      <c r="B88" s="250" t="s">
        <v>51</v>
      </c>
      <c r="C88" s="263">
        <f>SUM(C86:C87)</f>
        <v>96622.51125000001</v>
      </c>
      <c r="D88" s="263">
        <f t="shared" ref="D88:L88" si="28">SUM(D86:D87)</f>
        <v>103014.76147500002</v>
      </c>
      <c r="E88" s="263">
        <f t="shared" si="28"/>
        <v>109534.85670450004</v>
      </c>
      <c r="F88" s="263">
        <f t="shared" si="28"/>
        <v>116185.35383859003</v>
      </c>
      <c r="G88" s="263">
        <f t="shared" si="28"/>
        <v>122968.86091536183</v>
      </c>
      <c r="H88" s="263">
        <f t="shared" si="28"/>
        <v>129888.03813366908</v>
      </c>
      <c r="I88" s="263">
        <f t="shared" si="28"/>
        <v>136945.59889634248</v>
      </c>
      <c r="J88" s="263">
        <f t="shared" si="28"/>
        <v>144144.31087426934</v>
      </c>
      <c r="K88" s="263">
        <f t="shared" si="28"/>
        <v>151486.99709175475</v>
      </c>
      <c r="L88" s="263">
        <f t="shared" si="28"/>
        <v>158976.53703358985</v>
      </c>
      <c r="N88" s="263"/>
    </row>
    <row r="89" spans="2:14" x14ac:dyDescent="0.2">
      <c r="B89" s="250" t="s">
        <v>176</v>
      </c>
      <c r="C89" s="263">
        <f>-C85</f>
        <v>297320</v>
      </c>
      <c r="D89" s="263">
        <f t="shared" ref="D89:L89" si="29">-D85</f>
        <v>297320</v>
      </c>
      <c r="E89" s="263">
        <f t="shared" si="29"/>
        <v>297320</v>
      </c>
      <c r="F89" s="263">
        <f t="shared" si="29"/>
        <v>297320</v>
      </c>
      <c r="G89" s="263">
        <f t="shared" si="29"/>
        <v>297320</v>
      </c>
      <c r="H89" s="263">
        <f t="shared" si="29"/>
        <v>297320</v>
      </c>
      <c r="I89" s="263">
        <f t="shared" si="29"/>
        <v>297320</v>
      </c>
      <c r="J89" s="263">
        <f t="shared" si="29"/>
        <v>297320</v>
      </c>
      <c r="K89" s="263">
        <f t="shared" si="29"/>
        <v>297320</v>
      </c>
      <c r="L89" s="263">
        <f t="shared" si="29"/>
        <v>297320</v>
      </c>
    </row>
    <row r="90" spans="2:14" x14ac:dyDescent="0.2">
      <c r="B90" s="250" t="s">
        <v>52</v>
      </c>
      <c r="C90" s="263">
        <f>C88+C89</f>
        <v>393942.51124999998</v>
      </c>
      <c r="D90" s="263">
        <f t="shared" ref="D90:L90" si="30">D88+D89</f>
        <v>400334.76147500001</v>
      </c>
      <c r="E90" s="263">
        <f t="shared" si="30"/>
        <v>406854.85670450004</v>
      </c>
      <c r="F90" s="263">
        <f t="shared" si="30"/>
        <v>413505.35383859003</v>
      </c>
      <c r="G90" s="263">
        <f t="shared" si="30"/>
        <v>420288.86091536185</v>
      </c>
      <c r="H90" s="263">
        <f t="shared" si="30"/>
        <v>427208.03813366906</v>
      </c>
      <c r="I90" s="263">
        <f t="shared" si="30"/>
        <v>434265.59889634245</v>
      </c>
      <c r="J90" s="263">
        <f t="shared" si="30"/>
        <v>441464.31087426934</v>
      </c>
      <c r="K90" s="263">
        <f t="shared" si="30"/>
        <v>448806.99709175475</v>
      </c>
      <c r="L90" s="263">
        <f t="shared" si="30"/>
        <v>456296.53703358985</v>
      </c>
    </row>
    <row r="91" spans="2:14" x14ac:dyDescent="0.2">
      <c r="B91" s="250" t="s">
        <v>108</v>
      </c>
      <c r="C91" s="263">
        <f>NPV(C92,C90:L90)+((L90*(1+E92))/(C92-I92))/(1+C92)^L83</f>
        <v>5897644.1845016656</v>
      </c>
      <c r="D91" s="263"/>
    </row>
    <row r="92" spans="2:14" x14ac:dyDescent="0.2">
      <c r="B92" s="266" t="s">
        <v>53</v>
      </c>
      <c r="C92" s="257">
        <v>0.08</v>
      </c>
      <c r="D92" s="266" t="s">
        <v>54</v>
      </c>
      <c r="E92" s="257">
        <v>0.02</v>
      </c>
      <c r="G92" s="266" t="s">
        <v>55</v>
      </c>
      <c r="I92" s="257">
        <v>0.01</v>
      </c>
    </row>
    <row r="93" spans="2:14" x14ac:dyDescent="0.2">
      <c r="C93" s="275"/>
      <c r="D93" s="256"/>
      <c r="E93" s="275"/>
      <c r="F93" s="256"/>
      <c r="G93" s="256"/>
      <c r="H93" s="256"/>
      <c r="I93" s="275"/>
    </row>
    <row r="94" spans="2:14" x14ac:dyDescent="0.2">
      <c r="C94" s="276">
        <f>C90</f>
        <v>393942.51124999998</v>
      </c>
      <c r="D94" s="276">
        <f t="shared" ref="D94:L94" si="31">D90</f>
        <v>400334.76147500001</v>
      </c>
      <c r="E94" s="276">
        <f t="shared" si="31"/>
        <v>406854.85670450004</v>
      </c>
      <c r="F94" s="276">
        <f t="shared" si="31"/>
        <v>413505.35383859003</v>
      </c>
      <c r="G94" s="276">
        <f t="shared" si="31"/>
        <v>420288.86091536185</v>
      </c>
      <c r="H94" s="276">
        <f t="shared" si="31"/>
        <v>427208.03813366906</v>
      </c>
      <c r="I94" s="276">
        <f t="shared" si="31"/>
        <v>434265.59889634245</v>
      </c>
      <c r="J94" s="276">
        <f t="shared" si="31"/>
        <v>441464.31087426934</v>
      </c>
      <c r="K94" s="276">
        <f t="shared" si="31"/>
        <v>448806.99709175475</v>
      </c>
      <c r="L94" s="276">
        <f t="shared" si="31"/>
        <v>456296.53703358985</v>
      </c>
    </row>
    <row r="95" spans="2:14" x14ac:dyDescent="0.2">
      <c r="C95" s="276"/>
      <c r="D95" s="276"/>
      <c r="E95" s="276"/>
      <c r="F95" s="276"/>
      <c r="G95" s="276"/>
      <c r="H95" s="276"/>
      <c r="I95" s="276"/>
      <c r="J95" s="263"/>
      <c r="K95" s="263"/>
      <c r="L95" s="263">
        <f>L90*(1+I92)/(C92-I92)</f>
        <v>6583707.177198939</v>
      </c>
    </row>
    <row r="96" spans="2:14" x14ac:dyDescent="0.2">
      <c r="B96" s="263">
        <f>-F45</f>
        <v>-5946400</v>
      </c>
      <c r="C96" s="276">
        <f>C90</f>
        <v>393942.51124999998</v>
      </c>
      <c r="D96" s="276">
        <f t="shared" ref="D96:K96" si="32">D90</f>
        <v>400334.76147500001</v>
      </c>
      <c r="E96" s="276">
        <f t="shared" si="32"/>
        <v>406854.85670450004</v>
      </c>
      <c r="F96" s="276">
        <f t="shared" si="32"/>
        <v>413505.35383859003</v>
      </c>
      <c r="G96" s="276">
        <f t="shared" si="32"/>
        <v>420288.86091536185</v>
      </c>
      <c r="H96" s="276">
        <f t="shared" si="32"/>
        <v>427208.03813366906</v>
      </c>
      <c r="I96" s="276">
        <f t="shared" si="32"/>
        <v>434265.59889634245</v>
      </c>
      <c r="J96" s="276">
        <f t="shared" si="32"/>
        <v>441464.31087426934</v>
      </c>
      <c r="K96" s="276">
        <f t="shared" si="32"/>
        <v>448806.99709175475</v>
      </c>
      <c r="L96" s="263">
        <f>L94+L95</f>
        <v>7040003.7142325286</v>
      </c>
    </row>
    <row r="97" spans="2:14" x14ac:dyDescent="0.2">
      <c r="B97" s="273" t="s">
        <v>110</v>
      </c>
      <c r="C97" s="257">
        <f>IRR(B96:L96)</f>
        <v>7.8104541916973469E-2</v>
      </c>
      <c r="D97" s="256"/>
      <c r="E97" s="275"/>
      <c r="F97" s="256"/>
      <c r="G97" s="256"/>
      <c r="H97" s="256"/>
      <c r="I97" s="275"/>
    </row>
    <row r="99" spans="2:14" x14ac:dyDescent="0.2">
      <c r="B99" s="253" t="s">
        <v>57</v>
      </c>
      <c r="C99" s="250">
        <v>1</v>
      </c>
      <c r="D99" s="250">
        <v>2</v>
      </c>
      <c r="E99" s="250">
        <v>3</v>
      </c>
      <c r="F99" s="250">
        <v>4</v>
      </c>
      <c r="G99" s="250">
        <v>5</v>
      </c>
      <c r="H99" s="250">
        <v>6</v>
      </c>
      <c r="I99" s="250">
        <v>7</v>
      </c>
      <c r="J99" s="250">
        <v>8</v>
      </c>
      <c r="K99" s="250">
        <v>9</v>
      </c>
      <c r="L99" s="250">
        <v>10</v>
      </c>
    </row>
    <row r="100" spans="2:14" x14ac:dyDescent="0.2">
      <c r="B100" s="250" t="s">
        <v>31</v>
      </c>
      <c r="C100" s="263">
        <f>I40</f>
        <v>690400.29810810811</v>
      </c>
      <c r="D100" s="263">
        <f>C100*1.02</f>
        <v>704208.30407027027</v>
      </c>
      <c r="E100" s="263">
        <f t="shared" ref="E100:L100" si="33">D100*1.02</f>
        <v>718292.47015167563</v>
      </c>
      <c r="F100" s="263">
        <f t="shared" si="33"/>
        <v>732658.31955470913</v>
      </c>
      <c r="G100" s="263">
        <f t="shared" si="33"/>
        <v>747311.48594580335</v>
      </c>
      <c r="H100" s="263">
        <f t="shared" si="33"/>
        <v>762257.71566471946</v>
      </c>
      <c r="I100" s="263">
        <f t="shared" si="33"/>
        <v>777502.86997801391</v>
      </c>
      <c r="J100" s="263">
        <f t="shared" si="33"/>
        <v>793052.92737757426</v>
      </c>
      <c r="K100" s="263">
        <f t="shared" si="33"/>
        <v>808913.98592512577</v>
      </c>
      <c r="L100" s="263">
        <f t="shared" si="33"/>
        <v>825092.26564362831</v>
      </c>
    </row>
    <row r="101" spans="2:14" x14ac:dyDescent="0.2">
      <c r="B101" s="250" t="s">
        <v>176</v>
      </c>
      <c r="C101" s="263">
        <f>-I45*5%</f>
        <v>-446620</v>
      </c>
      <c r="D101" s="263">
        <f>C101</f>
        <v>-446620</v>
      </c>
      <c r="E101" s="263">
        <f t="shared" ref="E101:L101" si="34">D101</f>
        <v>-446620</v>
      </c>
      <c r="F101" s="263">
        <f t="shared" si="34"/>
        <v>-446620</v>
      </c>
      <c r="G101" s="263">
        <f t="shared" si="34"/>
        <v>-446620</v>
      </c>
      <c r="H101" s="263">
        <f t="shared" si="34"/>
        <v>-446620</v>
      </c>
      <c r="I101" s="263">
        <f t="shared" si="34"/>
        <v>-446620</v>
      </c>
      <c r="J101" s="263">
        <f t="shared" si="34"/>
        <v>-446620</v>
      </c>
      <c r="K101" s="263">
        <f t="shared" si="34"/>
        <v>-446620</v>
      </c>
      <c r="L101" s="263">
        <f t="shared" si="34"/>
        <v>-446620</v>
      </c>
    </row>
    <row r="102" spans="2:14" x14ac:dyDescent="0.2">
      <c r="B102" s="250" t="s">
        <v>49</v>
      </c>
      <c r="C102" s="263">
        <f>SUM(C100:C101)</f>
        <v>243780.29810810811</v>
      </c>
      <c r="D102" s="263">
        <f t="shared" ref="D102:L102" si="35">SUM(D100:D101)</f>
        <v>257588.30407027027</v>
      </c>
      <c r="E102" s="263">
        <f t="shared" si="35"/>
        <v>271672.47015167563</v>
      </c>
      <c r="F102" s="263">
        <f t="shared" si="35"/>
        <v>286038.31955470913</v>
      </c>
      <c r="G102" s="263">
        <f t="shared" si="35"/>
        <v>300691.48594580335</v>
      </c>
      <c r="H102" s="263">
        <f t="shared" si="35"/>
        <v>315637.71566471946</v>
      </c>
      <c r="I102" s="263">
        <f t="shared" si="35"/>
        <v>330882.86997801391</v>
      </c>
      <c r="J102" s="263">
        <f t="shared" si="35"/>
        <v>346432.92737757426</v>
      </c>
      <c r="K102" s="263">
        <f t="shared" si="35"/>
        <v>362293.98592512577</v>
      </c>
      <c r="L102" s="263">
        <f t="shared" si="35"/>
        <v>378472.26564362831</v>
      </c>
    </row>
    <row r="103" spans="2:14" x14ac:dyDescent="0.2">
      <c r="B103" s="250" t="s">
        <v>50</v>
      </c>
      <c r="C103" s="263">
        <f>-C102*25%</f>
        <v>-60945.074527027027</v>
      </c>
      <c r="D103" s="263">
        <f t="shared" ref="D103:L103" si="36">-D102*25%</f>
        <v>-64397.076017567568</v>
      </c>
      <c r="E103" s="263">
        <f t="shared" si="36"/>
        <v>-67918.117537918908</v>
      </c>
      <c r="F103" s="263">
        <f t="shared" si="36"/>
        <v>-71509.579888677283</v>
      </c>
      <c r="G103" s="263">
        <f t="shared" si="36"/>
        <v>-75172.871486450837</v>
      </c>
      <c r="H103" s="263">
        <f t="shared" si="36"/>
        <v>-78909.428916179866</v>
      </c>
      <c r="I103" s="263">
        <f t="shared" si="36"/>
        <v>-82720.717494503479</v>
      </c>
      <c r="J103" s="263">
        <f t="shared" si="36"/>
        <v>-86608.231844393566</v>
      </c>
      <c r="K103" s="263">
        <f t="shared" si="36"/>
        <v>-90573.496481281443</v>
      </c>
      <c r="L103" s="263">
        <f t="shared" si="36"/>
        <v>-94618.066410907079</v>
      </c>
    </row>
    <row r="104" spans="2:14" x14ac:dyDescent="0.2">
      <c r="B104" s="250" t="s">
        <v>51</v>
      </c>
      <c r="C104" s="263">
        <f>SUM(C102:C103)</f>
        <v>182835.22358108108</v>
      </c>
      <c r="D104" s="263">
        <f t="shared" ref="D104:L104" si="37">SUM(D102:D103)</f>
        <v>193191.2280527027</v>
      </c>
      <c r="E104" s="263">
        <f t="shared" si="37"/>
        <v>203754.35261375672</v>
      </c>
      <c r="F104" s="263">
        <f t="shared" si="37"/>
        <v>214528.73966603185</v>
      </c>
      <c r="G104" s="263">
        <f t="shared" si="37"/>
        <v>225518.61445935251</v>
      </c>
      <c r="H104" s="263">
        <f t="shared" si="37"/>
        <v>236728.2867485396</v>
      </c>
      <c r="I104" s="263">
        <f t="shared" si="37"/>
        <v>248162.15248351044</v>
      </c>
      <c r="J104" s="263">
        <f t="shared" si="37"/>
        <v>259824.6955331807</v>
      </c>
      <c r="K104" s="263">
        <f t="shared" si="37"/>
        <v>271720.4894438443</v>
      </c>
      <c r="L104" s="263">
        <f t="shared" si="37"/>
        <v>283854.19923272124</v>
      </c>
      <c r="N104" s="263"/>
    </row>
    <row r="105" spans="2:14" x14ac:dyDescent="0.2">
      <c r="B105" s="250" t="s">
        <v>176</v>
      </c>
      <c r="C105" s="263">
        <f>-C101</f>
        <v>446620</v>
      </c>
      <c r="D105" s="263">
        <f t="shared" ref="D105:L105" si="38">-D101</f>
        <v>446620</v>
      </c>
      <c r="E105" s="263">
        <f t="shared" si="38"/>
        <v>446620</v>
      </c>
      <c r="F105" s="263">
        <f t="shared" si="38"/>
        <v>446620</v>
      </c>
      <c r="G105" s="263">
        <f t="shared" si="38"/>
        <v>446620</v>
      </c>
      <c r="H105" s="263">
        <f t="shared" si="38"/>
        <v>446620</v>
      </c>
      <c r="I105" s="263">
        <f t="shared" si="38"/>
        <v>446620</v>
      </c>
      <c r="J105" s="263">
        <f t="shared" si="38"/>
        <v>446620</v>
      </c>
      <c r="K105" s="263">
        <f t="shared" si="38"/>
        <v>446620</v>
      </c>
      <c r="L105" s="263">
        <f t="shared" si="38"/>
        <v>446620</v>
      </c>
    </row>
    <row r="106" spans="2:14" x14ac:dyDescent="0.2">
      <c r="B106" s="250" t="s">
        <v>52</v>
      </c>
      <c r="C106" s="263">
        <f t="shared" ref="C106:L106" si="39">C104+C105</f>
        <v>629455.22358108102</v>
      </c>
      <c r="D106" s="263">
        <f t="shared" si="39"/>
        <v>639811.22805270273</v>
      </c>
      <c r="E106" s="263">
        <f t="shared" si="39"/>
        <v>650374.35261375667</v>
      </c>
      <c r="F106" s="263">
        <f t="shared" si="39"/>
        <v>661148.73966603191</v>
      </c>
      <c r="G106" s="263">
        <f t="shared" si="39"/>
        <v>672138.61445935257</v>
      </c>
      <c r="H106" s="263">
        <f t="shared" si="39"/>
        <v>683348.28674853966</v>
      </c>
      <c r="I106" s="263">
        <f t="shared" si="39"/>
        <v>694782.15248351044</v>
      </c>
      <c r="J106" s="263">
        <f t="shared" si="39"/>
        <v>706444.69553318073</v>
      </c>
      <c r="K106" s="263">
        <f t="shared" si="39"/>
        <v>718340.4894438443</v>
      </c>
      <c r="L106" s="263">
        <f t="shared" si="39"/>
        <v>730474.19923272124</v>
      </c>
    </row>
    <row r="107" spans="2:14" x14ac:dyDescent="0.2">
      <c r="B107" s="250" t="s">
        <v>108</v>
      </c>
      <c r="C107" s="263">
        <f>NPV(C108,C106:L106)+((L106*(1+I108)/(C108-I108))/(1+C108)^L99)</f>
        <v>9388376.4848311394</v>
      </c>
    </row>
    <row r="108" spans="2:14" x14ac:dyDescent="0.2">
      <c r="B108" s="266" t="s">
        <v>53</v>
      </c>
      <c r="C108" s="257">
        <v>0.08</v>
      </c>
      <c r="D108" s="266" t="s">
        <v>54</v>
      </c>
      <c r="E108" s="257">
        <v>0.02</v>
      </c>
      <c r="G108" s="266" t="s">
        <v>55</v>
      </c>
      <c r="I108" s="257">
        <v>0.01</v>
      </c>
    </row>
    <row r="110" spans="2:14" x14ac:dyDescent="0.2">
      <c r="C110" s="263">
        <f>C106</f>
        <v>629455.22358108102</v>
      </c>
      <c r="D110" s="263">
        <f>D106</f>
        <v>639811.22805270273</v>
      </c>
      <c r="E110" s="263">
        <f>E106</f>
        <v>650374.35261375667</v>
      </c>
      <c r="F110" s="263">
        <f>F106</f>
        <v>661148.73966603191</v>
      </c>
      <c r="G110" s="263">
        <f t="shared" ref="G110:L110" si="40">G106</f>
        <v>672138.61445935257</v>
      </c>
      <c r="H110" s="263">
        <f t="shared" si="40"/>
        <v>683348.28674853966</v>
      </c>
      <c r="I110" s="263">
        <f t="shared" si="40"/>
        <v>694782.15248351044</v>
      </c>
      <c r="J110" s="263">
        <f t="shared" si="40"/>
        <v>706444.69553318073</v>
      </c>
      <c r="K110" s="263">
        <f t="shared" si="40"/>
        <v>718340.4894438443</v>
      </c>
      <c r="L110" s="263">
        <f t="shared" si="40"/>
        <v>730474.19923272124</v>
      </c>
    </row>
    <row r="111" spans="2:14" x14ac:dyDescent="0.2">
      <c r="L111" s="263">
        <f>L106*(1+I108)/(C108-I108)</f>
        <v>10539699.160357835</v>
      </c>
    </row>
    <row r="112" spans="2:14" x14ac:dyDescent="0.2">
      <c r="B112" s="263">
        <f>-I45</f>
        <v>-8932400</v>
      </c>
      <c r="C112" s="263">
        <f>C106</f>
        <v>629455.22358108102</v>
      </c>
      <c r="D112" s="263">
        <f t="shared" ref="D112:K112" si="41">D106</f>
        <v>639811.22805270273</v>
      </c>
      <c r="E112" s="263">
        <f t="shared" si="41"/>
        <v>650374.35261375667</v>
      </c>
      <c r="F112" s="263">
        <f t="shared" si="41"/>
        <v>661148.73966603191</v>
      </c>
      <c r="G112" s="263">
        <f t="shared" si="41"/>
        <v>672138.61445935257</v>
      </c>
      <c r="H112" s="263">
        <f t="shared" si="41"/>
        <v>683348.28674853966</v>
      </c>
      <c r="I112" s="263">
        <f t="shared" si="41"/>
        <v>694782.15248351044</v>
      </c>
      <c r="J112" s="263">
        <f t="shared" si="41"/>
        <v>706444.69553318073</v>
      </c>
      <c r="K112" s="263">
        <f t="shared" si="41"/>
        <v>718340.4894438443</v>
      </c>
      <c r="L112" s="263">
        <f>L110+L111</f>
        <v>11270173.359590556</v>
      </c>
    </row>
    <row r="113" spans="2:3" x14ac:dyDescent="0.2">
      <c r="B113" s="273" t="s">
        <v>110</v>
      </c>
      <c r="C113" s="255">
        <f>IRR(B112:L112)</f>
        <v>8.7127767319276961E-2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150" zoomScaleNormal="150" zoomScalePageLayoutView="150" workbookViewId="0">
      <selection activeCell="A6" sqref="A6"/>
    </sheetView>
  </sheetViews>
  <sheetFormatPr baseColWidth="10" defaultRowHeight="13" x14ac:dyDescent="0.15"/>
  <cols>
    <col min="1" max="1" width="19" customWidth="1"/>
    <col min="2" max="6" width="9.1640625" customWidth="1"/>
  </cols>
  <sheetData>
    <row r="1" spans="1:6" x14ac:dyDescent="0.15">
      <c r="B1" s="661" t="s">
        <v>376</v>
      </c>
      <c r="C1" s="661" t="s">
        <v>377</v>
      </c>
      <c r="D1" s="661" t="s">
        <v>378</v>
      </c>
      <c r="E1" s="661" t="s">
        <v>379</v>
      </c>
      <c r="F1" s="661" t="s">
        <v>380</v>
      </c>
    </row>
    <row r="2" spans="1:6" ht="15" x14ac:dyDescent="0.2">
      <c r="A2" s="663" t="s">
        <v>516</v>
      </c>
      <c r="B2" s="662">
        <v>8.6285806049033298E-2</v>
      </c>
      <c r="C2" s="662">
        <v>0.13099550528748516</v>
      </c>
      <c r="D2" s="662">
        <v>0.19106291325397742</v>
      </c>
      <c r="E2" s="662">
        <v>0.22663265069866431</v>
      </c>
      <c r="F2" s="662">
        <v>0.24291083212518938</v>
      </c>
    </row>
    <row r="3" spans="1:6" ht="15" x14ac:dyDescent="0.2">
      <c r="A3" s="663" t="s">
        <v>517</v>
      </c>
      <c r="B3" s="662">
        <v>4.0499384314046476E-2</v>
      </c>
      <c r="C3" s="662">
        <v>6.6018824582957186E-2</v>
      </c>
      <c r="D3" s="662">
        <v>0.10329575456803439</v>
      </c>
      <c r="E3" s="662">
        <v>0.12373676817318192</v>
      </c>
      <c r="F3" s="662">
        <v>0.12822594927594475</v>
      </c>
    </row>
    <row r="4" spans="1:6" ht="15" x14ac:dyDescent="0.2">
      <c r="A4" s="663" t="s">
        <v>518</v>
      </c>
      <c r="B4" s="662">
        <v>4.3125952416747805E-2</v>
      </c>
      <c r="C4" s="662">
        <v>7.5448928766840923E-2</v>
      </c>
      <c r="D4" s="662">
        <v>0.13200286774382261</v>
      </c>
      <c r="E4" s="662">
        <v>0.18091752803816646</v>
      </c>
      <c r="F4" s="662">
        <v>0.21554870569432905</v>
      </c>
    </row>
    <row r="5" spans="1:6" ht="15" x14ac:dyDescent="0.2">
      <c r="A5" s="663" t="s">
        <v>69</v>
      </c>
      <c r="B5" s="662">
        <v>4.0499384314046476E-2</v>
      </c>
      <c r="C5" s="662">
        <v>6.6018824582957186E-2</v>
      </c>
      <c r="D5" s="662">
        <v>0.10329575456803439</v>
      </c>
      <c r="E5" s="662">
        <v>0.12373676817318192</v>
      </c>
      <c r="F5" s="662">
        <v>0.12822594927594475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0"/>
  <sheetViews>
    <sheetView topLeftCell="A4" zoomScale="150" zoomScaleNormal="150" zoomScalePageLayoutView="150" workbookViewId="0">
      <selection activeCell="E34" sqref="E34"/>
    </sheetView>
  </sheetViews>
  <sheetFormatPr baseColWidth="10" defaultColWidth="10.5" defaultRowHeight="16" x14ac:dyDescent="0.2"/>
  <cols>
    <col min="1" max="1" width="10.5" style="7"/>
    <col min="2" max="6" width="10.83203125" style="7" customWidth="1"/>
    <col min="7" max="7" width="16.5" style="7" customWidth="1"/>
    <col min="8" max="8" width="13.1640625" style="7" customWidth="1"/>
    <col min="9" max="12" width="10.5" style="7"/>
    <col min="13" max="13" width="16.5" style="7" customWidth="1"/>
    <col min="14" max="16384" width="10.5" style="7"/>
  </cols>
  <sheetData>
    <row r="3" spans="1:16" ht="17" thickBot="1" x14ac:dyDescent="0.25"/>
    <row r="4" spans="1:16" ht="17" thickBot="1" x14ac:dyDescent="0.25">
      <c r="A4" s="60" t="s">
        <v>385</v>
      </c>
      <c r="B4" s="61" t="s">
        <v>386</v>
      </c>
      <c r="C4" s="62" t="s">
        <v>387</v>
      </c>
      <c r="D4" s="62" t="s">
        <v>388</v>
      </c>
      <c r="E4" s="62" t="s">
        <v>389</v>
      </c>
      <c r="F4" s="62" t="s">
        <v>390</v>
      </c>
      <c r="G4" s="62" t="s">
        <v>391</v>
      </c>
      <c r="H4" s="62" t="s">
        <v>392</v>
      </c>
      <c r="I4" s="62" t="s">
        <v>393</v>
      </c>
      <c r="J4" s="62" t="s">
        <v>394</v>
      </c>
    </row>
    <row r="5" spans="1:16" x14ac:dyDescent="0.2">
      <c r="B5" s="48" t="s">
        <v>395</v>
      </c>
      <c r="C5" s="63">
        <v>41213</v>
      </c>
      <c r="D5" s="63">
        <v>42704</v>
      </c>
      <c r="E5" s="64">
        <v>37937.42</v>
      </c>
      <c r="F5" s="65">
        <v>1562.69</v>
      </c>
      <c r="G5" s="64">
        <v>1890.85</v>
      </c>
      <c r="H5" s="66">
        <v>124939</v>
      </c>
      <c r="I5" s="67">
        <v>12852</v>
      </c>
      <c r="J5" s="68">
        <f>F5/I5</f>
        <v>0.12159119203236851</v>
      </c>
    </row>
    <row r="6" spans="1:16" x14ac:dyDescent="0.2">
      <c r="B6" s="48" t="s">
        <v>395</v>
      </c>
      <c r="C6" s="63">
        <v>41243</v>
      </c>
      <c r="D6" s="63">
        <v>42735</v>
      </c>
      <c r="E6" s="64">
        <v>39767.839999999997</v>
      </c>
      <c r="F6" s="65">
        <v>1563.94</v>
      </c>
      <c r="G6" s="64">
        <v>1892.37</v>
      </c>
      <c r="H6" s="66">
        <v>128230</v>
      </c>
      <c r="I6" s="67">
        <v>11414</v>
      </c>
      <c r="J6" s="68">
        <f t="shared" ref="J6" si="0">F6/I6</f>
        <v>0.13701944979849309</v>
      </c>
    </row>
    <row r="10" spans="1:16" ht="17" thickBot="1" x14ac:dyDescent="0.25">
      <c r="B10" s="667" t="s">
        <v>396</v>
      </c>
      <c r="C10" s="668"/>
      <c r="D10" s="668"/>
      <c r="E10" s="668"/>
      <c r="F10" s="668"/>
      <c r="G10" s="668"/>
      <c r="H10" s="669"/>
      <c r="I10" s="670" t="s">
        <v>397</v>
      </c>
      <c r="J10" s="670"/>
      <c r="K10" s="670"/>
      <c r="L10" s="670"/>
      <c r="M10" s="667" t="s">
        <v>398</v>
      </c>
      <c r="N10" s="668"/>
      <c r="O10" s="668"/>
      <c r="P10" s="669"/>
    </row>
    <row r="11" spans="1:16" ht="17" thickBot="1" x14ac:dyDescent="0.25">
      <c r="A11" s="69" t="s">
        <v>399</v>
      </c>
      <c r="B11" s="70" t="s">
        <v>386</v>
      </c>
      <c r="C11" s="249" t="s">
        <v>387</v>
      </c>
      <c r="D11" s="249" t="s">
        <v>388</v>
      </c>
      <c r="E11" s="249" t="s">
        <v>400</v>
      </c>
      <c r="F11" s="249" t="s">
        <v>401</v>
      </c>
      <c r="G11" s="249" t="s">
        <v>389</v>
      </c>
      <c r="H11" s="249" t="s">
        <v>402</v>
      </c>
      <c r="I11" s="249" t="s">
        <v>387</v>
      </c>
      <c r="J11" s="249" t="s">
        <v>388</v>
      </c>
      <c r="K11" s="249" t="s">
        <v>400</v>
      </c>
      <c r="L11" s="249" t="s">
        <v>401</v>
      </c>
      <c r="M11" s="249" t="s">
        <v>263</v>
      </c>
      <c r="N11" s="249" t="s">
        <v>393</v>
      </c>
      <c r="O11" s="249" t="s">
        <v>394</v>
      </c>
      <c r="P11" s="71" t="s">
        <v>264</v>
      </c>
    </row>
    <row r="12" spans="1:16" x14ac:dyDescent="0.2">
      <c r="B12" s="48" t="s">
        <v>265</v>
      </c>
      <c r="C12" s="63">
        <v>41213</v>
      </c>
      <c r="D12" s="63">
        <v>42704</v>
      </c>
      <c r="E12" s="72">
        <v>6906.76</v>
      </c>
      <c r="F12" s="73">
        <v>8357.18</v>
      </c>
      <c r="G12" s="74">
        <v>64963</v>
      </c>
      <c r="H12" s="48" t="s">
        <v>266</v>
      </c>
      <c r="I12" s="75">
        <v>42675</v>
      </c>
      <c r="J12" s="75">
        <v>42704</v>
      </c>
      <c r="K12" s="76">
        <v>703.74</v>
      </c>
      <c r="L12" s="77">
        <v>851.53</v>
      </c>
      <c r="M12" s="78">
        <f t="shared" ref="M12:M13" si="1">E12+K12</f>
        <v>7610.5</v>
      </c>
      <c r="N12" s="79">
        <v>12852</v>
      </c>
      <c r="O12" s="80">
        <f>M12/N12</f>
        <v>0.59216464363523191</v>
      </c>
      <c r="P12" s="81">
        <f>G12/N12</f>
        <v>5.0546996576408345</v>
      </c>
    </row>
    <row r="13" spans="1:16" x14ac:dyDescent="0.2">
      <c r="B13" s="48" t="s">
        <v>265</v>
      </c>
      <c r="C13" s="63">
        <v>41243</v>
      </c>
      <c r="D13" s="63">
        <v>43100</v>
      </c>
      <c r="E13" s="72">
        <v>8059.64</v>
      </c>
      <c r="F13" s="73">
        <v>9752.16</v>
      </c>
      <c r="G13" s="74">
        <v>71681</v>
      </c>
      <c r="H13" s="48" t="s">
        <v>267</v>
      </c>
      <c r="I13" s="75">
        <v>43070</v>
      </c>
      <c r="J13" s="75">
        <v>43100</v>
      </c>
      <c r="K13" s="76">
        <v>516.30999999999995</v>
      </c>
      <c r="L13" s="77">
        <v>624.74</v>
      </c>
      <c r="M13" s="78">
        <f t="shared" si="1"/>
        <v>8575.9500000000007</v>
      </c>
      <c r="N13" s="79">
        <v>11414</v>
      </c>
      <c r="O13" s="80">
        <f>M13/N13</f>
        <v>0.75135360084107239</v>
      </c>
      <c r="P13" s="81">
        <f t="shared" ref="P13" si="2">G13/N13</f>
        <v>6.280094620641318</v>
      </c>
    </row>
    <row r="17" spans="1:12" ht="17" thickBot="1" x14ac:dyDescent="0.25">
      <c r="B17" s="671" t="s">
        <v>268</v>
      </c>
      <c r="C17" s="672"/>
      <c r="D17" s="672"/>
      <c r="E17" s="672"/>
      <c r="F17" s="672"/>
      <c r="G17" s="672"/>
      <c r="H17" s="672"/>
      <c r="I17" s="672"/>
      <c r="J17" s="673"/>
    </row>
    <row r="18" spans="1:12" ht="17" thickBot="1" x14ac:dyDescent="0.25">
      <c r="A18" s="82" t="s">
        <v>269</v>
      </c>
      <c r="B18" s="83" t="s">
        <v>386</v>
      </c>
      <c r="C18" s="83" t="s">
        <v>387</v>
      </c>
      <c r="D18" s="83" t="s">
        <v>270</v>
      </c>
      <c r="E18" s="83" t="s">
        <v>271</v>
      </c>
      <c r="F18" s="83" t="s">
        <v>272</v>
      </c>
      <c r="G18" s="83" t="s">
        <v>401</v>
      </c>
      <c r="H18" s="83" t="s">
        <v>402</v>
      </c>
      <c r="I18" s="84" t="s">
        <v>393</v>
      </c>
      <c r="J18" s="83" t="s">
        <v>394</v>
      </c>
    </row>
    <row r="19" spans="1:12" x14ac:dyDescent="0.2">
      <c r="B19" s="48" t="s">
        <v>273</v>
      </c>
      <c r="C19" s="75">
        <v>42620</v>
      </c>
      <c r="D19" s="75">
        <v>42681</v>
      </c>
      <c r="E19" s="74">
        <v>3730</v>
      </c>
      <c r="F19" s="85">
        <v>10154.59</v>
      </c>
      <c r="G19" s="78">
        <v>11082.21</v>
      </c>
      <c r="H19" s="78" t="s">
        <v>274</v>
      </c>
      <c r="I19" s="86">
        <v>33254</v>
      </c>
      <c r="J19" s="87">
        <f>F19/I19</f>
        <v>0.30536446743248935</v>
      </c>
    </row>
    <row r="20" spans="1:12" x14ac:dyDescent="0.2">
      <c r="B20" s="48" t="s">
        <v>273</v>
      </c>
      <c r="C20" s="75">
        <v>42681</v>
      </c>
      <c r="D20" s="75">
        <v>42740</v>
      </c>
      <c r="E20" s="74">
        <v>2697</v>
      </c>
      <c r="F20" s="85">
        <v>7529.14</v>
      </c>
      <c r="G20" s="78">
        <v>8217.82</v>
      </c>
      <c r="H20" s="78" t="s">
        <v>275</v>
      </c>
      <c r="I20" s="86">
        <v>24266</v>
      </c>
      <c r="J20" s="87">
        <f t="shared" ref="J20" si="3">F20/I20</f>
        <v>0.31027528228797496</v>
      </c>
    </row>
    <row r="24" spans="1:12" x14ac:dyDescent="0.2">
      <c r="A24" s="472" t="s">
        <v>276</v>
      </c>
      <c r="B24" s="91" t="s">
        <v>376</v>
      </c>
      <c r="C24" s="91" t="s">
        <v>377</v>
      </c>
      <c r="D24" s="91" t="s">
        <v>378</v>
      </c>
      <c r="E24" s="91" t="s">
        <v>379</v>
      </c>
      <c r="F24" s="91" t="s">
        <v>380</v>
      </c>
      <c r="L24" s="88">
        <f>J6+O13+J20</f>
        <v>1.1986483329275406</v>
      </c>
    </row>
    <row r="25" spans="1:12" x14ac:dyDescent="0.2">
      <c r="A25" s="44" t="s">
        <v>277</v>
      </c>
      <c r="B25" s="159">
        <f>('Previsión de Ventas'!$I$7+'Previsión de Ventas'!$I$8)*'Previsión de Ventas'!D73*CONSUMOS!$J$6</f>
        <v>2830.8931971336378</v>
      </c>
      <c r="C25" s="159">
        <f>('Previsión de Ventas'!$I$7+'Previsión de Ventas'!$I$8)*'Previsión de Ventas'!E73*CONSUMOS!$J$6</f>
        <v>3186.7605403360644</v>
      </c>
      <c r="D25" s="159">
        <f>('Previsión de Ventas'!$I$7+'Previsión de Ventas'!$I$8)*'Previsión de Ventas'!F73*CONSUMOS!$J$6</f>
        <v>3632.6835244149188</v>
      </c>
      <c r="E25" s="159">
        <f>('Previsión de Ventas'!$I$7+'Previsión de Ventas'!$I$8)*'Previsión de Ventas'!G73*CONSUMOS!$J$6</f>
        <v>4138.2867799760161</v>
      </c>
      <c r="F25" s="159">
        <f>('Previsión de Ventas'!$I$7+'Previsión de Ventas'!$I$8)*'Previsión de Ventas'!H73*CONSUMOS!$J$6</f>
        <v>4565.914022232766</v>
      </c>
    </row>
    <row r="26" spans="1:12" x14ac:dyDescent="0.2">
      <c r="A26" s="44" t="s">
        <v>278</v>
      </c>
      <c r="B26" s="159">
        <f>('Previsión de Ventas'!$I$7+'Previsión de Ventas'!$I$8)*'Previsión de Ventas'!D73*CONSUMOS!$O$13</f>
        <v>15523.356723376995</v>
      </c>
      <c r="C26" s="159">
        <f>('Previsión de Ventas'!$I$7+'Previsión de Ventas'!$I$8)*'Previsión de Ventas'!E73*CONSUMOS!$O$13</f>
        <v>17474.774643461431</v>
      </c>
      <c r="D26" s="159">
        <f>('Previsión de Ventas'!$I$7+'Previsión de Ventas'!$I$8)*'Previsión de Ventas'!F73*CONSUMOS!$O$13</f>
        <v>19920.01756538366</v>
      </c>
      <c r="E26" s="159">
        <f>('Previsión de Ventas'!$I$7+'Previsión de Ventas'!$I$8)*'Previsión de Ventas'!G73*CONSUMOS!$O$13</f>
        <v>22692.520499977818</v>
      </c>
      <c r="F26" s="159">
        <f>('Previsión de Ventas'!$I$7+'Previsión de Ventas'!$I$8)*'Previsión de Ventas'!H73*CONSUMOS!$O$13</f>
        <v>25037.437727129611</v>
      </c>
    </row>
    <row r="27" spans="1:12" x14ac:dyDescent="0.2">
      <c r="A27" s="44" t="s">
        <v>279</v>
      </c>
      <c r="B27" s="159">
        <f>('Previsión de Ventas'!$I$7+'Previsión de Ventas'!$I$8)*'Previsión de Ventas'!D73*CONSUMOS!$J$20</f>
        <v>6410.4489337790883</v>
      </c>
      <c r="C27" s="159">
        <f>('Previsión de Ventas'!$I$7+'Previsión de Ventas'!$I$8)*'Previsión de Ventas'!E73*CONSUMOS!$J$20</f>
        <v>7216.2968665476737</v>
      </c>
      <c r="D27" s="159">
        <f>('Previsión de Ventas'!$I$7+'Previsión de Ventas'!$I$8)*'Previsión de Ventas'!F73*CONSUMOS!$J$20</f>
        <v>8226.0723397906295</v>
      </c>
      <c r="E27" s="159">
        <f>('Previsión de Ventas'!$I$7+'Previsión de Ventas'!$I$8)*'Previsión de Ventas'!G73*CONSUMOS!$J$20</f>
        <v>9370.9914959808466</v>
      </c>
      <c r="F27" s="159">
        <f>('Previsión de Ventas'!$I$7+'Previsión de Ventas'!$I$8)*'Previsión de Ventas'!H73*CONSUMOS!$J$20</f>
        <v>10339.336964455355</v>
      </c>
    </row>
    <row r="28" spans="1:12" x14ac:dyDescent="0.2">
      <c r="A28" s="89" t="s">
        <v>280</v>
      </c>
      <c r="B28" s="57">
        <f>SUM(B25:B27)</f>
        <v>24764.69885428972</v>
      </c>
      <c r="C28" s="57">
        <f t="shared" ref="C28:F28" si="4">SUM(C25:C27)</f>
        <v>27877.832050345169</v>
      </c>
      <c r="D28" s="57">
        <f t="shared" si="4"/>
        <v>31778.773429589208</v>
      </c>
      <c r="E28" s="57">
        <f>SUM(E25:E27)</f>
        <v>36201.79877593468</v>
      </c>
      <c r="F28" s="57">
        <f t="shared" si="4"/>
        <v>39942.688713817734</v>
      </c>
    </row>
    <row r="29" spans="1:12" x14ac:dyDescent="0.2">
      <c r="H29" s="90" t="s">
        <v>461</v>
      </c>
    </row>
    <row r="30" spans="1:12" x14ac:dyDescent="0.2">
      <c r="C30" s="245"/>
    </row>
  </sheetData>
  <mergeCells count="4">
    <mergeCell ref="B10:H10"/>
    <mergeCell ref="I10:L10"/>
    <mergeCell ref="M10:P10"/>
    <mergeCell ref="B17:J17"/>
  </mergeCells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topLeftCell="A22" zoomScale="150" zoomScaleNormal="150" zoomScalePageLayoutView="150" workbookViewId="0">
      <selection activeCell="B50" sqref="B50"/>
    </sheetView>
  </sheetViews>
  <sheetFormatPr baseColWidth="10" defaultColWidth="12.83203125" defaultRowHeight="16" x14ac:dyDescent="0.2"/>
  <cols>
    <col min="1" max="1" width="31.1640625" style="7" customWidth="1"/>
    <col min="2" max="4" width="14.83203125" style="7" customWidth="1"/>
    <col min="5" max="5" width="23.5" style="7" bestFit="1" customWidth="1"/>
    <col min="6" max="10" width="24.1640625" style="7" customWidth="1"/>
    <col min="11" max="11" width="37.83203125" style="7" bestFit="1" customWidth="1"/>
    <col min="12" max="12" width="26.1640625" style="7" bestFit="1" customWidth="1"/>
    <col min="13" max="13" width="17.5" style="7" bestFit="1" customWidth="1"/>
    <col min="14" max="14" width="14.5" style="7" customWidth="1"/>
    <col min="15" max="15" width="12.5" style="7" customWidth="1"/>
    <col min="16" max="47" width="14.83203125" style="7" customWidth="1"/>
    <col min="48" max="16384" width="12.83203125" style="7"/>
  </cols>
  <sheetData>
    <row r="1" spans="1:19" x14ac:dyDescent="0.2">
      <c r="A1" s="393" t="s">
        <v>281</v>
      </c>
      <c r="B1" s="394" t="s">
        <v>282</v>
      </c>
      <c r="C1" s="394" t="s">
        <v>283</v>
      </c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</row>
    <row r="2" spans="1:19" x14ac:dyDescent="0.2">
      <c r="A2" s="395" t="s">
        <v>417</v>
      </c>
      <c r="B2" s="159">
        <v>95</v>
      </c>
      <c r="C2" s="159">
        <f>B2*12</f>
        <v>1140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</row>
    <row r="3" spans="1:19" ht="17" thickBot="1" x14ac:dyDescent="0.25">
      <c r="E3" s="111"/>
      <c r="F3" s="111"/>
      <c r="G3" s="111"/>
      <c r="L3" s="111"/>
      <c r="M3" s="111"/>
      <c r="N3" s="111"/>
      <c r="O3" s="111"/>
      <c r="P3" s="111"/>
      <c r="Q3" s="111"/>
      <c r="R3" s="111"/>
      <c r="S3" s="111"/>
    </row>
    <row r="4" spans="1:19" x14ac:dyDescent="0.2">
      <c r="A4" s="162" t="s">
        <v>284</v>
      </c>
      <c r="B4" s="113" t="s">
        <v>285</v>
      </c>
      <c r="C4" s="113"/>
      <c r="D4" s="113"/>
      <c r="E4" s="113"/>
      <c r="F4" s="113"/>
      <c r="G4" s="111"/>
      <c r="L4" s="111"/>
      <c r="M4" s="111"/>
      <c r="N4" s="111"/>
      <c r="O4" s="111"/>
      <c r="P4" s="111"/>
      <c r="Q4" s="111"/>
      <c r="R4" s="111"/>
      <c r="S4" s="111"/>
    </row>
    <row r="5" spans="1:19" ht="17" thickBot="1" x14ac:dyDescent="0.25">
      <c r="A5" s="115"/>
      <c r="B5" s="111"/>
      <c r="C5" s="111"/>
      <c r="D5" s="111"/>
      <c r="E5" s="111"/>
      <c r="F5" s="111"/>
      <c r="G5" s="111"/>
      <c r="L5" s="163"/>
      <c r="M5" s="163"/>
      <c r="N5" s="163"/>
      <c r="O5" s="163"/>
      <c r="P5" s="163"/>
      <c r="Q5" s="163"/>
      <c r="R5" s="163"/>
      <c r="S5" s="163"/>
    </row>
    <row r="6" spans="1:19" ht="32" customHeight="1" thickBot="1" x14ac:dyDescent="0.25">
      <c r="A6" s="164" t="s">
        <v>286</v>
      </c>
      <c r="B6" s="165" t="s">
        <v>287</v>
      </c>
      <c r="C6" s="166" t="s">
        <v>288</v>
      </c>
      <c r="D6" s="167" t="s">
        <v>289</v>
      </c>
      <c r="E6" s="167" t="s">
        <v>290</v>
      </c>
      <c r="F6" s="168" t="s">
        <v>291</v>
      </c>
      <c r="G6" s="169" t="s">
        <v>292</v>
      </c>
      <c r="H6" s="169" t="s">
        <v>293</v>
      </c>
      <c r="I6" s="166" t="s">
        <v>294</v>
      </c>
      <c r="J6" s="166" t="s">
        <v>295</v>
      </c>
      <c r="L6" s="163"/>
      <c r="M6" s="163"/>
      <c r="N6" s="163"/>
      <c r="O6" s="163"/>
      <c r="P6" s="163"/>
      <c r="Q6" s="163"/>
      <c r="R6" s="163"/>
      <c r="S6" s="163"/>
    </row>
    <row r="7" spans="1:19" x14ac:dyDescent="0.2">
      <c r="A7" s="170" t="s">
        <v>296</v>
      </c>
      <c r="B7" s="171">
        <v>0.15</v>
      </c>
      <c r="C7" s="172">
        <v>0.6</v>
      </c>
      <c r="D7" s="173">
        <f>('Previsión de Ventas'!$C$22+'Previsión de Ventas'!$C$31)*C7*B7</f>
        <v>117913.05</v>
      </c>
      <c r="E7" s="173">
        <f>('Previsión de Ventas'!$Q$22+'Previsión de Ventas'!$Q$31)*$B$7*$C$7</f>
        <v>135103.59764999998</v>
      </c>
      <c r="F7" s="173">
        <f>('Previsión de Ventas'!$AE$22+'Previsión de Ventas'!$AE$31)*$B$7*I7</f>
        <v>157440.64370264998</v>
      </c>
      <c r="G7" s="173">
        <f>('Previsión de Ventas'!$AE$22+'Previsión de Ventas'!$AE$31)*$B$7*I7</f>
        <v>157440.64370264998</v>
      </c>
      <c r="H7" s="173">
        <f>('Previsión de Ventas'!$BG$22+'Previsión de Ventas'!$BG$31)*$B$7*J7</f>
        <v>191759.59848547829</v>
      </c>
      <c r="I7" s="172">
        <v>0.6</v>
      </c>
      <c r="J7" s="172">
        <v>0.57999999999999996</v>
      </c>
      <c r="L7" s="111"/>
      <c r="M7" s="111"/>
      <c r="N7" s="111"/>
      <c r="O7" s="111"/>
      <c r="P7" s="111"/>
      <c r="Q7" s="111"/>
      <c r="R7" s="111"/>
      <c r="S7" s="111"/>
    </row>
    <row r="8" spans="1:19" x14ac:dyDescent="0.2">
      <c r="A8" s="174" t="s">
        <v>297</v>
      </c>
      <c r="B8" s="175">
        <v>0.1</v>
      </c>
      <c r="C8" s="176">
        <v>0.1</v>
      </c>
      <c r="D8" s="173">
        <f>('Previsión de Ventas'!$C$22+'Previsión de Ventas'!$C$31)*C8*B8</f>
        <v>13101.45</v>
      </c>
      <c r="E8" s="173">
        <f>('Previsión de Ventas'!$Q$22+'Previsión de Ventas'!$Q$31)*$B$8*$C$8</f>
        <v>15011.510850000001</v>
      </c>
      <c r="F8" s="173">
        <f>('Previsión de Ventas'!AE22+'Previsión de Ventas'!AE31)*GASTOS!B8*GASTOS!I8</f>
        <v>0</v>
      </c>
      <c r="G8" s="173">
        <f>('Previsión de Ventas'!AF22+'Previsión de Ventas'!AF31)*GASTOS!C8*GASTOS!I8</f>
        <v>0</v>
      </c>
      <c r="H8" s="173">
        <f>('Previsión de Ventas'!BG22+'Previsión de Ventas'!BG31)*GASTOS!D8*GASTOS!J8</f>
        <v>0</v>
      </c>
      <c r="I8" s="176">
        <v>0</v>
      </c>
      <c r="J8" s="176">
        <v>0</v>
      </c>
      <c r="L8" s="111"/>
      <c r="M8" s="111"/>
      <c r="N8" s="111"/>
      <c r="O8" s="111"/>
      <c r="P8" s="111"/>
      <c r="Q8" s="111"/>
      <c r="R8" s="111"/>
      <c r="S8" s="111"/>
    </row>
    <row r="9" spans="1:19" x14ac:dyDescent="0.2">
      <c r="A9" s="127" t="s">
        <v>512</v>
      </c>
      <c r="B9" s="177">
        <v>0.22</v>
      </c>
      <c r="C9" s="178">
        <v>0.15</v>
      </c>
      <c r="D9" s="173">
        <f>('Previsión de Ventas'!$C$22+'Previsión de Ventas'!$C$31)*C9*B9</f>
        <v>43234.785000000003</v>
      </c>
      <c r="E9" s="173">
        <f>('Previsión de Ventas'!$Q$22+'Previsión de Ventas'!$Q$31)*$B$9*$C$9</f>
        <v>49537.985804999997</v>
      </c>
      <c r="F9" s="173">
        <f>('Previsión de Ventas'!$AE$22+'Previsión de Ventas'!$AE$31)*$B$9*$I$9</f>
        <v>46182.588819443998</v>
      </c>
      <c r="G9" s="173">
        <f>('Previsión de Ventas'!$AS$22+'Previsión de Ventas'!$AS$31)*$B$9*$I$9</f>
        <v>52486.511174941057</v>
      </c>
      <c r="H9" s="173">
        <f>('Previsión de Ventas'!$BG$22+'Previsión de Ventas'!$BG$31)*$B$9*$J$9</f>
        <v>48490.932950350834</v>
      </c>
      <c r="I9" s="178">
        <v>0.12</v>
      </c>
      <c r="J9" s="178">
        <v>0.1</v>
      </c>
      <c r="L9" s="111"/>
      <c r="M9" s="111"/>
      <c r="N9" s="111"/>
      <c r="O9" s="111"/>
      <c r="P9" s="111"/>
      <c r="Q9" s="111"/>
      <c r="R9" s="111"/>
      <c r="S9" s="111"/>
    </row>
    <row r="10" spans="1:19" x14ac:dyDescent="0.2">
      <c r="A10" s="179" t="s">
        <v>298</v>
      </c>
      <c r="B10" s="133">
        <v>0.12</v>
      </c>
      <c r="C10" s="180">
        <v>0.05</v>
      </c>
      <c r="D10" s="173">
        <f>('Previsión de Ventas'!$C$22+'Previsión de Ventas'!$C$31)*C10*B10</f>
        <v>7860.87</v>
      </c>
      <c r="E10" s="173">
        <f>('Previsión de Ventas'!$Q$22+'Previsión de Ventas'!$Q$31)*$B$10*$C$10</f>
        <v>9006.9065099999989</v>
      </c>
      <c r="F10" s="173">
        <f>('Previsión de Ventas'!$AE$22+'Previsión de Ventas'!$AE$31)*$B$10*$I$10</f>
        <v>8396.8343308079984</v>
      </c>
      <c r="G10" s="173">
        <f>('Previsión de Ventas'!$AS$22+'Previsión de Ventas'!$AS$31)*$B$10*$I$10</f>
        <v>9543.0020318074639</v>
      </c>
      <c r="H10" s="173">
        <f>('Previsión de Ventas'!$BG$22+'Previsión de Ventas'!$BG$31)*$B$10*$J$10</f>
        <v>10579.839916440182</v>
      </c>
      <c r="I10" s="180">
        <v>0.04</v>
      </c>
      <c r="J10" s="180">
        <v>0.04</v>
      </c>
      <c r="L10" s="111"/>
      <c r="M10" s="111"/>
      <c r="N10" s="111"/>
      <c r="O10" s="111"/>
      <c r="P10" s="111"/>
      <c r="Q10" s="111"/>
      <c r="R10" s="111"/>
      <c r="S10" s="111"/>
    </row>
    <row r="11" spans="1:19" x14ac:dyDescent="0.2">
      <c r="A11" s="105" t="s">
        <v>299</v>
      </c>
      <c r="B11" s="180">
        <v>0.22</v>
      </c>
      <c r="C11" s="180">
        <v>0.05</v>
      </c>
      <c r="D11" s="173">
        <f>('Previsión de Ventas'!$C$22+'Previsión de Ventas'!$C$31)*C11*B11</f>
        <v>14411.594999999999</v>
      </c>
      <c r="E11" s="173">
        <f>('Previsión de Ventas'!$Q$22+'Previsión de Ventas'!$Q$31)*$B$11*$C$11</f>
        <v>16512.661935</v>
      </c>
      <c r="F11" s="173">
        <f>('Previsión de Ventas'!$AE$22+'Previsión de Ventas'!$AE$31)*$B$11*$I$11</f>
        <v>15394.196273148</v>
      </c>
      <c r="G11" s="173">
        <f>('Previsión de Ventas'!$AS$22+'Previsión de Ventas'!$AS$31)*$B$11*$C$11</f>
        <v>21869.379656225443</v>
      </c>
      <c r="H11" s="173">
        <f>('Previsión de Ventas'!$BG$22+'Previsión de Ventas'!$BG$31)*$B$11*$J$11</f>
        <v>19396.373180140334</v>
      </c>
      <c r="I11" s="180">
        <v>0.04</v>
      </c>
      <c r="J11" s="180">
        <v>0.04</v>
      </c>
      <c r="L11" s="111"/>
      <c r="M11" s="111"/>
      <c r="N11" s="111"/>
      <c r="O11" s="111"/>
      <c r="P11" s="111"/>
      <c r="Q11" s="111"/>
      <c r="R11" s="111"/>
      <c r="S11" s="111"/>
    </row>
    <row r="12" spans="1:19" ht="17" thickBot="1" x14ac:dyDescent="0.25">
      <c r="A12" s="118" t="s">
        <v>300</v>
      </c>
      <c r="B12" s="181">
        <v>0</v>
      </c>
      <c r="C12" s="182">
        <v>0.05</v>
      </c>
      <c r="D12" s="173">
        <f>('Previsión de Ventas'!$C$22+'Previsión de Ventas'!$C$31)*C12*B12</f>
        <v>0</v>
      </c>
      <c r="E12" s="173">
        <f>('Previsión de Ventas'!$Q$22+'Previsión de Ventas'!$Q$31)*$B$12*$C$12</f>
        <v>0</v>
      </c>
      <c r="F12" s="173">
        <f>('Previsión de Ventas'!$AE$22+'Previsión de Ventas'!$AE$31)*$B$12*$C$12</f>
        <v>0</v>
      </c>
      <c r="G12" s="173">
        <f>('Previsión de Ventas'!$AE$22+'Previsión de Ventas'!$AE$31)*$B$12*$C$12</f>
        <v>0</v>
      </c>
      <c r="H12" s="173">
        <f>('Previsión de Ventas'!$BG$22+'Previsión de Ventas'!$BG$31)*$B$12*$J$12</f>
        <v>0</v>
      </c>
      <c r="I12" s="182">
        <v>0.2</v>
      </c>
      <c r="J12" s="182">
        <v>0.24</v>
      </c>
      <c r="L12" s="111"/>
      <c r="M12" s="111"/>
      <c r="N12" s="111"/>
      <c r="O12" s="111"/>
      <c r="P12" s="111"/>
      <c r="Q12" s="111"/>
      <c r="R12" s="111"/>
      <c r="S12" s="111"/>
    </row>
    <row r="13" spans="1:19" ht="17" thickBot="1" x14ac:dyDescent="0.25">
      <c r="A13" s="183" t="s">
        <v>301</v>
      </c>
      <c r="B13" s="184"/>
      <c r="C13" s="185">
        <f>SUM(C7:C12)</f>
        <v>1</v>
      </c>
      <c r="D13" s="186">
        <f>SUM(D7:D11)</f>
        <v>196521.75</v>
      </c>
      <c r="E13" s="186">
        <f t="shared" ref="E13:H13" si="0">SUM(E7:E11)</f>
        <v>225172.66274999999</v>
      </c>
      <c r="F13" s="186">
        <f t="shared" si="0"/>
        <v>227414.26312604998</v>
      </c>
      <c r="G13" s="186">
        <f t="shared" si="0"/>
        <v>241339.53656562394</v>
      </c>
      <c r="H13" s="186">
        <f t="shared" si="0"/>
        <v>270226.74453240965</v>
      </c>
      <c r="I13" s="185">
        <f>SUM(I7:I12)</f>
        <v>1</v>
      </c>
      <c r="J13" s="185">
        <f>SUM(J7:J12)</f>
        <v>1</v>
      </c>
      <c r="L13" s="111"/>
      <c r="M13" s="111"/>
      <c r="N13" s="111"/>
      <c r="O13" s="111"/>
      <c r="P13" s="111"/>
      <c r="Q13" s="111"/>
      <c r="R13" s="111"/>
      <c r="S13" s="111"/>
    </row>
    <row r="14" spans="1:19" ht="17" thickBot="1" x14ac:dyDescent="0.25">
      <c r="A14" s="115"/>
      <c r="B14" s="111"/>
      <c r="C14" s="111"/>
      <c r="D14" s="163"/>
      <c r="E14" s="163"/>
      <c r="F14" s="163"/>
      <c r="G14" s="163"/>
      <c r="L14" s="163"/>
      <c r="M14" s="163"/>
      <c r="N14" s="163"/>
      <c r="O14" s="163"/>
      <c r="P14" s="163"/>
      <c r="Q14" s="163"/>
      <c r="R14" s="163"/>
      <c r="S14" s="163"/>
    </row>
    <row r="15" spans="1:19" ht="17" thickBot="1" x14ac:dyDescent="0.25">
      <c r="A15" s="115"/>
      <c r="B15" s="111"/>
      <c r="C15" s="111"/>
      <c r="D15" s="111"/>
      <c r="E15" s="239" t="s">
        <v>302</v>
      </c>
      <c r="F15" s="240">
        <v>0.03</v>
      </c>
      <c r="G15" s="111"/>
      <c r="L15" s="163"/>
      <c r="M15" s="163"/>
      <c r="N15" s="163"/>
      <c r="O15" s="163"/>
      <c r="P15" s="163"/>
      <c r="Q15" s="163"/>
      <c r="R15" s="163"/>
      <c r="S15" s="163"/>
    </row>
    <row r="16" spans="1:19" ht="17" thickBot="1" x14ac:dyDescent="0.25">
      <c r="A16" s="187" t="s">
        <v>303</v>
      </c>
      <c r="B16" s="243" t="s">
        <v>304</v>
      </c>
      <c r="C16" s="188" t="s">
        <v>305</v>
      </c>
      <c r="D16" s="189" t="s">
        <v>289</v>
      </c>
      <c r="E16" s="189" t="s">
        <v>290</v>
      </c>
      <c r="F16" s="190" t="s">
        <v>291</v>
      </c>
      <c r="G16" s="190" t="s">
        <v>292</v>
      </c>
      <c r="H16" s="190" t="s">
        <v>293</v>
      </c>
      <c r="L16" s="111"/>
      <c r="M16" s="111"/>
      <c r="N16" s="111"/>
      <c r="O16" s="111"/>
      <c r="P16" s="111"/>
      <c r="Q16" s="111"/>
      <c r="R16" s="111"/>
      <c r="S16" s="111"/>
    </row>
    <row r="17" spans="1:19" x14ac:dyDescent="0.2">
      <c r="A17" s="191" t="s">
        <v>306</v>
      </c>
      <c r="B17" s="192"/>
      <c r="C17" s="193"/>
      <c r="D17" s="193"/>
      <c r="E17" s="193"/>
      <c r="F17" s="193"/>
      <c r="G17" s="193"/>
      <c r="H17" s="193"/>
      <c r="L17" s="111"/>
      <c r="M17" s="111"/>
      <c r="N17" s="111"/>
      <c r="O17" s="111"/>
      <c r="P17" s="111"/>
      <c r="Q17" s="111"/>
      <c r="R17" s="111"/>
      <c r="S17" s="111"/>
    </row>
    <row r="18" spans="1:19" x14ac:dyDescent="0.2">
      <c r="A18" s="194" t="s">
        <v>307</v>
      </c>
      <c r="B18" s="192"/>
      <c r="C18" s="193">
        <f>10*30.4</f>
        <v>304</v>
      </c>
      <c r="D18" s="193">
        <f>C18*12</f>
        <v>3648</v>
      </c>
      <c r="E18" s="193">
        <f>D18*(1+$F$15)</f>
        <v>3757.44</v>
      </c>
      <c r="F18" s="193">
        <f t="shared" ref="E18:H23" si="1">E18*(1+$F$15)</f>
        <v>3870.1632</v>
      </c>
      <c r="G18" s="193">
        <f t="shared" si="1"/>
        <v>3986.2680960000002</v>
      </c>
      <c r="H18" s="193">
        <f t="shared" si="1"/>
        <v>4105.8561388800008</v>
      </c>
      <c r="K18" s="7" t="s">
        <v>308</v>
      </c>
      <c r="L18" s="111"/>
      <c r="M18" s="111"/>
      <c r="N18" s="111"/>
      <c r="O18" s="111"/>
      <c r="P18" s="111"/>
      <c r="Q18" s="111"/>
      <c r="R18" s="111"/>
      <c r="S18" s="111"/>
    </row>
    <row r="19" spans="1:19" x14ac:dyDescent="0.2">
      <c r="A19" s="194" t="s">
        <v>309</v>
      </c>
      <c r="B19" s="192"/>
      <c r="C19" s="193">
        <f>14*2*30</f>
        <v>840</v>
      </c>
      <c r="D19" s="193">
        <f>C19*12</f>
        <v>10080</v>
      </c>
      <c r="E19" s="193">
        <f>D19*(1+$F$15)</f>
        <v>10382.4</v>
      </c>
      <c r="F19" s="193">
        <f>E19*(1+$F$15)</f>
        <v>10693.871999999999</v>
      </c>
      <c r="G19" s="193">
        <f t="shared" si="1"/>
        <v>11014.68816</v>
      </c>
      <c r="H19" s="193">
        <f t="shared" si="1"/>
        <v>11345.128804800001</v>
      </c>
      <c r="L19" s="111"/>
      <c r="M19" s="111"/>
      <c r="N19" s="111"/>
      <c r="O19" s="111"/>
      <c r="P19" s="111"/>
      <c r="Q19" s="111"/>
      <c r="R19" s="111"/>
      <c r="S19" s="111"/>
    </row>
    <row r="20" spans="1:19" x14ac:dyDescent="0.2">
      <c r="A20" s="194" t="s">
        <v>310</v>
      </c>
      <c r="B20" s="192"/>
      <c r="C20" s="193">
        <f>((4.5*110/30)*4*30)</f>
        <v>1980</v>
      </c>
      <c r="D20" s="193">
        <f>C20*12</f>
        <v>23760</v>
      </c>
      <c r="E20" s="193">
        <f>D20*(1+$F$15)</f>
        <v>24472.799999999999</v>
      </c>
      <c r="F20" s="193">
        <f t="shared" si="1"/>
        <v>25206.984</v>
      </c>
      <c r="G20" s="193">
        <f t="shared" si="1"/>
        <v>25963.193520000001</v>
      </c>
      <c r="H20" s="193">
        <f t="shared" si="1"/>
        <v>26742.089325600002</v>
      </c>
      <c r="L20" s="111"/>
      <c r="M20" s="111"/>
      <c r="N20" s="111"/>
      <c r="O20" s="111"/>
      <c r="P20" s="111"/>
      <c r="Q20" s="111"/>
      <c r="R20" s="111"/>
      <c r="S20" s="111"/>
    </row>
    <row r="21" spans="1:19" x14ac:dyDescent="0.2">
      <c r="A21" s="194" t="s">
        <v>462</v>
      </c>
      <c r="B21" s="192"/>
      <c r="C21" s="193">
        <f>7.08</f>
        <v>7.08</v>
      </c>
      <c r="D21" s="193">
        <f>C21*12</f>
        <v>84.960000000000008</v>
      </c>
      <c r="E21" s="193">
        <f t="shared" si="1"/>
        <v>87.508800000000008</v>
      </c>
      <c r="F21" s="193">
        <f t="shared" si="1"/>
        <v>90.134064000000009</v>
      </c>
      <c r="G21" s="193">
        <f t="shared" si="1"/>
        <v>92.838085920000012</v>
      </c>
      <c r="H21" s="193">
        <f t="shared" si="1"/>
        <v>95.62322849760001</v>
      </c>
      <c r="K21" s="7" t="s">
        <v>311</v>
      </c>
      <c r="L21" s="111"/>
      <c r="M21" s="111"/>
      <c r="N21" s="111"/>
      <c r="O21" s="111"/>
      <c r="P21" s="111"/>
      <c r="Q21" s="111"/>
      <c r="R21" s="111"/>
      <c r="S21" s="111"/>
    </row>
    <row r="22" spans="1:19" x14ac:dyDescent="0.2">
      <c r="A22" s="195" t="s">
        <v>312</v>
      </c>
      <c r="B22" s="66"/>
      <c r="C22" s="159"/>
      <c r="D22" s="159"/>
      <c r="E22" s="159"/>
      <c r="F22" s="159"/>
      <c r="G22" s="159"/>
      <c r="H22" s="159"/>
      <c r="L22" s="111"/>
      <c r="M22" s="111"/>
      <c r="N22" s="111"/>
      <c r="O22" s="111"/>
      <c r="P22" s="111"/>
      <c r="Q22" s="111"/>
      <c r="R22" s="111"/>
      <c r="S22" s="111"/>
    </row>
    <row r="23" spans="1:19" x14ac:dyDescent="0.2">
      <c r="A23" s="242" t="s">
        <v>313</v>
      </c>
      <c r="B23" s="66"/>
      <c r="C23" s="159">
        <v>200</v>
      </c>
      <c r="D23" s="159">
        <f>C23</f>
        <v>200</v>
      </c>
      <c r="E23" s="159">
        <f t="shared" si="1"/>
        <v>206</v>
      </c>
      <c r="F23" s="159">
        <f t="shared" si="1"/>
        <v>212.18</v>
      </c>
      <c r="G23" s="159">
        <f t="shared" si="1"/>
        <v>218.5454</v>
      </c>
      <c r="H23" s="159">
        <f t="shared" si="1"/>
        <v>225.10176200000001</v>
      </c>
      <c r="L23" s="111"/>
      <c r="M23" s="111"/>
      <c r="N23" s="111"/>
      <c r="O23" s="111"/>
      <c r="P23" s="111"/>
      <c r="Q23" s="111"/>
      <c r="R23" s="111"/>
      <c r="S23" s="111"/>
    </row>
    <row r="24" spans="1:19" x14ac:dyDescent="0.2">
      <c r="A24" s="242" t="s">
        <v>314</v>
      </c>
      <c r="B24" s="66"/>
      <c r="C24" s="159">
        <v>2600</v>
      </c>
      <c r="D24" s="159">
        <f>C24</f>
        <v>2600</v>
      </c>
      <c r="E24" s="159">
        <f>D24*(1+F15)</f>
        <v>2678</v>
      </c>
      <c r="F24" s="159">
        <f>E24*(1+$F$15)</f>
        <v>2758.34</v>
      </c>
      <c r="G24" s="159">
        <f>F24*(1+$F$15)</f>
        <v>2841.0902000000001</v>
      </c>
      <c r="H24" s="159">
        <f>G24*(1+$F$15)</f>
        <v>2926.3229060000003</v>
      </c>
      <c r="L24" s="111"/>
      <c r="M24" s="111"/>
      <c r="N24" s="111"/>
      <c r="O24" s="111"/>
      <c r="P24" s="111"/>
      <c r="Q24" s="111"/>
      <c r="R24" s="111"/>
      <c r="S24" s="111"/>
    </row>
    <row r="25" spans="1:19" x14ac:dyDescent="0.2">
      <c r="A25" s="241" t="s">
        <v>315</v>
      </c>
      <c r="B25" s="66"/>
      <c r="C25" s="159"/>
      <c r="D25" s="159"/>
      <c r="E25" s="159"/>
      <c r="F25" s="159"/>
      <c r="G25" s="159"/>
      <c r="H25" s="159"/>
      <c r="L25" s="111"/>
      <c r="M25" s="111"/>
      <c r="N25" s="111"/>
      <c r="O25" s="111"/>
      <c r="P25" s="111"/>
      <c r="Q25" s="111"/>
      <c r="R25" s="111"/>
      <c r="S25" s="111"/>
    </row>
    <row r="26" spans="1:19" x14ac:dyDescent="0.2">
      <c r="A26" s="242" t="s">
        <v>316</v>
      </c>
      <c r="B26" s="66">
        <f>(D17+D18+D20+D21+D19)/2</f>
        <v>18786.48</v>
      </c>
      <c r="C26" s="159"/>
      <c r="D26" s="159"/>
      <c r="E26" s="159"/>
      <c r="F26" s="159"/>
      <c r="G26" s="159"/>
      <c r="H26" s="159"/>
      <c r="L26" s="111"/>
      <c r="M26" s="111"/>
      <c r="N26" s="111"/>
      <c r="O26" s="111"/>
      <c r="P26" s="111"/>
      <c r="Q26" s="111"/>
      <c r="R26" s="111"/>
      <c r="S26" s="111"/>
    </row>
    <row r="27" spans="1:19" x14ac:dyDescent="0.2">
      <c r="A27" s="242" t="s">
        <v>317</v>
      </c>
      <c r="B27" s="66">
        <f>(D23+D24)/2</f>
        <v>1400</v>
      </c>
      <c r="C27" s="159"/>
      <c r="D27" s="159"/>
      <c r="E27" s="159"/>
      <c r="F27" s="159"/>
      <c r="G27" s="159"/>
      <c r="H27" s="159"/>
      <c r="L27" s="111"/>
      <c r="M27" s="111"/>
      <c r="N27" s="111"/>
      <c r="O27" s="111"/>
      <c r="P27" s="111"/>
      <c r="Q27" s="111"/>
      <c r="R27" s="111"/>
      <c r="S27" s="111"/>
    </row>
    <row r="28" spans="1:19" ht="17" thickBot="1" x14ac:dyDescent="0.25">
      <c r="A28" s="183" t="s">
        <v>301</v>
      </c>
      <c r="B28" s="244">
        <f>SUM(B26:B27)</f>
        <v>20186.48</v>
      </c>
      <c r="C28" s="196"/>
      <c r="D28" s="57">
        <f>SUM(D18:D24)</f>
        <v>40372.959999999999</v>
      </c>
      <c r="E28" s="57">
        <f>SUM(E17:E24)</f>
        <v>41584.148800000003</v>
      </c>
      <c r="F28" s="57">
        <f>SUM(F17:F24)</f>
        <v>42831.673263999997</v>
      </c>
      <c r="G28" s="57">
        <f>SUM(G17:G24)</f>
        <v>44116.623461919997</v>
      </c>
      <c r="H28" s="57">
        <f>SUM(H17:H24)</f>
        <v>45440.122165777604</v>
      </c>
      <c r="L28" s="197"/>
      <c r="M28" s="197"/>
      <c r="N28" s="197"/>
      <c r="O28" s="197"/>
      <c r="P28" s="197"/>
      <c r="Q28" s="197"/>
      <c r="R28" s="197"/>
      <c r="S28" s="197"/>
    </row>
    <row r="29" spans="1:19" x14ac:dyDescent="0.2">
      <c r="A29" s="15"/>
      <c r="B29" s="198"/>
      <c r="C29" s="198"/>
      <c r="D29" s="198"/>
      <c r="E29" s="198"/>
      <c r="F29" s="198"/>
      <c r="G29" s="198"/>
      <c r="L29" s="198"/>
      <c r="M29" s="198"/>
      <c r="N29" s="198"/>
      <c r="O29" s="198"/>
      <c r="P29" s="198"/>
      <c r="Q29" s="198"/>
      <c r="R29" s="198"/>
      <c r="S29" s="198"/>
    </row>
    <row r="30" spans="1:19" ht="17" thickBot="1" x14ac:dyDescent="0.25">
      <c r="A30" s="15"/>
      <c r="B30" s="163"/>
      <c r="C30" s="163"/>
      <c r="D30" s="163"/>
      <c r="E30" s="163"/>
      <c r="F30" s="163"/>
      <c r="G30" s="163"/>
      <c r="L30" s="163"/>
      <c r="M30" s="163"/>
      <c r="N30" s="163"/>
      <c r="O30" s="163"/>
      <c r="P30" s="163"/>
      <c r="Q30" s="163"/>
      <c r="R30" s="163"/>
      <c r="S30" s="163"/>
    </row>
    <row r="31" spans="1:19" ht="17" thickBot="1" x14ac:dyDescent="0.25">
      <c r="A31" s="187" t="s">
        <v>318</v>
      </c>
      <c r="B31" s="199" t="s">
        <v>319</v>
      </c>
      <c r="C31" s="199" t="s">
        <v>320</v>
      </c>
      <c r="D31" s="199" t="s">
        <v>321</v>
      </c>
      <c r="E31" s="199" t="s">
        <v>322</v>
      </c>
      <c r="F31" s="199" t="s">
        <v>292</v>
      </c>
      <c r="G31" s="199" t="s">
        <v>293</v>
      </c>
      <c r="L31" s="111"/>
      <c r="M31" s="111"/>
      <c r="N31" s="111"/>
      <c r="O31" s="111"/>
      <c r="P31" s="111"/>
      <c r="Q31" s="111"/>
      <c r="R31" s="111"/>
      <c r="S31" s="111"/>
    </row>
    <row r="32" spans="1:19" x14ac:dyDescent="0.2">
      <c r="A32" s="170" t="s">
        <v>323</v>
      </c>
      <c r="B32" s="173">
        <f>110*6</f>
        <v>660</v>
      </c>
      <c r="C32" s="173">
        <f>B32*12</f>
        <v>7920</v>
      </c>
      <c r="D32" s="173">
        <f>B32*12</f>
        <v>7920</v>
      </c>
      <c r="E32" s="173">
        <f>B32*12</f>
        <v>7920</v>
      </c>
      <c r="F32" s="173">
        <f>B32*12</f>
        <v>7920</v>
      </c>
      <c r="G32" s="173">
        <f>B32*12</f>
        <v>7920</v>
      </c>
      <c r="L32" s="111"/>
      <c r="M32" s="111"/>
      <c r="N32" s="111"/>
      <c r="O32" s="111"/>
      <c r="P32" s="111"/>
      <c r="Q32" s="111"/>
      <c r="R32" s="111"/>
      <c r="S32" s="111"/>
    </row>
    <row r="33" spans="1:19" x14ac:dyDescent="0.2">
      <c r="A33" s="15"/>
      <c r="B33" s="197"/>
      <c r="C33" s="197"/>
      <c r="D33" s="197"/>
      <c r="E33" s="197"/>
      <c r="F33" s="197"/>
      <c r="G33" s="197"/>
      <c r="L33" s="197"/>
      <c r="M33" s="197"/>
      <c r="N33" s="197"/>
      <c r="O33" s="197"/>
      <c r="P33" s="197"/>
      <c r="Q33" s="197"/>
      <c r="R33" s="197"/>
      <c r="S33" s="197"/>
    </row>
    <row r="34" spans="1:19" x14ac:dyDescent="0.2">
      <c r="A34" s="15"/>
      <c r="B34" s="163"/>
      <c r="C34" s="163"/>
      <c r="D34" s="163"/>
      <c r="E34" s="163"/>
      <c r="F34" s="111" t="s">
        <v>308</v>
      </c>
      <c r="G34" s="163"/>
      <c r="H34" s="163"/>
      <c r="I34" s="163"/>
      <c r="J34" s="163"/>
      <c r="K34" s="163">
        <f>3900/628</f>
        <v>6.2101910828025479</v>
      </c>
      <c r="L34" s="163" t="s">
        <v>324</v>
      </c>
      <c r="M34" s="163"/>
      <c r="N34" s="163"/>
      <c r="O34" s="163"/>
      <c r="P34" s="163"/>
      <c r="Q34" s="163"/>
      <c r="R34" s="163"/>
      <c r="S34" s="163"/>
    </row>
    <row r="35" spans="1:19" x14ac:dyDescent="0.2">
      <c r="A35" s="15"/>
      <c r="B35" s="163"/>
      <c r="C35" s="163"/>
      <c r="D35" s="163"/>
      <c r="E35" s="163"/>
      <c r="F35" s="111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3"/>
      <c r="R35" s="163"/>
      <c r="S35" s="163"/>
    </row>
    <row r="36" spans="1:19" x14ac:dyDescent="0.2">
      <c r="A36" s="15" t="s">
        <v>325</v>
      </c>
      <c r="B36" s="111"/>
      <c r="C36" s="111"/>
      <c r="D36" s="111"/>
      <c r="E36" s="111"/>
      <c r="F36" s="201" t="s">
        <v>311</v>
      </c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</row>
    <row r="37" spans="1:19" x14ac:dyDescent="0.2">
      <c r="A37" s="15" t="s">
        <v>326</v>
      </c>
      <c r="B37" s="111"/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</row>
    <row r="38" spans="1:19" x14ac:dyDescent="0.2">
      <c r="A38" s="15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</row>
    <row r="39" spans="1:19" x14ac:dyDescent="0.2">
      <c r="A39" s="15"/>
      <c r="B39" s="111"/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</row>
    <row r="40" spans="1:19" x14ac:dyDescent="0.2">
      <c r="A40" s="129"/>
      <c r="B40" s="91" t="s">
        <v>376</v>
      </c>
      <c r="C40" s="91" t="s">
        <v>377</v>
      </c>
      <c r="D40" s="91" t="s">
        <v>378</v>
      </c>
      <c r="E40" s="91" t="s">
        <v>379</v>
      </c>
      <c r="F40" s="130" t="s">
        <v>380</v>
      </c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1"/>
    </row>
    <row r="41" spans="1:19" hidden="1" x14ac:dyDescent="0.2">
      <c r="A41" s="200" t="s">
        <v>224</v>
      </c>
      <c r="B41" s="153">
        <f>'Previsión de Ventas'!D73</f>
        <v>0.51458333333333339</v>
      </c>
      <c r="C41" s="153">
        <f>'Previsión de Ventas'!E73</f>
        <v>0.5792708333333334</v>
      </c>
      <c r="D41" s="153">
        <f>'Previsión de Ventas'!F73</f>
        <v>0.66032812500000004</v>
      </c>
      <c r="E41" s="153">
        <f>'Previsión de Ventas'!G73</f>
        <v>0.75223374999999981</v>
      </c>
      <c r="F41" s="131">
        <f>'Previsión de Ventas'!H73</f>
        <v>0.82996534791666665</v>
      </c>
      <c r="G41" s="111"/>
      <c r="H41" s="111" t="s">
        <v>327</v>
      </c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</row>
    <row r="42" spans="1:19" x14ac:dyDescent="0.2">
      <c r="A42" s="202" t="s">
        <v>457</v>
      </c>
      <c r="B42" s="203">
        <f>'GASTOS HSK'!B69</f>
        <v>42895.82837301588</v>
      </c>
      <c r="C42" s="203">
        <f>'GASTOS HSK'!C69</f>
        <v>46904.980406746035</v>
      </c>
      <c r="D42" s="203">
        <f>'GASTOS HSK'!D69</f>
        <v>51300.948975694453</v>
      </c>
      <c r="E42" s="203">
        <f>'GASTOS HSK'!E69</f>
        <v>56559.033408134914</v>
      </c>
      <c r="F42" s="203">
        <f>'GASTOS HSK'!F69</f>
        <v>60777.893791000337</v>
      </c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</row>
    <row r="43" spans="1:19" hidden="1" x14ac:dyDescent="0.2">
      <c r="A43" s="204" t="s">
        <v>463</v>
      </c>
      <c r="B43" s="205"/>
      <c r="C43" s="205"/>
      <c r="D43" s="205"/>
      <c r="E43" s="205"/>
      <c r="F43" s="205"/>
      <c r="G43" s="163"/>
      <c r="H43" s="246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63"/>
    </row>
    <row r="44" spans="1:19" hidden="1" x14ac:dyDescent="0.2">
      <c r="A44" s="204" t="s">
        <v>448</v>
      </c>
      <c r="B44" s="205"/>
      <c r="C44" s="205"/>
      <c r="D44" s="205"/>
      <c r="E44" s="205"/>
      <c r="F44" s="205"/>
      <c r="G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</row>
    <row r="45" spans="1:19" x14ac:dyDescent="0.2">
      <c r="A45" s="204" t="s">
        <v>225</v>
      </c>
      <c r="B45" s="205">
        <f>RRHH!BZ91+RRHH!BZ93</f>
        <v>194905.98312499997</v>
      </c>
      <c r="C45" s="205">
        <f>B45*(1+0.03)</f>
        <v>200753.16261874998</v>
      </c>
      <c r="D45" s="205">
        <f>C45*(1+0.03)</f>
        <v>206775.75749731247</v>
      </c>
      <c r="E45" s="205">
        <f t="shared" ref="E45:F45" si="2">D45*(1+0.03)</f>
        <v>212979.03022223184</v>
      </c>
      <c r="F45" s="205">
        <f t="shared" si="2"/>
        <v>219368.40112889881</v>
      </c>
      <c r="G45" s="111"/>
      <c r="H45" s="246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</row>
    <row r="46" spans="1:19" x14ac:dyDescent="0.2">
      <c r="A46" s="204" t="s">
        <v>227</v>
      </c>
      <c r="B46" s="205">
        <f>CONSUMOS!B28</f>
        <v>24764.69885428972</v>
      </c>
      <c r="C46" s="205">
        <f>CONSUMOS!C28</f>
        <v>27877.832050345169</v>
      </c>
      <c r="D46" s="205">
        <f>CONSUMOS!D28</f>
        <v>31778.773429589208</v>
      </c>
      <c r="E46" s="205">
        <f>CONSUMOS!E28</f>
        <v>36201.79877593468</v>
      </c>
      <c r="F46" s="205">
        <f>CONSUMOS!F28</f>
        <v>39942.688713817734</v>
      </c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</row>
    <row r="47" spans="1:19" x14ac:dyDescent="0.2">
      <c r="A47" s="204" t="s">
        <v>228</v>
      </c>
      <c r="B47" s="205">
        <f>RRHH!BZ82</f>
        <v>200663.32499999998</v>
      </c>
      <c r="C47" s="205">
        <f>B47*(1+0.03)</f>
        <v>206683.22474999999</v>
      </c>
      <c r="D47" s="205">
        <f t="shared" ref="D47:F47" si="3">C47*(1+0.03)</f>
        <v>212883.72149249999</v>
      </c>
      <c r="E47" s="205">
        <f t="shared" si="3"/>
        <v>219270.233137275</v>
      </c>
      <c r="F47" s="205">
        <f t="shared" si="3"/>
        <v>225848.34013139326</v>
      </c>
      <c r="G47" s="163"/>
      <c r="H47" s="163"/>
      <c r="I47" s="163"/>
      <c r="J47" s="163"/>
      <c r="K47" s="163"/>
      <c r="L47" s="163"/>
      <c r="M47" s="163"/>
      <c r="N47" s="163"/>
      <c r="O47" s="163"/>
      <c r="P47" s="163"/>
      <c r="Q47" s="163"/>
      <c r="R47" s="163"/>
      <c r="S47" s="163"/>
    </row>
    <row r="48" spans="1:19" x14ac:dyDescent="0.2">
      <c r="A48" s="204" t="s">
        <v>229</v>
      </c>
      <c r="B48" s="205">
        <f>RRHH!BX98</f>
        <v>3955.69308125</v>
      </c>
      <c r="C48" s="205">
        <f>RRHH!BY98</f>
        <v>4074.3638736875</v>
      </c>
      <c r="D48" s="205">
        <f>RRHH!BZ98</f>
        <v>4196.5947898981249</v>
      </c>
      <c r="E48" s="205">
        <f>RRHH!CA98</f>
        <v>4322.4926335950686</v>
      </c>
      <c r="F48" s="205">
        <f>RRHH!CB98</f>
        <v>4452.1674126029211</v>
      </c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</row>
    <row r="49" spans="1:19" x14ac:dyDescent="0.2">
      <c r="A49" s="204" t="s">
        <v>230</v>
      </c>
      <c r="B49" s="205">
        <f>'Previsión de Ventas'!D85*0.02</f>
        <v>23934.465</v>
      </c>
      <c r="C49" s="205">
        <f>'Previsión de Ventas'!F85*0.02</f>
        <v>27581.702445000003</v>
      </c>
      <c r="D49" s="205">
        <f>'Previsión de Ventas'!H85*0.02</f>
        <v>33085.016551179004</v>
      </c>
      <c r="E49" s="205">
        <f>'Previsión de Ventas'!J85*0.02</f>
        <v>38228.085808597956</v>
      </c>
      <c r="F49" s="205">
        <f>'Previsión de Ventas'!L85*0.02</f>
        <v>42493.54105120452</v>
      </c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</row>
    <row r="50" spans="1:19" x14ac:dyDescent="0.2">
      <c r="A50" s="204" t="s">
        <v>231</v>
      </c>
      <c r="B50" s="205">
        <f>('Previsión de Ventas'!D85*0.05)</f>
        <v>59836.162500000006</v>
      </c>
      <c r="C50" s="205">
        <f>'Previsión de Ventas'!F85*0.05</f>
        <v>68954.256112500007</v>
      </c>
      <c r="D50" s="205">
        <f>'Previsión de Ventas'!H85*0.05</f>
        <v>82712.541377947506</v>
      </c>
      <c r="E50" s="205">
        <f>'Previsión de Ventas'!J85*0.05</f>
        <v>95570.214521494883</v>
      </c>
      <c r="F50" s="205">
        <f>'Previsión de Ventas'!L85*0.05</f>
        <v>106233.85262801131</v>
      </c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</row>
    <row r="51" spans="1:19" x14ac:dyDescent="0.2">
      <c r="A51" s="204" t="s">
        <v>416</v>
      </c>
      <c r="B51" s="205">
        <f>C32</f>
        <v>7920</v>
      </c>
      <c r="C51" s="205">
        <f>D32</f>
        <v>7920</v>
      </c>
      <c r="D51" s="205">
        <f>E32</f>
        <v>7920</v>
      </c>
      <c r="E51" s="205">
        <f>F32</f>
        <v>7920</v>
      </c>
      <c r="F51" s="205">
        <f>G32</f>
        <v>7920</v>
      </c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</row>
    <row r="52" spans="1:19" x14ac:dyDescent="0.2">
      <c r="A52" s="204" t="s">
        <v>405</v>
      </c>
      <c r="B52" s="205">
        <f>D28</f>
        <v>40372.959999999999</v>
      </c>
      <c r="C52" s="205">
        <f>E28</f>
        <v>41584.148800000003</v>
      </c>
      <c r="D52" s="205">
        <f>F28</f>
        <v>42831.673263999997</v>
      </c>
      <c r="E52" s="205">
        <f>G28</f>
        <v>44116.623461919997</v>
      </c>
      <c r="F52" s="205">
        <f>H28</f>
        <v>45440.122165777604</v>
      </c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</row>
    <row r="53" spans="1:19" x14ac:dyDescent="0.2">
      <c r="A53" s="411" t="s">
        <v>505</v>
      </c>
      <c r="B53" s="412">
        <f>SUM(B42:B52)</f>
        <v>599249.11593355553</v>
      </c>
      <c r="C53" s="412">
        <f t="shared" ref="C53:F53" si="4">SUM(C42:C52)</f>
        <v>632333.6710570287</v>
      </c>
      <c r="D53" s="412">
        <f t="shared" si="4"/>
        <v>673485.02737812081</v>
      </c>
      <c r="E53" s="412">
        <f t="shared" si="4"/>
        <v>715167.51196918427</v>
      </c>
      <c r="F53" s="412">
        <f t="shared" si="4"/>
        <v>752477.00702270644</v>
      </c>
      <c r="G53" s="206"/>
      <c r="H53" s="206"/>
      <c r="I53" s="206"/>
      <c r="J53" s="206"/>
      <c r="K53" s="206"/>
      <c r="L53" s="206"/>
      <c r="M53" s="206"/>
      <c r="N53" s="206"/>
      <c r="O53" s="206"/>
      <c r="P53" s="206"/>
      <c r="Q53" s="206"/>
      <c r="R53" s="206"/>
      <c r="S53" s="206"/>
    </row>
    <row r="54" spans="1:19" x14ac:dyDescent="0.2">
      <c r="A54" s="15"/>
      <c r="B54" s="197"/>
      <c r="C54" s="197"/>
      <c r="D54" s="197"/>
      <c r="E54" s="197"/>
      <c r="F54" s="197"/>
      <c r="G54" s="197"/>
      <c r="H54" s="197"/>
      <c r="I54" s="197"/>
      <c r="J54" s="197"/>
      <c r="K54" s="197"/>
      <c r="L54" s="197"/>
      <c r="M54" s="197"/>
      <c r="N54" s="197"/>
      <c r="O54" s="197"/>
      <c r="P54" s="197"/>
      <c r="Q54" s="197"/>
      <c r="R54" s="197"/>
      <c r="S54" s="197"/>
    </row>
    <row r="55" spans="1:19" x14ac:dyDescent="0.2">
      <c r="A55" s="15"/>
      <c r="B55" s="198"/>
      <c r="C55" s="198"/>
      <c r="D55" s="198"/>
      <c r="E55" s="198"/>
      <c r="F55" s="198"/>
      <c r="G55" s="198"/>
      <c r="H55" s="198"/>
      <c r="I55" s="198"/>
      <c r="J55" s="198"/>
      <c r="K55" s="198"/>
      <c r="L55" s="198"/>
      <c r="M55" s="198"/>
      <c r="N55" s="198"/>
      <c r="O55" s="198"/>
      <c r="P55" s="198"/>
      <c r="Q55" s="198"/>
      <c r="R55" s="198"/>
      <c r="S55" s="198"/>
    </row>
    <row r="56" spans="1:19" x14ac:dyDescent="0.2">
      <c r="A56" s="15"/>
      <c r="B56" s="163"/>
      <c r="C56" s="163"/>
      <c r="D56" s="163"/>
      <c r="E56" s="163"/>
      <c r="F56" s="163"/>
      <c r="G56" s="163"/>
      <c r="H56" s="163"/>
      <c r="I56" s="163"/>
      <c r="J56" s="163"/>
      <c r="K56" s="163"/>
      <c r="L56" s="163"/>
      <c r="M56" s="163"/>
      <c r="N56" s="163"/>
      <c r="O56" s="163"/>
      <c r="P56" s="163"/>
      <c r="Q56" s="163"/>
      <c r="R56" s="163"/>
      <c r="S56" s="163"/>
    </row>
    <row r="57" spans="1:19" x14ac:dyDescent="0.2">
      <c r="A57" s="15"/>
      <c r="B57" s="111"/>
      <c r="C57" s="111"/>
      <c r="D57" s="111"/>
      <c r="E57" s="111"/>
      <c r="F57" s="111"/>
      <c r="G57" s="111"/>
      <c r="H57" s="246" t="s">
        <v>473</v>
      </c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</row>
    <row r="58" spans="1:19" x14ac:dyDescent="0.2">
      <c r="A58" s="15"/>
      <c r="B58" s="111"/>
      <c r="C58" s="111"/>
      <c r="D58" s="111"/>
      <c r="E58" s="111"/>
      <c r="F58" s="111"/>
      <c r="G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</row>
    <row r="59" spans="1:19" x14ac:dyDescent="0.2">
      <c r="A59" s="15"/>
      <c r="B59" s="206"/>
      <c r="C59" s="206"/>
      <c r="D59" s="206"/>
      <c r="E59" s="206"/>
      <c r="F59" s="206"/>
      <c r="G59" s="206"/>
      <c r="H59" s="246" t="s">
        <v>226</v>
      </c>
      <c r="I59" s="206"/>
      <c r="J59" s="206"/>
      <c r="K59" s="206"/>
      <c r="L59" s="206"/>
      <c r="M59" s="206"/>
      <c r="N59" s="206"/>
      <c r="O59" s="206"/>
      <c r="P59" s="206"/>
      <c r="Q59" s="206"/>
      <c r="R59" s="206"/>
      <c r="S59" s="206"/>
    </row>
    <row r="60" spans="1:19" x14ac:dyDescent="0.2">
      <c r="A60" s="15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</row>
    <row r="61" spans="1:19" x14ac:dyDescent="0.2">
      <c r="A61" s="15"/>
      <c r="B61" s="198"/>
      <c r="C61" s="198"/>
      <c r="D61" s="198"/>
      <c r="E61" s="198"/>
      <c r="F61" s="198"/>
      <c r="G61" s="198"/>
      <c r="H61" s="198"/>
      <c r="I61" s="198"/>
      <c r="J61" s="198"/>
      <c r="K61" s="198"/>
      <c r="L61" s="198"/>
      <c r="M61" s="198"/>
      <c r="N61" s="198"/>
      <c r="O61" s="198"/>
      <c r="P61" s="198"/>
      <c r="Q61" s="198"/>
      <c r="R61" s="198"/>
      <c r="S61" s="198"/>
    </row>
    <row r="62" spans="1:19" x14ac:dyDescent="0.2">
      <c r="A62" s="15"/>
      <c r="B62" s="163"/>
      <c r="C62" s="163"/>
      <c r="D62" s="163"/>
      <c r="E62" s="163"/>
      <c r="F62" s="163"/>
      <c r="G62" s="163"/>
      <c r="H62" s="163"/>
      <c r="I62" s="163"/>
      <c r="J62" s="163"/>
      <c r="K62" s="163"/>
      <c r="L62" s="163"/>
      <c r="M62" s="163"/>
      <c r="N62" s="163"/>
      <c r="O62" s="163"/>
      <c r="P62" s="163"/>
      <c r="Q62" s="163"/>
      <c r="R62" s="163"/>
      <c r="S62" s="163"/>
    </row>
    <row r="63" spans="1:19" x14ac:dyDescent="0.2">
      <c r="A63" s="111"/>
      <c r="B63" s="163"/>
      <c r="C63" s="163"/>
      <c r="D63" s="163"/>
      <c r="E63" s="163"/>
      <c r="F63" s="163"/>
      <c r="G63" s="163"/>
      <c r="H63" s="163"/>
      <c r="I63" s="163"/>
      <c r="J63" s="163"/>
      <c r="K63" s="163"/>
      <c r="L63" s="163"/>
      <c r="M63" s="163"/>
      <c r="N63" s="163"/>
      <c r="O63" s="163"/>
      <c r="P63" s="163"/>
      <c r="Q63" s="163"/>
      <c r="R63" s="163"/>
      <c r="S63" s="163"/>
    </row>
    <row r="64" spans="1:19" x14ac:dyDescent="0.2">
      <c r="A64" s="111"/>
      <c r="B64" s="163"/>
      <c r="C64" s="163"/>
      <c r="D64" s="163"/>
      <c r="E64" s="163"/>
      <c r="F64" s="163"/>
      <c r="G64" s="163"/>
      <c r="H64" s="163"/>
      <c r="I64" s="163"/>
      <c r="J64" s="163"/>
      <c r="K64" s="163"/>
      <c r="L64" s="163"/>
      <c r="M64" s="163"/>
      <c r="N64" s="163"/>
      <c r="O64" s="163"/>
      <c r="P64" s="163"/>
      <c r="Q64" s="163"/>
      <c r="R64" s="163"/>
      <c r="S64" s="163"/>
    </row>
    <row r="65" spans="1:19" x14ac:dyDescent="0.2">
      <c r="A65" s="111"/>
      <c r="B65" s="111"/>
      <c r="C65" s="111"/>
      <c r="D65" s="111"/>
      <c r="E65" s="111"/>
      <c r="F65" s="111"/>
      <c r="G65" s="111"/>
      <c r="H65" s="111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</row>
  </sheetData>
  <phoneticPr fontId="3" type="noConversion"/>
  <pageMargins left="0.7" right="0.7" top="0.75" bottom="0.75" header="0.3" footer="0.3"/>
  <ignoredErrors>
    <ignoredError sqref="C46:F46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69"/>
  <sheetViews>
    <sheetView topLeftCell="A40" zoomScale="130" zoomScaleNormal="130" zoomScalePageLayoutView="130" workbookViewId="0">
      <selection activeCell="D14" sqref="D14"/>
    </sheetView>
  </sheetViews>
  <sheetFormatPr baseColWidth="10" defaultColWidth="11" defaultRowHeight="16" x14ac:dyDescent="0.2"/>
  <cols>
    <col min="1" max="1" width="31.33203125" style="7" customWidth="1"/>
    <col min="2" max="7" width="11" style="7"/>
    <col min="8" max="8" width="14.5" style="7" customWidth="1"/>
    <col min="9" max="16384" width="11" style="7"/>
  </cols>
  <sheetData>
    <row r="1" spans="1:12" ht="17" thickBot="1" x14ac:dyDescent="0.25"/>
    <row r="2" spans="1:12" ht="64" x14ac:dyDescent="0.2">
      <c r="A2" s="128"/>
      <c r="B2" s="139" t="s">
        <v>232</v>
      </c>
      <c r="C2" s="424" t="s">
        <v>233</v>
      </c>
      <c r="D2" s="425" t="s">
        <v>234</v>
      </c>
      <c r="G2" s="102" t="s">
        <v>481</v>
      </c>
      <c r="H2" s="103" t="s">
        <v>482</v>
      </c>
      <c r="K2" s="102" t="s">
        <v>235</v>
      </c>
      <c r="L2" s="103" t="s">
        <v>236</v>
      </c>
    </row>
    <row r="3" spans="1:12" x14ac:dyDescent="0.2">
      <c r="A3" s="278" t="s">
        <v>469</v>
      </c>
      <c r="B3" s="104">
        <v>90</v>
      </c>
      <c r="C3" s="48">
        <v>19</v>
      </c>
      <c r="D3" s="106">
        <v>285</v>
      </c>
      <c r="G3" s="279">
        <v>2700</v>
      </c>
      <c r="H3" s="280">
        <v>32850</v>
      </c>
      <c r="K3" s="105">
        <v>2737.5</v>
      </c>
      <c r="L3" s="106">
        <v>32850</v>
      </c>
    </row>
    <row r="4" spans="1:12" x14ac:dyDescent="0.2">
      <c r="A4" s="105" t="s">
        <v>445</v>
      </c>
      <c r="B4" s="48">
        <v>20</v>
      </c>
      <c r="C4" s="48">
        <v>26</v>
      </c>
      <c r="D4" s="106">
        <v>520</v>
      </c>
      <c r="G4" s="279">
        <v>600</v>
      </c>
      <c r="H4" s="280">
        <v>7300</v>
      </c>
      <c r="I4" s="107"/>
      <c r="K4" s="105">
        <v>202.77777777777777</v>
      </c>
      <c r="L4" s="106">
        <v>2433.3333333333344</v>
      </c>
    </row>
    <row r="5" spans="1:12" x14ac:dyDescent="0.2">
      <c r="A5" s="105" t="s">
        <v>464</v>
      </c>
      <c r="B5" s="48">
        <v>60</v>
      </c>
      <c r="C5" s="48">
        <v>100</v>
      </c>
      <c r="D5" s="106">
        <v>100</v>
      </c>
      <c r="G5" s="279">
        <v>1800</v>
      </c>
      <c r="H5" s="280">
        <v>21900</v>
      </c>
      <c r="K5" s="105">
        <v>1825</v>
      </c>
      <c r="L5" s="106">
        <v>21900</v>
      </c>
    </row>
    <row r="6" spans="1:12" x14ac:dyDescent="0.2">
      <c r="A6" s="105" t="s">
        <v>458</v>
      </c>
      <c r="B6" s="48">
        <v>2</v>
      </c>
      <c r="C6" s="48">
        <v>81</v>
      </c>
      <c r="D6" s="106">
        <v>162</v>
      </c>
      <c r="G6" s="281">
        <v>90</v>
      </c>
      <c r="H6" s="282">
        <v>730</v>
      </c>
      <c r="K6" s="283">
        <v>91.25</v>
      </c>
      <c r="L6" s="108">
        <v>1095</v>
      </c>
    </row>
    <row r="7" spans="1:12" x14ac:dyDescent="0.2">
      <c r="A7" s="105" t="s">
        <v>237</v>
      </c>
      <c r="B7" s="48">
        <v>1</v>
      </c>
      <c r="C7" s="48">
        <v>42</v>
      </c>
      <c r="D7" s="106">
        <v>42</v>
      </c>
      <c r="F7" s="284" t="s">
        <v>238</v>
      </c>
      <c r="G7" s="284">
        <v>5190</v>
      </c>
      <c r="H7" s="284">
        <v>62780</v>
      </c>
      <c r="K7" s="48"/>
      <c r="L7" s="48"/>
    </row>
    <row r="8" spans="1:12" ht="17" thickBot="1" x14ac:dyDescent="0.25">
      <c r="A8" s="285" t="s">
        <v>239</v>
      </c>
      <c r="B8" s="286">
        <v>6</v>
      </c>
      <c r="C8" s="286">
        <v>240</v>
      </c>
      <c r="D8" s="287">
        <v>1440</v>
      </c>
    </row>
    <row r="9" spans="1:12" ht="17" thickBot="1" x14ac:dyDescent="0.25"/>
    <row r="10" spans="1:12" ht="17" thickBot="1" x14ac:dyDescent="0.25">
      <c r="D10" s="461">
        <v>2549</v>
      </c>
    </row>
    <row r="11" spans="1:12" x14ac:dyDescent="0.2">
      <c r="A11" s="644" t="s">
        <v>510</v>
      </c>
      <c r="B11" s="113"/>
      <c r="C11" s="113"/>
      <c r="D11" s="462"/>
      <c r="E11" s="113"/>
      <c r="F11" s="114"/>
    </row>
    <row r="12" spans="1:12" ht="17" thickBot="1" x14ac:dyDescent="0.25">
      <c r="A12" s="115"/>
      <c r="B12" s="111"/>
      <c r="C12" s="111"/>
      <c r="D12" s="463"/>
      <c r="E12" s="111"/>
      <c r="F12" s="116"/>
    </row>
    <row r="13" spans="1:12" ht="17" thickBot="1" x14ac:dyDescent="0.25">
      <c r="A13" s="288" t="s">
        <v>10</v>
      </c>
      <c r="B13" s="289" t="s">
        <v>289</v>
      </c>
      <c r="C13" s="289" t="s">
        <v>290</v>
      </c>
      <c r="D13" s="290" t="s">
        <v>291</v>
      </c>
      <c r="E13" s="290" t="s">
        <v>292</v>
      </c>
      <c r="F13" s="291" t="s">
        <v>293</v>
      </c>
      <c r="G13" s="292"/>
      <c r="H13" s="292"/>
      <c r="I13" s="292"/>
    </row>
    <row r="14" spans="1:12" x14ac:dyDescent="0.2">
      <c r="A14" s="170" t="s">
        <v>483</v>
      </c>
      <c r="B14" s="153">
        <f>'Previsión de Ventas'!C23</f>
        <v>0.52916666666666667</v>
      </c>
      <c r="C14" s="153">
        <f>'Previsión de Ventas'!Q23</f>
        <v>0.60854166666666665</v>
      </c>
      <c r="D14" s="153">
        <f>'Previsión de Ventas'!AE23</f>
        <v>0.69015625000000003</v>
      </c>
      <c r="E14" s="153">
        <f>'Previsión de Ventas'!AS23</f>
        <v>0.79047749999999983</v>
      </c>
      <c r="F14" s="293">
        <f>'Previsión de Ventas'!BG23</f>
        <v>0.86883602916666669</v>
      </c>
    </row>
    <row r="15" spans="1:12" x14ac:dyDescent="0.2">
      <c r="A15" s="294" t="s">
        <v>240</v>
      </c>
      <c r="B15" s="48">
        <v>2.1</v>
      </c>
      <c r="C15" s="48">
        <v>2.1</v>
      </c>
      <c r="D15" s="295">
        <v>2.1</v>
      </c>
      <c r="E15" s="295">
        <v>2.1</v>
      </c>
      <c r="F15" s="106">
        <v>2.1</v>
      </c>
    </row>
    <row r="16" spans="1:12" x14ac:dyDescent="0.2">
      <c r="A16" s="294" t="s">
        <v>241</v>
      </c>
      <c r="B16" s="296">
        <v>5</v>
      </c>
      <c r="C16" s="296">
        <v>5</v>
      </c>
      <c r="D16" s="297">
        <v>5</v>
      </c>
      <c r="E16" s="297">
        <v>5</v>
      </c>
      <c r="F16" s="298">
        <v>5</v>
      </c>
    </row>
    <row r="17" spans="1:19" ht="17" thickBot="1" x14ac:dyDescent="0.25">
      <c r="A17" s="294" t="s">
        <v>242</v>
      </c>
      <c r="B17" s="110">
        <v>0.25</v>
      </c>
      <c r="C17" s="110">
        <v>0.25</v>
      </c>
      <c r="D17" s="110">
        <v>0.25</v>
      </c>
      <c r="E17" s="110">
        <v>0.25</v>
      </c>
      <c r="F17" s="108">
        <v>0.25</v>
      </c>
    </row>
    <row r="18" spans="1:19" ht="17" thickBot="1" x14ac:dyDescent="0.25">
      <c r="A18" s="299" t="s">
        <v>470</v>
      </c>
      <c r="B18" s="300">
        <f>(L3/B15)*B14*B16*B17</f>
        <v>10347.098214285714</v>
      </c>
      <c r="C18" s="300">
        <f>(L3/C15)*C14*C16*C17</f>
        <v>11899.162946428569</v>
      </c>
      <c r="D18" s="300">
        <f>(L3/D15)*D14*D16*D17</f>
        <v>13495.01953125</v>
      </c>
      <c r="E18" s="300">
        <f>(L3/E15)*E14*E16*E17</f>
        <v>15456.658258928566</v>
      </c>
      <c r="F18" s="320">
        <f>(L3/F15)*F14*F16*F17</f>
        <v>16988.847356026785</v>
      </c>
      <c r="G18" s="301"/>
      <c r="P18" s="8"/>
      <c r="Q18" s="8"/>
      <c r="R18" s="8"/>
      <c r="S18" s="8"/>
    </row>
    <row r="19" spans="1:19" x14ac:dyDescent="0.2">
      <c r="A19" s="115"/>
      <c r="B19" s="163"/>
      <c r="C19" s="163"/>
      <c r="D19" s="163"/>
      <c r="E19" s="163"/>
      <c r="F19" s="116"/>
      <c r="P19" s="8"/>
      <c r="Q19" s="8"/>
      <c r="R19" s="8"/>
      <c r="S19" s="8"/>
    </row>
    <row r="20" spans="1:19" ht="17" thickBot="1" x14ac:dyDescent="0.25">
      <c r="A20" s="115"/>
      <c r="B20" s="111"/>
      <c r="C20" s="111"/>
      <c r="D20" s="111"/>
      <c r="E20" s="111"/>
      <c r="F20" s="116"/>
    </row>
    <row r="21" spans="1:19" ht="17" thickBot="1" x14ac:dyDescent="0.25">
      <c r="A21" s="288" t="s">
        <v>11</v>
      </c>
      <c r="B21" s="289" t="s">
        <v>289</v>
      </c>
      <c r="C21" s="289" t="s">
        <v>290</v>
      </c>
      <c r="D21" s="289" t="s">
        <v>291</v>
      </c>
      <c r="E21" s="289" t="s">
        <v>292</v>
      </c>
      <c r="F21" s="291" t="s">
        <v>293</v>
      </c>
      <c r="G21" s="292"/>
      <c r="H21" s="292"/>
      <c r="I21" s="292"/>
    </row>
    <row r="22" spans="1:19" x14ac:dyDescent="0.2">
      <c r="A22" s="170" t="s">
        <v>483</v>
      </c>
      <c r="B22" s="153">
        <f>'Previsión de Ventas'!C32</f>
        <v>0.5</v>
      </c>
      <c r="C22" s="153">
        <f>'Previsión de Ventas'!Q32</f>
        <v>0.55000000000000016</v>
      </c>
      <c r="D22" s="153">
        <f>'Previsión de Ventas'!AE32</f>
        <v>0.63050000000000006</v>
      </c>
      <c r="E22" s="153">
        <f>'Previsión de Ventas'!AS32</f>
        <v>0.7139899999999999</v>
      </c>
      <c r="F22" s="293">
        <f>'Previsión de Ventas'!BG32</f>
        <v>0.79109466666666661</v>
      </c>
    </row>
    <row r="23" spans="1:19" x14ac:dyDescent="0.2">
      <c r="A23" s="294" t="s">
        <v>240</v>
      </c>
      <c r="B23" s="48">
        <v>3</v>
      </c>
      <c r="C23" s="48">
        <v>3</v>
      </c>
      <c r="D23" s="48">
        <v>3</v>
      </c>
      <c r="E23" s="48">
        <v>3</v>
      </c>
      <c r="F23" s="106">
        <v>3</v>
      </c>
    </row>
    <row r="24" spans="1:19" x14ac:dyDescent="0.2">
      <c r="A24" s="294" t="s">
        <v>241</v>
      </c>
      <c r="B24" s="296">
        <v>5</v>
      </c>
      <c r="C24" s="296">
        <v>5</v>
      </c>
      <c r="D24" s="296">
        <v>5</v>
      </c>
      <c r="E24" s="296">
        <v>5</v>
      </c>
      <c r="F24" s="298">
        <v>5</v>
      </c>
    </row>
    <row r="25" spans="1:19" ht="17" thickBot="1" x14ac:dyDescent="0.25">
      <c r="A25" s="294" t="s">
        <v>243</v>
      </c>
      <c r="B25" s="48">
        <v>1.5</v>
      </c>
      <c r="C25" s="48">
        <v>1.5</v>
      </c>
      <c r="D25" s="48">
        <v>1.5</v>
      </c>
      <c r="E25" s="48">
        <v>1.5</v>
      </c>
      <c r="F25" s="106">
        <v>1.5</v>
      </c>
    </row>
    <row r="26" spans="1:19" ht="17" thickBot="1" x14ac:dyDescent="0.25">
      <c r="A26" s="299" t="s">
        <v>446</v>
      </c>
      <c r="B26" s="300">
        <f>(L4/B23)*B22*B24*B25</f>
        <v>3041.6666666666679</v>
      </c>
      <c r="C26" s="300">
        <f>(L4/C23)*C22*C24*C25</f>
        <v>3345.8333333333358</v>
      </c>
      <c r="D26" s="300">
        <f>(L4/D23)*D22*D24*D25</f>
        <v>3835.5416666666688</v>
      </c>
      <c r="E26" s="300">
        <f>(L4/E23)*E22*E24*E25</f>
        <v>4343.4391666666679</v>
      </c>
      <c r="F26" s="320">
        <f>(L4/F23)*F22*F24*F25</f>
        <v>4812.4925555555583</v>
      </c>
      <c r="P26" s="8"/>
      <c r="Q26" s="8"/>
      <c r="R26" s="8"/>
      <c r="S26" s="8"/>
    </row>
    <row r="27" spans="1:19" ht="17" thickBot="1" x14ac:dyDescent="0.25">
      <c r="A27" s="302"/>
      <c r="B27" s="464"/>
      <c r="C27" s="464"/>
      <c r="D27" s="464"/>
      <c r="E27" s="464"/>
      <c r="F27" s="465"/>
      <c r="P27" s="8"/>
      <c r="Q27" s="8"/>
      <c r="R27" s="8"/>
      <c r="S27" s="8"/>
    </row>
    <row r="28" spans="1:19" ht="17" thickBot="1" x14ac:dyDescent="0.25">
      <c r="A28" s="288" t="s">
        <v>511</v>
      </c>
      <c r="B28" s="289" t="s">
        <v>289</v>
      </c>
      <c r="C28" s="289" t="s">
        <v>290</v>
      </c>
      <c r="D28" s="289" t="s">
        <v>291</v>
      </c>
      <c r="E28" s="289" t="s">
        <v>292</v>
      </c>
      <c r="F28" s="291" t="s">
        <v>293</v>
      </c>
      <c r="P28" s="8"/>
      <c r="Q28" s="8"/>
      <c r="R28" s="8"/>
      <c r="S28" s="8"/>
    </row>
    <row r="29" spans="1:19" x14ac:dyDescent="0.2">
      <c r="A29" s="170" t="s">
        <v>241</v>
      </c>
      <c r="B29" s="296">
        <v>5</v>
      </c>
      <c r="C29" s="296">
        <v>5</v>
      </c>
      <c r="D29" s="296">
        <v>5</v>
      </c>
      <c r="E29" s="296">
        <v>5</v>
      </c>
      <c r="F29" s="298">
        <v>5</v>
      </c>
    </row>
    <row r="30" spans="1:19" x14ac:dyDescent="0.2">
      <c r="A30" s="294" t="s">
        <v>474</v>
      </c>
      <c r="B30" s="48">
        <v>8</v>
      </c>
      <c r="C30" s="48">
        <v>8</v>
      </c>
      <c r="D30" s="48">
        <v>8</v>
      </c>
      <c r="E30" s="48">
        <v>8</v>
      </c>
      <c r="F30" s="106">
        <v>8</v>
      </c>
    </row>
    <row r="31" spans="1:19" ht="17" thickBot="1" x14ac:dyDescent="0.25">
      <c r="A31" s="294" t="s">
        <v>475</v>
      </c>
      <c r="B31" s="48">
        <v>365</v>
      </c>
      <c r="C31" s="48">
        <v>365</v>
      </c>
      <c r="D31" s="48">
        <v>365</v>
      </c>
      <c r="E31" s="48">
        <v>365</v>
      </c>
      <c r="F31" s="106">
        <v>365</v>
      </c>
    </row>
    <row r="32" spans="1:19" ht="17" thickBot="1" x14ac:dyDescent="0.25">
      <c r="A32" s="299" t="s">
        <v>244</v>
      </c>
      <c r="B32" s="300">
        <f>(B29*B30*B31)</f>
        <v>14600</v>
      </c>
      <c r="C32" s="304">
        <f t="shared" ref="C32:F32" si="0">(C29*C30*C31)</f>
        <v>14600</v>
      </c>
      <c r="D32" s="304">
        <f t="shared" si="0"/>
        <v>14600</v>
      </c>
      <c r="E32" s="304">
        <f t="shared" si="0"/>
        <v>14600</v>
      </c>
      <c r="F32" s="305">
        <f t="shared" si="0"/>
        <v>14600</v>
      </c>
    </row>
    <row r="33" spans="1:19" x14ac:dyDescent="0.2">
      <c r="A33" s="302"/>
      <c r="B33" s="303"/>
      <c r="C33" s="303"/>
      <c r="D33" s="303"/>
      <c r="E33" s="303"/>
      <c r="F33" s="303"/>
    </row>
    <row r="34" spans="1:19" x14ac:dyDescent="0.2">
      <c r="A34" s="306"/>
      <c r="B34" s="163"/>
      <c r="C34" s="163"/>
      <c r="D34" s="163"/>
      <c r="E34" s="163"/>
      <c r="F34" s="163"/>
    </row>
    <row r="35" spans="1:19" ht="17" thickBot="1" x14ac:dyDescent="0.25"/>
    <row r="36" spans="1:19" x14ac:dyDescent="0.2">
      <c r="A36" s="307" t="s">
        <v>245</v>
      </c>
      <c r="B36" s="113"/>
      <c r="C36" s="113"/>
      <c r="D36" s="113"/>
      <c r="E36" s="113"/>
      <c r="F36" s="114"/>
    </row>
    <row r="37" spans="1:19" ht="17" thickBot="1" x14ac:dyDescent="0.25">
      <c r="A37" s="115"/>
      <c r="B37" s="111"/>
      <c r="C37" s="111"/>
      <c r="D37" s="111"/>
      <c r="E37" s="197"/>
      <c r="F37" s="466"/>
      <c r="G37" s="308"/>
      <c r="H37" s="308"/>
      <c r="I37" s="308"/>
      <c r="P37" s="308"/>
      <c r="Q37" s="308"/>
      <c r="R37" s="308"/>
      <c r="S37" s="308"/>
    </row>
    <row r="38" spans="1:19" ht="17" thickBot="1" x14ac:dyDescent="0.25">
      <c r="A38" s="309" t="s">
        <v>10</v>
      </c>
      <c r="B38" s="289" t="s">
        <v>289</v>
      </c>
      <c r="C38" s="289" t="s">
        <v>290</v>
      </c>
      <c r="D38" s="289" t="s">
        <v>291</v>
      </c>
      <c r="E38" s="289" t="s">
        <v>292</v>
      </c>
      <c r="F38" s="291" t="s">
        <v>293</v>
      </c>
      <c r="G38" s="308"/>
      <c r="H38" s="308"/>
      <c r="I38" s="308"/>
      <c r="P38" s="308"/>
      <c r="Q38" s="308"/>
      <c r="R38" s="308"/>
      <c r="S38" s="308"/>
    </row>
    <row r="39" spans="1:19" x14ac:dyDescent="0.2">
      <c r="A39" s="170" t="s">
        <v>483</v>
      </c>
      <c r="B39" s="153">
        <f>'Previsión de Ventas'!C23</f>
        <v>0.52916666666666667</v>
      </c>
      <c r="C39" s="153">
        <f>'Previsión de Ventas'!Q23</f>
        <v>0.60854166666666665</v>
      </c>
      <c r="D39" s="153">
        <f>'Previsión de Ventas'!AE23</f>
        <v>0.69015625000000003</v>
      </c>
      <c r="E39" s="153">
        <f>'Previsión de Ventas'!AS23</f>
        <v>0.79047749999999983</v>
      </c>
      <c r="F39" s="293">
        <f>'Previsión de Ventas'!BG23</f>
        <v>0.86883602916666669</v>
      </c>
    </row>
    <row r="40" spans="1:19" x14ac:dyDescent="0.2">
      <c r="A40" s="294" t="s">
        <v>240</v>
      </c>
      <c r="B40" s="48">
        <v>2.1</v>
      </c>
      <c r="C40" s="48">
        <v>2.1</v>
      </c>
      <c r="D40" s="295">
        <v>2.1</v>
      </c>
      <c r="E40" s="295">
        <v>2.1</v>
      </c>
      <c r="F40" s="106">
        <v>2.1</v>
      </c>
      <c r="G40" s="8"/>
      <c r="H40" s="8"/>
      <c r="I40" s="8"/>
      <c r="P40" s="8"/>
      <c r="Q40" s="8"/>
      <c r="R40" s="8"/>
      <c r="S40" s="8"/>
    </row>
    <row r="41" spans="1:19" ht="17" thickBot="1" x14ac:dyDescent="0.25">
      <c r="A41" s="294" t="s">
        <v>246</v>
      </c>
      <c r="B41" s="310">
        <v>0.15</v>
      </c>
      <c r="C41" s="310">
        <v>0.15</v>
      </c>
      <c r="D41" s="310">
        <v>0.15</v>
      </c>
      <c r="E41" s="310">
        <v>0.15</v>
      </c>
      <c r="F41" s="311">
        <v>0.15</v>
      </c>
    </row>
    <row r="42" spans="1:19" ht="17" thickBot="1" x14ac:dyDescent="0.25">
      <c r="A42" s="299" t="s">
        <v>301</v>
      </c>
      <c r="B42" s="300">
        <f>(L3/B40)*B39*B41</f>
        <v>1241.6517857142856</v>
      </c>
      <c r="C42" s="300">
        <f>(L3/C40)*C39*C41</f>
        <v>1427.8995535714282</v>
      </c>
      <c r="D42" s="300">
        <f>(L3/D40)*D39*D41</f>
        <v>1619.40234375</v>
      </c>
      <c r="E42" s="300">
        <f>(L3/E40)*E39*E41</f>
        <v>1854.798991071428</v>
      </c>
      <c r="F42" s="320">
        <f>(L3/F40)*F39*F41</f>
        <v>2038.661682723214</v>
      </c>
      <c r="G42" s="308"/>
      <c r="H42" s="308"/>
      <c r="I42" s="308"/>
      <c r="P42" s="308"/>
      <c r="Q42" s="308"/>
      <c r="R42" s="308"/>
      <c r="S42" s="308"/>
    </row>
    <row r="43" spans="1:19" x14ac:dyDescent="0.2">
      <c r="A43" s="115"/>
      <c r="B43" s="163"/>
      <c r="C43" s="163"/>
      <c r="D43" s="163"/>
      <c r="E43" s="197"/>
      <c r="F43" s="466"/>
      <c r="G43" s="308"/>
      <c r="H43" s="308"/>
      <c r="I43" s="308"/>
      <c r="P43" s="308"/>
      <c r="Q43" s="308"/>
      <c r="R43" s="308"/>
      <c r="S43" s="308"/>
    </row>
    <row r="44" spans="1:19" ht="17" thickBot="1" x14ac:dyDescent="0.25">
      <c r="A44" s="115"/>
      <c r="B44" s="111"/>
      <c r="C44" s="111"/>
      <c r="D44" s="111"/>
      <c r="E44" s="198"/>
      <c r="F44" s="467"/>
      <c r="G44" s="312"/>
      <c r="H44" s="312"/>
      <c r="I44" s="312"/>
      <c r="P44" s="312"/>
      <c r="Q44" s="312"/>
      <c r="R44" s="312"/>
      <c r="S44" s="312"/>
    </row>
    <row r="45" spans="1:19" ht="17" thickBot="1" x14ac:dyDescent="0.25">
      <c r="A45" s="117" t="s">
        <v>11</v>
      </c>
      <c r="B45" s="313" t="s">
        <v>289</v>
      </c>
      <c r="C45" s="314" t="s">
        <v>290</v>
      </c>
      <c r="D45" s="314" t="s">
        <v>291</v>
      </c>
      <c r="E45" s="314" t="s">
        <v>292</v>
      </c>
      <c r="F45" s="315" t="s">
        <v>293</v>
      </c>
      <c r="G45" s="8"/>
      <c r="H45" s="8"/>
      <c r="I45" s="8"/>
      <c r="P45" s="8"/>
      <c r="Q45" s="8"/>
      <c r="R45" s="8"/>
      <c r="S45" s="8"/>
    </row>
    <row r="46" spans="1:19" x14ac:dyDescent="0.2">
      <c r="A46" s="170" t="s">
        <v>483</v>
      </c>
      <c r="B46" s="153">
        <f>'Previsión de Ventas'!C32</f>
        <v>0.5</v>
      </c>
      <c r="C46" s="153">
        <f>'Previsión de Ventas'!Q32</f>
        <v>0.55000000000000016</v>
      </c>
      <c r="D46" s="153">
        <f>'Previsión de Ventas'!AE32</f>
        <v>0.63050000000000006</v>
      </c>
      <c r="E46" s="153">
        <f>'Previsión de Ventas'!AS32</f>
        <v>0.7139899999999999</v>
      </c>
      <c r="F46" s="293">
        <f>'Previsión de Ventas'!BG32</f>
        <v>0.79109466666666661</v>
      </c>
    </row>
    <row r="47" spans="1:19" x14ac:dyDescent="0.2">
      <c r="A47" s="294" t="s">
        <v>240</v>
      </c>
      <c r="B47" s="48">
        <v>3</v>
      </c>
      <c r="C47" s="48">
        <v>3</v>
      </c>
      <c r="D47" s="48">
        <v>3</v>
      </c>
      <c r="E47" s="48">
        <v>3</v>
      </c>
      <c r="F47" s="106">
        <v>3</v>
      </c>
    </row>
    <row r="48" spans="1:19" ht="17" thickBot="1" x14ac:dyDescent="0.25">
      <c r="A48" s="105" t="s">
        <v>246</v>
      </c>
      <c r="B48" s="316">
        <v>0.8</v>
      </c>
      <c r="C48" s="316">
        <v>0.8</v>
      </c>
      <c r="D48" s="316">
        <v>0.8</v>
      </c>
      <c r="E48" s="316">
        <v>0.8</v>
      </c>
      <c r="F48" s="317">
        <v>0.8</v>
      </c>
    </row>
    <row r="49" spans="1:19" ht="17" thickBot="1" x14ac:dyDescent="0.25">
      <c r="A49" s="299" t="s">
        <v>301</v>
      </c>
      <c r="B49" s="300">
        <f>(L4/B47)*B46*B48</f>
        <v>324.44444444444457</v>
      </c>
      <c r="C49" s="300">
        <f>(L4/C47)*C46*C48</f>
        <v>356.88888888888914</v>
      </c>
      <c r="D49" s="300">
        <f>(L4/D47)*D46*D48</f>
        <v>409.12444444444463</v>
      </c>
      <c r="E49" s="300">
        <f>(L4/E47)*E46*E48</f>
        <v>463.30017777777795</v>
      </c>
      <c r="F49" s="320">
        <f>(L4/F47)*F46*F48</f>
        <v>513.33253925925953</v>
      </c>
    </row>
    <row r="51" spans="1:19" ht="17" thickBot="1" x14ac:dyDescent="0.25"/>
    <row r="52" spans="1:19" x14ac:dyDescent="0.2">
      <c r="A52" s="318" t="s">
        <v>484</v>
      </c>
      <c r="B52" s="113"/>
      <c r="C52" s="113"/>
      <c r="D52" s="113"/>
      <c r="E52" s="113"/>
      <c r="F52" s="114"/>
    </row>
    <row r="53" spans="1:19" ht="17" customHeight="1" thickBot="1" x14ac:dyDescent="0.25">
      <c r="A53" s="115"/>
      <c r="B53" s="111"/>
      <c r="C53" s="111"/>
      <c r="D53" s="111"/>
      <c r="E53" s="197"/>
      <c r="F53" s="466"/>
      <c r="G53" s="308"/>
      <c r="H53" s="308"/>
      <c r="I53" s="308"/>
      <c r="J53" s="308"/>
      <c r="O53" s="308"/>
      <c r="P53" s="308"/>
      <c r="Q53" s="308"/>
      <c r="R53" s="308"/>
      <c r="S53" s="308"/>
    </row>
    <row r="54" spans="1:19" ht="17" thickBot="1" x14ac:dyDescent="0.25">
      <c r="A54" s="319" t="s">
        <v>10</v>
      </c>
      <c r="B54" s="289" t="s">
        <v>289</v>
      </c>
      <c r="C54" s="289" t="s">
        <v>290</v>
      </c>
      <c r="D54" s="289" t="s">
        <v>291</v>
      </c>
      <c r="E54" s="289" t="s">
        <v>292</v>
      </c>
      <c r="F54" s="291" t="s">
        <v>293</v>
      </c>
      <c r="G54" s="308"/>
      <c r="H54" s="473" t="s">
        <v>10</v>
      </c>
      <c r="I54" s="197"/>
      <c r="J54" s="308"/>
      <c r="O54" s="308"/>
      <c r="P54" s="308"/>
      <c r="Q54" s="308"/>
      <c r="R54" s="308"/>
      <c r="S54" s="308"/>
    </row>
    <row r="55" spans="1:19" x14ac:dyDescent="0.2">
      <c r="A55" s="170" t="s">
        <v>483</v>
      </c>
      <c r="B55" s="153">
        <f>'Previsión de Ventas'!C23</f>
        <v>0.52916666666666667</v>
      </c>
      <c r="C55" s="153">
        <f>'Previsión de Ventas'!Q23</f>
        <v>0.60854166666666665</v>
      </c>
      <c r="D55" s="153">
        <f>'Previsión de Ventas'!AE23</f>
        <v>0.69015625000000003</v>
      </c>
      <c r="E55" s="153">
        <f>'Previsión de Ventas'!AS23</f>
        <v>0.79047749999999983</v>
      </c>
      <c r="F55" s="293">
        <f>'Previsión de Ventas'!BG23</f>
        <v>0.86883602916666669</v>
      </c>
      <c r="H55" s="48" t="s">
        <v>488</v>
      </c>
      <c r="I55" s="248">
        <v>0.4</v>
      </c>
    </row>
    <row r="56" spans="1:19" x14ac:dyDescent="0.2">
      <c r="A56" s="294" t="s">
        <v>240</v>
      </c>
      <c r="B56" s="48">
        <v>2.1</v>
      </c>
      <c r="C56" s="48">
        <v>2.1</v>
      </c>
      <c r="D56" s="295">
        <v>2.1</v>
      </c>
      <c r="E56" s="295">
        <v>2.1</v>
      </c>
      <c r="F56" s="106">
        <v>2.1</v>
      </c>
      <c r="G56" s="8"/>
      <c r="H56" s="468" t="s">
        <v>247</v>
      </c>
      <c r="I56" s="248">
        <v>0.2</v>
      </c>
      <c r="J56" s="8"/>
      <c r="O56" s="8"/>
      <c r="P56" s="8"/>
      <c r="Q56" s="8"/>
      <c r="R56" s="8"/>
      <c r="S56" s="8"/>
    </row>
    <row r="57" spans="1:19" ht="17" thickBot="1" x14ac:dyDescent="0.25">
      <c r="A57" s="294" t="s">
        <v>485</v>
      </c>
      <c r="B57" s="316">
        <f>$I$59</f>
        <v>1.4500000000000002</v>
      </c>
      <c r="C57" s="316">
        <f t="shared" ref="C57:F57" si="1">$I$59</f>
        <v>1.4500000000000002</v>
      </c>
      <c r="D57" s="316">
        <f t="shared" si="1"/>
        <v>1.4500000000000002</v>
      </c>
      <c r="E57" s="316">
        <f t="shared" si="1"/>
        <v>1.4500000000000002</v>
      </c>
      <c r="F57" s="317">
        <f t="shared" si="1"/>
        <v>1.4500000000000002</v>
      </c>
      <c r="H57" s="48" t="s">
        <v>248</v>
      </c>
      <c r="I57" s="248">
        <v>0.55000000000000004</v>
      </c>
    </row>
    <row r="58" spans="1:19" ht="17" thickBot="1" x14ac:dyDescent="0.25">
      <c r="A58" s="299" t="s">
        <v>301</v>
      </c>
      <c r="B58" s="300">
        <f>(L3/B56)*B55*B57</f>
        <v>12002.633928571429</v>
      </c>
      <c r="C58" s="300">
        <f>(L3/C56)*C55*C57</f>
        <v>13803.029017857141</v>
      </c>
      <c r="D58" s="300">
        <f>(L3/D56)*D55*D57</f>
        <v>15654.222656250002</v>
      </c>
      <c r="E58" s="300">
        <f>(L3/E56)*E55*E57</f>
        <v>17929.723580357138</v>
      </c>
      <c r="F58" s="320">
        <f>(L3/F56)*F55*F57</f>
        <v>19707.06293299107</v>
      </c>
      <c r="G58" s="308"/>
      <c r="H58" s="470" t="s">
        <v>487</v>
      </c>
      <c r="I58" s="248">
        <v>0.3</v>
      </c>
      <c r="J58" s="308"/>
      <c r="O58" s="308"/>
      <c r="P58" s="308"/>
      <c r="Q58" s="308"/>
      <c r="R58" s="308"/>
      <c r="S58" s="308"/>
    </row>
    <row r="59" spans="1:19" x14ac:dyDescent="0.2">
      <c r="A59" s="115"/>
      <c r="B59" s="163"/>
      <c r="C59" s="163"/>
      <c r="D59" s="163"/>
      <c r="E59" s="197"/>
      <c r="F59" s="466"/>
      <c r="G59" s="308"/>
      <c r="H59" s="212" t="s">
        <v>249</v>
      </c>
      <c r="I59" s="471">
        <f>SUM(I55:I58)</f>
        <v>1.4500000000000002</v>
      </c>
      <c r="J59" s="308"/>
      <c r="O59" s="308"/>
      <c r="P59" s="308"/>
      <c r="Q59" s="308"/>
      <c r="R59" s="308"/>
      <c r="S59" s="308"/>
    </row>
    <row r="60" spans="1:19" ht="17" thickBot="1" x14ac:dyDescent="0.25">
      <c r="A60" s="115"/>
      <c r="B60" s="111"/>
      <c r="C60" s="111"/>
      <c r="D60" s="111"/>
      <c r="E60" s="198"/>
      <c r="F60" s="467"/>
      <c r="G60" s="312"/>
      <c r="H60" s="312"/>
      <c r="I60" s="312"/>
      <c r="J60" s="312"/>
      <c r="O60" s="312"/>
      <c r="P60" s="312"/>
      <c r="Q60" s="312"/>
      <c r="R60" s="312"/>
      <c r="S60" s="312"/>
    </row>
    <row r="61" spans="1:19" x14ac:dyDescent="0.2">
      <c r="A61" s="318" t="s">
        <v>11</v>
      </c>
      <c r="B61" s="314" t="s">
        <v>289</v>
      </c>
      <c r="C61" s="314" t="s">
        <v>290</v>
      </c>
      <c r="D61" s="314" t="s">
        <v>291</v>
      </c>
      <c r="E61" s="314" t="s">
        <v>292</v>
      </c>
      <c r="F61" s="315" t="s">
        <v>293</v>
      </c>
      <c r="G61" s="8"/>
      <c r="H61" s="473" t="s">
        <v>11</v>
      </c>
      <c r="I61" s="163"/>
      <c r="J61" s="8"/>
      <c r="O61" s="8"/>
      <c r="P61" s="8"/>
      <c r="Q61" s="8"/>
      <c r="R61" s="8"/>
      <c r="S61" s="8"/>
    </row>
    <row r="62" spans="1:19" x14ac:dyDescent="0.2">
      <c r="A62" s="170" t="s">
        <v>483</v>
      </c>
      <c r="B62" s="153">
        <f>'Previsión de Ventas'!C32</f>
        <v>0.5</v>
      </c>
      <c r="C62" s="153">
        <f>'Previsión de Ventas'!Q32</f>
        <v>0.55000000000000016</v>
      </c>
      <c r="D62" s="153">
        <f>'Previsión de Ventas'!AE32</f>
        <v>0.63050000000000006</v>
      </c>
      <c r="E62" s="153">
        <f>'Previsión de Ventas'!AS32</f>
        <v>0.7139899999999999</v>
      </c>
      <c r="F62" s="293">
        <f>'Previsión de Ventas'!BG32</f>
        <v>0.79109466666666661</v>
      </c>
      <c r="H62" s="468" t="s">
        <v>488</v>
      </c>
      <c r="I62" s="469">
        <v>0.4</v>
      </c>
    </row>
    <row r="63" spans="1:19" x14ac:dyDescent="0.2">
      <c r="A63" s="294" t="s">
        <v>240</v>
      </c>
      <c r="B63" s="48">
        <v>3</v>
      </c>
      <c r="C63" s="48">
        <v>3</v>
      </c>
      <c r="D63" s="48">
        <v>3</v>
      </c>
      <c r="E63" s="48">
        <v>3</v>
      </c>
      <c r="F63" s="106">
        <v>3</v>
      </c>
      <c r="H63" s="468" t="s">
        <v>247</v>
      </c>
      <c r="I63" s="469">
        <v>0.2</v>
      </c>
    </row>
    <row r="64" spans="1:19" ht="17" thickBot="1" x14ac:dyDescent="0.25">
      <c r="A64" s="294" t="s">
        <v>485</v>
      </c>
      <c r="B64" s="316">
        <f>$I$67*2</f>
        <v>3.3000000000000003</v>
      </c>
      <c r="C64" s="316">
        <f t="shared" ref="C64:F64" si="2">$I$67*2</f>
        <v>3.3000000000000003</v>
      </c>
      <c r="D64" s="316">
        <f t="shared" si="2"/>
        <v>3.3000000000000003</v>
      </c>
      <c r="E64" s="316">
        <f t="shared" si="2"/>
        <v>3.3000000000000003</v>
      </c>
      <c r="F64" s="317">
        <f t="shared" si="2"/>
        <v>3.3000000000000003</v>
      </c>
      <c r="H64" s="468" t="s">
        <v>248</v>
      </c>
      <c r="I64" s="469">
        <v>0.55000000000000004</v>
      </c>
    </row>
    <row r="65" spans="1:9" ht="17" thickBot="1" x14ac:dyDescent="0.25">
      <c r="A65" s="299" t="s">
        <v>301</v>
      </c>
      <c r="B65" s="300">
        <f>(L4/B63)*B62*B64</f>
        <v>1338.3333333333339</v>
      </c>
      <c r="C65" s="300">
        <f>(L4/C63)*C62*C64</f>
        <v>1472.1666666666679</v>
      </c>
      <c r="D65" s="300">
        <f>(L4/D63)*D62*D64</f>
        <v>1687.6383333333342</v>
      </c>
      <c r="E65" s="300">
        <f>(L4/E63)*E62*E64</f>
        <v>1911.1132333333342</v>
      </c>
      <c r="F65" s="320">
        <f>(L4/F63)*F62*F64</f>
        <v>2117.4967244444456</v>
      </c>
      <c r="H65" s="468" t="s">
        <v>486</v>
      </c>
      <c r="I65" s="469">
        <v>0.2</v>
      </c>
    </row>
    <row r="66" spans="1:9" x14ac:dyDescent="0.2">
      <c r="H66" s="470" t="s">
        <v>487</v>
      </c>
      <c r="I66" s="469">
        <v>0.3</v>
      </c>
    </row>
    <row r="67" spans="1:9" x14ac:dyDescent="0.2">
      <c r="H67" s="212" t="s">
        <v>249</v>
      </c>
      <c r="I67" s="471">
        <f>SUM(I62:I66)</f>
        <v>1.6500000000000001</v>
      </c>
    </row>
    <row r="68" spans="1:9" ht="17" thickBot="1" x14ac:dyDescent="0.25">
      <c r="H68" s="474"/>
      <c r="I68" s="475"/>
    </row>
    <row r="69" spans="1:9" ht="23" customHeight="1" thickBot="1" x14ac:dyDescent="0.25">
      <c r="A69" s="165" t="s">
        <v>250</v>
      </c>
      <c r="B69" s="321">
        <f>(B18+B26+B42+B49+B58+B65+B32)</f>
        <v>42895.82837301588</v>
      </c>
      <c r="C69" s="321">
        <f>(C18+C26+C42+C49+C58+C65+C32)</f>
        <v>46904.980406746035</v>
      </c>
      <c r="D69" s="321">
        <f>(D18+D26+D42+D49+D58+D65+D32)</f>
        <v>51300.948975694453</v>
      </c>
      <c r="E69" s="321">
        <f>(E18+E26+E42+E49+E58+E65+D32)</f>
        <v>56559.033408134914</v>
      </c>
      <c r="F69" s="321">
        <f>(F18+F26+F42+F49+F58+F65+D32)</f>
        <v>60777.893791000337</v>
      </c>
    </row>
  </sheetData>
  <phoneticPr fontId="3" type="noConversion"/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67"/>
  <sheetViews>
    <sheetView topLeftCell="A21" zoomScale="160" zoomScaleNormal="160" zoomScalePageLayoutView="160" workbookViewId="0">
      <selection activeCell="E37" sqref="E37"/>
    </sheetView>
  </sheetViews>
  <sheetFormatPr baseColWidth="10" defaultColWidth="11" defaultRowHeight="16" x14ac:dyDescent="0.2"/>
  <cols>
    <col min="1" max="1" width="11" style="7"/>
    <col min="2" max="2" width="35" style="7" customWidth="1"/>
    <col min="3" max="3" width="15.5" style="7" bestFit="1" customWidth="1"/>
    <col min="4" max="4" width="19" style="7" bestFit="1" customWidth="1"/>
    <col min="5" max="5" width="12.5" style="7" customWidth="1"/>
    <col min="6" max="6" width="15.5" style="7" customWidth="1"/>
    <col min="7" max="7" width="12.83203125" style="7" bestFit="1" customWidth="1"/>
    <col min="8" max="8" width="14" style="7" customWidth="1"/>
    <col min="9" max="9" width="18.5" style="7" customWidth="1"/>
    <col min="10" max="16" width="12.5" style="7" customWidth="1"/>
    <col min="17" max="16384" width="11" style="7"/>
  </cols>
  <sheetData>
    <row r="3" spans="2:6" ht="17" thickBot="1" x14ac:dyDescent="0.25"/>
    <row r="4" spans="2:6" x14ac:dyDescent="0.2">
      <c r="B4" s="93" t="s">
        <v>251</v>
      </c>
      <c r="C4" s="207">
        <v>500</v>
      </c>
    </row>
    <row r="5" spans="2:6" x14ac:dyDescent="0.2">
      <c r="B5" s="94" t="s">
        <v>252</v>
      </c>
      <c r="C5" s="208">
        <f>C4*E18</f>
        <v>1244500</v>
      </c>
    </row>
    <row r="6" spans="2:6" x14ac:dyDescent="0.2">
      <c r="B6" s="96" t="s">
        <v>253</v>
      </c>
      <c r="C6" s="97">
        <v>21</v>
      </c>
    </row>
    <row r="7" spans="2:6" x14ac:dyDescent="0.2">
      <c r="B7" s="96" t="s">
        <v>254</v>
      </c>
      <c r="C7" s="208">
        <f>C6*E18*12</f>
        <v>627228</v>
      </c>
    </row>
    <row r="8" spans="2:6" x14ac:dyDescent="0.2">
      <c r="B8" s="96" t="s">
        <v>255</v>
      </c>
      <c r="C8" s="208">
        <v>200</v>
      </c>
    </row>
    <row r="9" spans="2:6" x14ac:dyDescent="0.2">
      <c r="B9" s="96" t="s">
        <v>256</v>
      </c>
      <c r="C9" s="209">
        <v>4.96</v>
      </c>
    </row>
    <row r="10" spans="2:6" ht="17" thickBot="1" x14ac:dyDescent="0.25">
      <c r="B10" s="98" t="s">
        <v>257</v>
      </c>
      <c r="C10" s="210">
        <v>3.3500000000000002E-2</v>
      </c>
    </row>
    <row r="11" spans="2:6" ht="32" x14ac:dyDescent="0.2">
      <c r="C11" s="211" t="s">
        <v>258</v>
      </c>
      <c r="D11" s="212" t="s">
        <v>259</v>
      </c>
      <c r="E11" s="212" t="s">
        <v>234</v>
      </c>
      <c r="F11" s="213" t="s">
        <v>260</v>
      </c>
    </row>
    <row r="12" spans="2:6" x14ac:dyDescent="0.2">
      <c r="B12" s="104" t="s">
        <v>469</v>
      </c>
      <c r="C12" s="104">
        <v>90</v>
      </c>
      <c r="D12" s="48">
        <v>19</v>
      </c>
      <c r="E12" s="48">
        <f>(C12/6)*D12</f>
        <v>285</v>
      </c>
      <c r="F12" s="214">
        <v>500</v>
      </c>
    </row>
    <row r="13" spans="2:6" x14ac:dyDescent="0.2">
      <c r="B13" s="48" t="s">
        <v>445</v>
      </c>
      <c r="C13" s="48">
        <v>20</v>
      </c>
      <c r="D13" s="48">
        <v>26</v>
      </c>
      <c r="E13" s="48">
        <f>C13*D13</f>
        <v>520</v>
      </c>
      <c r="F13" s="215">
        <v>8000</v>
      </c>
    </row>
    <row r="14" spans="2:6" x14ac:dyDescent="0.2">
      <c r="B14" s="48" t="s">
        <v>464</v>
      </c>
      <c r="C14" s="48">
        <v>60</v>
      </c>
      <c r="D14" s="48">
        <v>100</v>
      </c>
      <c r="E14" s="48">
        <f>D14</f>
        <v>100</v>
      </c>
      <c r="F14" s="215">
        <v>350</v>
      </c>
    </row>
    <row r="15" spans="2:6" x14ac:dyDescent="0.2">
      <c r="B15" s="48" t="s">
        <v>458</v>
      </c>
      <c r="C15" s="48">
        <v>2</v>
      </c>
      <c r="D15" s="48">
        <v>81</v>
      </c>
      <c r="E15" s="48">
        <f>D15*C15</f>
        <v>162</v>
      </c>
      <c r="F15" s="215">
        <v>4000</v>
      </c>
    </row>
    <row r="16" spans="2:6" x14ac:dyDescent="0.2">
      <c r="B16" s="109" t="s">
        <v>261</v>
      </c>
      <c r="C16" s="48">
        <v>1</v>
      </c>
      <c r="D16" s="48">
        <v>42</v>
      </c>
      <c r="E16" s="48">
        <f>D16</f>
        <v>42</v>
      </c>
      <c r="F16" s="216">
        <v>12000</v>
      </c>
    </row>
    <row r="17" spans="2:8" ht="17" thickBot="1" x14ac:dyDescent="0.25">
      <c r="B17" s="109" t="s">
        <v>239</v>
      </c>
      <c r="C17" s="48">
        <v>6</v>
      </c>
      <c r="D17" s="48">
        <v>230</v>
      </c>
      <c r="E17" s="110">
        <f>C17*D17</f>
        <v>1380</v>
      </c>
    </row>
    <row r="18" spans="2:8" ht="17" thickBot="1" x14ac:dyDescent="0.25">
      <c r="B18" s="15"/>
      <c r="C18" s="111"/>
      <c r="D18" s="111"/>
      <c r="E18" s="112">
        <f>SUM(E12:E17)</f>
        <v>2489</v>
      </c>
    </row>
    <row r="22" spans="2:8" s="219" customFormat="1" hidden="1" x14ac:dyDescent="0.2">
      <c r="B22" s="217" t="s">
        <v>442</v>
      </c>
      <c r="C22" s="218" t="s">
        <v>233</v>
      </c>
      <c r="D22" s="7"/>
      <c r="E22" s="7"/>
      <c r="F22" s="7"/>
      <c r="G22" s="7"/>
      <c r="H22" s="7"/>
    </row>
    <row r="23" spans="2:8" x14ac:dyDescent="0.2">
      <c r="B23" s="220" t="s">
        <v>441</v>
      </c>
      <c r="C23" s="221">
        <f>E18*C4</f>
        <v>1244500</v>
      </c>
      <c r="H23" s="222"/>
    </row>
    <row r="24" spans="2:8" x14ac:dyDescent="0.2">
      <c r="B24" s="220" t="s">
        <v>262</v>
      </c>
      <c r="C24" s="221">
        <f>C8*E18</f>
        <v>497800</v>
      </c>
      <c r="D24" s="132"/>
      <c r="E24" s="223"/>
      <c r="F24" s="223"/>
      <c r="G24" s="223"/>
      <c r="H24" s="223"/>
    </row>
    <row r="25" spans="2:8" x14ac:dyDescent="0.2">
      <c r="B25" s="225" t="s">
        <v>10</v>
      </c>
      <c r="C25" s="214">
        <f>F12*C12/2</f>
        <v>22500</v>
      </c>
      <c r="D25" s="224">
        <f>C25+C26+C27+C28+C29</f>
        <v>223500</v>
      </c>
      <c r="E25" s="224">
        <f>C31+C24+C23+C38</f>
        <v>2219902.0796562871</v>
      </c>
      <c r="F25" s="132"/>
      <c r="G25" s="132"/>
      <c r="H25" s="132"/>
    </row>
    <row r="26" spans="2:8" x14ac:dyDescent="0.2">
      <c r="B26" s="225" t="s">
        <v>11</v>
      </c>
      <c r="C26" s="215">
        <f>F13*C13</f>
        <v>160000</v>
      </c>
      <c r="D26" s="132"/>
      <c r="E26" s="224"/>
      <c r="F26" s="224"/>
      <c r="G26" s="132"/>
      <c r="H26" s="132"/>
    </row>
    <row r="27" spans="2:8" x14ac:dyDescent="0.2">
      <c r="B27" s="225" t="s">
        <v>464</v>
      </c>
      <c r="C27" s="215">
        <f>F14*C14</f>
        <v>21000</v>
      </c>
      <c r="D27" s="132"/>
      <c r="E27" s="132"/>
      <c r="F27" s="132"/>
      <c r="G27" s="132"/>
      <c r="H27" s="132"/>
    </row>
    <row r="28" spans="2:8" x14ac:dyDescent="0.2">
      <c r="B28" s="225" t="s">
        <v>449</v>
      </c>
      <c r="C28" s="215">
        <f>F15*C15</f>
        <v>8000</v>
      </c>
      <c r="D28" s="224"/>
      <c r="E28" s="132"/>
      <c r="F28" s="132"/>
      <c r="G28" s="132"/>
      <c r="H28" s="132"/>
    </row>
    <row r="29" spans="2:8" x14ac:dyDescent="0.2">
      <c r="B29" s="225" t="s">
        <v>439</v>
      </c>
      <c r="C29" s="215">
        <f>F16*C16</f>
        <v>12000</v>
      </c>
      <c r="D29" s="132"/>
      <c r="E29" s="132"/>
      <c r="F29" s="132"/>
      <c r="G29" s="132"/>
      <c r="H29" s="132"/>
    </row>
    <row r="30" spans="2:8" x14ac:dyDescent="0.2">
      <c r="B30" s="225" t="s">
        <v>440</v>
      </c>
      <c r="C30" s="216">
        <f>50*E18</f>
        <v>124450</v>
      </c>
      <c r="D30" s="132"/>
      <c r="E30" s="132"/>
      <c r="F30" s="132"/>
      <c r="G30" s="132"/>
      <c r="H30" s="132"/>
    </row>
    <row r="31" spans="2:8" x14ac:dyDescent="0.2">
      <c r="B31" s="220" t="s">
        <v>403</v>
      </c>
      <c r="C31" s="135">
        <f>SUM(C25:C30)</f>
        <v>347950</v>
      </c>
      <c r="D31" s="224"/>
      <c r="E31" s="132"/>
      <c r="F31" s="132"/>
      <c r="G31" s="132"/>
      <c r="H31" s="132"/>
    </row>
    <row r="32" spans="2:8" x14ac:dyDescent="0.2">
      <c r="B32" s="220" t="s">
        <v>423</v>
      </c>
      <c r="C32" s="135">
        <f>D48</f>
        <v>174485.16183610185</v>
      </c>
      <c r="D32" s="132"/>
      <c r="E32" s="132"/>
      <c r="F32" s="132"/>
      <c r="G32" s="132"/>
      <c r="H32" s="132"/>
    </row>
    <row r="33" spans="2:9" ht="18" x14ac:dyDescent="0.2">
      <c r="B33" s="228" t="s">
        <v>432</v>
      </c>
      <c r="C33" s="229">
        <f>C9*E18</f>
        <v>12345.44</v>
      </c>
      <c r="D33" s="423"/>
      <c r="E33" s="132"/>
      <c r="F33" s="132"/>
      <c r="G33" s="132"/>
      <c r="H33" s="132"/>
    </row>
    <row r="34" spans="2:9" x14ac:dyDescent="0.2">
      <c r="B34" s="225" t="s">
        <v>180</v>
      </c>
      <c r="C34" s="230">
        <f>(C23*C10)</f>
        <v>41690.75</v>
      </c>
      <c r="D34" s="132"/>
      <c r="E34" s="132"/>
      <c r="F34" s="132"/>
      <c r="G34" s="132"/>
      <c r="H34" s="132"/>
    </row>
    <row r="35" spans="2:9" x14ac:dyDescent="0.2">
      <c r="B35" s="225" t="s">
        <v>181</v>
      </c>
      <c r="C35" s="230">
        <v>40000</v>
      </c>
      <c r="D35" s="132"/>
      <c r="E35" s="132"/>
      <c r="F35" s="132"/>
      <c r="G35" s="132"/>
      <c r="H35" s="132"/>
    </row>
    <row r="36" spans="2:9" x14ac:dyDescent="0.2">
      <c r="B36" s="225" t="s">
        <v>182</v>
      </c>
      <c r="C36" s="230">
        <f>(C35*0.2)+(CONSUMOS!B28*0.3)</f>
        <v>15429.409656286916</v>
      </c>
      <c r="D36" s="224"/>
      <c r="E36" s="132"/>
      <c r="F36" s="132"/>
      <c r="G36" s="132"/>
      <c r="H36" s="132"/>
    </row>
    <row r="37" spans="2:9" x14ac:dyDescent="0.2">
      <c r="B37" s="231" t="s">
        <v>183</v>
      </c>
      <c r="C37" s="232">
        <f>GASTOS!B28</f>
        <v>20186.48</v>
      </c>
      <c r="D37" s="224"/>
      <c r="E37" s="132"/>
      <c r="F37" s="132"/>
      <c r="G37" s="132"/>
      <c r="H37" s="132"/>
    </row>
    <row r="38" spans="2:9" x14ac:dyDescent="0.2">
      <c r="B38" s="226" t="s">
        <v>444</v>
      </c>
      <c r="C38" s="227">
        <f>SUM(C33:C37)</f>
        <v>129652.07965628691</v>
      </c>
      <c r="D38" s="224"/>
      <c r="E38" s="132"/>
      <c r="F38" s="132"/>
      <c r="G38" s="132"/>
      <c r="H38" s="132"/>
    </row>
    <row r="39" spans="2:9" x14ac:dyDescent="0.2">
      <c r="B39" s="220" t="s">
        <v>443</v>
      </c>
      <c r="C39" s="422">
        <f>(C23+C24+C31+C32+C38)</f>
        <v>2394387.2414923888</v>
      </c>
      <c r="D39" s="132"/>
      <c r="E39" s="132"/>
      <c r="F39" s="132"/>
      <c r="G39" s="132"/>
      <c r="H39" s="132"/>
    </row>
    <row r="42" spans="2:9" x14ac:dyDescent="0.2">
      <c r="B42" s="53" t="s">
        <v>184</v>
      </c>
      <c r="C42" s="233" t="s">
        <v>476</v>
      </c>
      <c r="D42" s="233" t="s">
        <v>185</v>
      </c>
      <c r="E42" s="45" t="s">
        <v>376</v>
      </c>
      <c r="F42" s="45" t="s">
        <v>377</v>
      </c>
      <c r="G42" s="45" t="s">
        <v>378</v>
      </c>
      <c r="H42" s="45" t="s">
        <v>379</v>
      </c>
      <c r="I42" s="45" t="s">
        <v>380</v>
      </c>
    </row>
    <row r="43" spans="2:9" x14ac:dyDescent="0.2">
      <c r="B43" s="204" t="s">
        <v>186</v>
      </c>
      <c r="C43" s="111"/>
      <c r="D43" s="111"/>
      <c r="E43" s="205">
        <f>'Previsión de Ventas'!D85</f>
        <v>1196723.25</v>
      </c>
      <c r="F43" s="205">
        <f>'Previsión de Ventas'!F85</f>
        <v>1379085.12225</v>
      </c>
      <c r="G43" s="205">
        <f>'Previsión de Ventas'!H85</f>
        <v>1654250.8275589501</v>
      </c>
      <c r="H43" s="205">
        <f>'Previsión de Ventas'!J85</f>
        <v>1911404.2904298976</v>
      </c>
      <c r="I43" s="205">
        <f>'Previsión de Ventas'!L85</f>
        <v>2124677.0525602261</v>
      </c>
    </row>
    <row r="44" spans="2:9" x14ac:dyDescent="0.2">
      <c r="B44" s="234" t="s">
        <v>187</v>
      </c>
      <c r="C44" s="111"/>
      <c r="D44" s="111"/>
      <c r="E44" s="205">
        <f>GASTOS!B53</f>
        <v>599249.11593355553</v>
      </c>
      <c r="F44" s="205">
        <f>GASTOS!C53</f>
        <v>632333.6710570287</v>
      </c>
      <c r="G44" s="205">
        <f>GASTOS!D53</f>
        <v>673485.02737812081</v>
      </c>
      <c r="H44" s="205">
        <f>GASTOS!E53</f>
        <v>715167.51196918427</v>
      </c>
      <c r="I44" s="205">
        <f>GASTOS!F53</f>
        <v>752477.00702270644</v>
      </c>
    </row>
    <row r="45" spans="2:9" x14ac:dyDescent="0.2">
      <c r="B45" s="202" t="s">
        <v>188</v>
      </c>
      <c r="C45" s="111">
        <v>60</v>
      </c>
      <c r="D45" s="205">
        <f>(E43/360)*$C$45</f>
        <v>199453.875</v>
      </c>
      <c r="E45" s="205">
        <f>(E43/360)*$C$45</f>
        <v>199453.875</v>
      </c>
      <c r="F45" s="205">
        <f>(F43/360)*$C$45</f>
        <v>229847.52037500002</v>
      </c>
      <c r="G45" s="205">
        <f t="shared" ref="G45:I45" si="0">(G43/360)*$C$45</f>
        <v>275708.47125982505</v>
      </c>
      <c r="H45" s="205">
        <f t="shared" si="0"/>
        <v>318567.38173831627</v>
      </c>
      <c r="I45" s="205">
        <f t="shared" si="0"/>
        <v>354112.84209337097</v>
      </c>
    </row>
    <row r="46" spans="2:9" x14ac:dyDescent="0.2">
      <c r="B46" s="204" t="s">
        <v>189</v>
      </c>
      <c r="C46" s="111">
        <v>15</v>
      </c>
      <c r="D46" s="205">
        <f>(E44/360)*C46</f>
        <v>24968.713163898148</v>
      </c>
      <c r="E46" s="235">
        <f>D46</f>
        <v>24968.713163898148</v>
      </c>
      <c r="F46" s="205">
        <f>(F44/360)*$C$46</f>
        <v>26347.236294042865</v>
      </c>
      <c r="G46" s="205">
        <f t="shared" ref="G46:I46" si="1">(G44/360)*$C$46</f>
        <v>28061.876140755034</v>
      </c>
      <c r="H46" s="205">
        <f t="shared" si="1"/>
        <v>29798.646332049346</v>
      </c>
      <c r="I46" s="205">
        <f t="shared" si="1"/>
        <v>31353.208625946099</v>
      </c>
    </row>
    <row r="47" spans="2:9" x14ac:dyDescent="0.2">
      <c r="B47" s="204" t="s">
        <v>190</v>
      </c>
      <c r="C47" s="111">
        <v>30</v>
      </c>
      <c r="D47" s="205">
        <f>(E44/360)*C47</f>
        <v>49937.426327796296</v>
      </c>
      <c r="E47" s="235">
        <f>D47</f>
        <v>49937.426327796296</v>
      </c>
      <c r="F47" s="205">
        <f>(F44/360)*$C$47</f>
        <v>52694.47258808573</v>
      </c>
      <c r="G47" s="205">
        <f t="shared" ref="G47:I47" si="2">(G44/360)*$C$47</f>
        <v>56123.752281510067</v>
      </c>
      <c r="H47" s="205">
        <f t="shared" si="2"/>
        <v>59597.292664098692</v>
      </c>
      <c r="I47" s="205">
        <f t="shared" si="2"/>
        <v>62706.417251892199</v>
      </c>
    </row>
    <row r="48" spans="2:9" x14ac:dyDescent="0.2">
      <c r="B48" s="53" t="s">
        <v>191</v>
      </c>
      <c r="C48" s="236"/>
      <c r="D48" s="237">
        <f>D45+D46-D47</f>
        <v>174485.16183610185</v>
      </c>
      <c r="E48" s="237">
        <f t="shared" ref="E48:I48" si="3">E45+E46-E47</f>
        <v>174485.16183610185</v>
      </c>
      <c r="F48" s="237">
        <f t="shared" si="3"/>
        <v>203500.28408095718</v>
      </c>
      <c r="G48" s="237">
        <f t="shared" si="3"/>
        <v>247646.59511907</v>
      </c>
      <c r="H48" s="237">
        <f t="shared" si="3"/>
        <v>288768.73540626693</v>
      </c>
      <c r="I48" s="238">
        <f t="shared" si="3"/>
        <v>322759.63346742484</v>
      </c>
    </row>
    <row r="58" spans="2:2" ht="80" x14ac:dyDescent="0.2">
      <c r="B58" s="418" t="s">
        <v>433</v>
      </c>
    </row>
    <row r="60" spans="2:2" x14ac:dyDescent="0.2">
      <c r="B60" s="7" t="s">
        <v>434</v>
      </c>
    </row>
    <row r="62" spans="2:2" x14ac:dyDescent="0.2">
      <c r="B62" s="7" t="s">
        <v>435</v>
      </c>
    </row>
    <row r="63" spans="2:2" x14ac:dyDescent="0.2">
      <c r="B63" s="7" t="s">
        <v>436</v>
      </c>
    </row>
    <row r="65" spans="2:2" x14ac:dyDescent="0.2">
      <c r="B65" s="7" t="s">
        <v>434</v>
      </c>
    </row>
    <row r="66" spans="2:2" x14ac:dyDescent="0.2">
      <c r="B66" s="7" t="s">
        <v>437</v>
      </c>
    </row>
    <row r="67" spans="2:2" x14ac:dyDescent="0.2">
      <c r="B67" s="7" t="s">
        <v>438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R101"/>
  <sheetViews>
    <sheetView topLeftCell="A46" zoomScale="130" zoomScaleNormal="130" zoomScalePageLayoutView="130" workbookViewId="0">
      <selection activeCell="F32" sqref="A32:XFD44"/>
    </sheetView>
  </sheetViews>
  <sheetFormatPr baseColWidth="10" defaultColWidth="10.5" defaultRowHeight="16" x14ac:dyDescent="0.15"/>
  <cols>
    <col min="1" max="1" width="10.5" style="126"/>
    <col min="2" max="2" width="26.1640625" style="579" customWidth="1"/>
    <col min="3" max="14" width="11.5" style="126" customWidth="1"/>
    <col min="15" max="15" width="10.5" style="126"/>
    <col min="16" max="16" width="26.1640625" style="579" customWidth="1"/>
    <col min="17" max="28" width="11.5" style="126" customWidth="1"/>
    <col min="29" max="29" width="10.5" style="126"/>
    <col min="30" max="30" width="26.1640625" style="579" customWidth="1"/>
    <col min="31" max="42" width="11.5" style="126" customWidth="1"/>
    <col min="43" max="43" width="10.5" style="126"/>
    <col min="44" max="44" width="26.1640625" style="579" customWidth="1"/>
    <col min="45" max="56" width="11.5" style="126" customWidth="1"/>
    <col min="57" max="57" width="10.5" style="126"/>
    <col min="58" max="58" width="26.1640625" style="579" customWidth="1"/>
    <col min="59" max="70" width="11.5" style="126" customWidth="1"/>
    <col min="71" max="16384" width="10.5" style="126"/>
  </cols>
  <sheetData>
    <row r="1" spans="2:70" ht="17" thickBot="1" x14ac:dyDescent="0.2">
      <c r="F1" s="478" t="s">
        <v>192</v>
      </c>
    </row>
    <row r="2" spans="2:70" x14ac:dyDescent="0.15">
      <c r="B2" s="93" t="s">
        <v>193</v>
      </c>
      <c r="C2" s="479">
        <v>150</v>
      </c>
      <c r="F2" s="480" t="s">
        <v>194</v>
      </c>
      <c r="G2" s="481">
        <f>(C7/6)+C8</f>
        <v>35</v>
      </c>
    </row>
    <row r="3" spans="2:70" ht="32" x14ac:dyDescent="0.15">
      <c r="B3" s="96" t="s">
        <v>252</v>
      </c>
      <c r="C3" s="95">
        <f>C2*E13</f>
        <v>382350</v>
      </c>
      <c r="F3" s="480" t="s">
        <v>195</v>
      </c>
      <c r="G3" s="481">
        <v>9000</v>
      </c>
      <c r="H3" s="482"/>
    </row>
    <row r="4" spans="2:70" ht="32" x14ac:dyDescent="0.15">
      <c r="B4" s="96" t="s">
        <v>253</v>
      </c>
      <c r="C4" s="97">
        <v>21</v>
      </c>
      <c r="F4" s="480" t="s">
        <v>196</v>
      </c>
      <c r="G4" s="483">
        <f>G2*G3</f>
        <v>315000</v>
      </c>
    </row>
    <row r="5" spans="2:70" ht="17" thickBot="1" x14ac:dyDescent="0.2">
      <c r="B5" s="98" t="s">
        <v>254</v>
      </c>
      <c r="C5" s="99">
        <f>C4*E13*12</f>
        <v>642348</v>
      </c>
    </row>
    <row r="6" spans="2:70" ht="64" x14ac:dyDescent="0.15">
      <c r="C6" s="100" t="s">
        <v>258</v>
      </c>
      <c r="D6" s="101" t="s">
        <v>259</v>
      </c>
      <c r="E6" s="101" t="s">
        <v>234</v>
      </c>
      <c r="H6" s="484" t="s">
        <v>408</v>
      </c>
      <c r="I6" s="485" t="s">
        <v>409</v>
      </c>
      <c r="L6" s="484" t="s">
        <v>197</v>
      </c>
      <c r="M6" s="485" t="s">
        <v>198</v>
      </c>
    </row>
    <row r="7" spans="2:70" x14ac:dyDescent="0.15">
      <c r="B7" s="580" t="s">
        <v>469</v>
      </c>
      <c r="C7" s="486">
        <v>90</v>
      </c>
      <c r="D7" s="481">
        <v>19</v>
      </c>
      <c r="E7" s="481">
        <f>(C7/6)*D7</f>
        <v>285</v>
      </c>
      <c r="H7" s="487">
        <f>C7*(365/12)</f>
        <v>2737.5</v>
      </c>
      <c r="I7" s="488">
        <f>C7*365</f>
        <v>32850</v>
      </c>
      <c r="L7" s="489">
        <f>C7*(365/12)</f>
        <v>2737.5</v>
      </c>
      <c r="M7" s="490">
        <f>L7*12</f>
        <v>32850</v>
      </c>
    </row>
    <row r="8" spans="2:70" x14ac:dyDescent="0.15">
      <c r="B8" s="470" t="s">
        <v>445</v>
      </c>
      <c r="C8" s="481">
        <v>20</v>
      </c>
      <c r="D8" s="481">
        <v>26</v>
      </c>
      <c r="E8" s="481">
        <f>C8*D8</f>
        <v>520</v>
      </c>
      <c r="H8" s="487">
        <f>C8*(365/12)</f>
        <v>608.33333333333337</v>
      </c>
      <c r="I8" s="488">
        <f>C8*365</f>
        <v>7300</v>
      </c>
      <c r="J8" s="491">
        <f>I8/2.3</f>
        <v>3173.913043478261</v>
      </c>
      <c r="L8" s="492">
        <f>(C8/3)*(365/12)</f>
        <v>202.7777777777778</v>
      </c>
      <c r="M8" s="493">
        <f>L8*12</f>
        <v>2433.3333333333335</v>
      </c>
    </row>
    <row r="9" spans="2:70" ht="17" thickBot="1" x14ac:dyDescent="0.2">
      <c r="B9" s="470" t="s">
        <v>464</v>
      </c>
      <c r="C9" s="481">
        <v>60</v>
      </c>
      <c r="D9" s="481">
        <v>100</v>
      </c>
      <c r="E9" s="481">
        <f>D9</f>
        <v>100</v>
      </c>
      <c r="H9" s="494">
        <v>60</v>
      </c>
      <c r="I9" s="495">
        <f>H9*12</f>
        <v>720</v>
      </c>
      <c r="L9" s="489">
        <f>C9*(365/12)</f>
        <v>1825</v>
      </c>
      <c r="M9" s="490">
        <f>L9*12</f>
        <v>21900</v>
      </c>
    </row>
    <row r="10" spans="2:70" ht="17" thickBot="1" x14ac:dyDescent="0.2">
      <c r="B10" s="470" t="s">
        <v>450</v>
      </c>
      <c r="C10" s="481">
        <v>2</v>
      </c>
      <c r="D10" s="481">
        <v>81</v>
      </c>
      <c r="E10" s="481">
        <f>D10*C10</f>
        <v>162</v>
      </c>
      <c r="G10" s="496" t="s">
        <v>199</v>
      </c>
      <c r="H10" s="487">
        <f>(C10+C11)*(365/12)</f>
        <v>91.25</v>
      </c>
      <c r="I10" s="488">
        <f>(C10+C11)*365</f>
        <v>1095</v>
      </c>
      <c r="K10" s="497" t="s">
        <v>199</v>
      </c>
      <c r="L10" s="498">
        <f>(C10+C11)*(365/12)</f>
        <v>91.25</v>
      </c>
      <c r="M10" s="499">
        <f>L10*12</f>
        <v>1095</v>
      </c>
    </row>
    <row r="11" spans="2:70" ht="17" thickBot="1" x14ac:dyDescent="0.2">
      <c r="B11" s="581" t="s">
        <v>261</v>
      </c>
      <c r="C11" s="481">
        <v>1</v>
      </c>
      <c r="D11" s="481">
        <v>42</v>
      </c>
      <c r="E11" s="481">
        <f>D11</f>
        <v>42</v>
      </c>
      <c r="G11" s="501" t="s">
        <v>280</v>
      </c>
      <c r="H11" s="502">
        <f>SUM(H7:H10)</f>
        <v>3497.0833333333335</v>
      </c>
      <c r="I11" s="503">
        <f>SUM(I7:I10)</f>
        <v>41965</v>
      </c>
      <c r="K11" s="504" t="s">
        <v>280</v>
      </c>
      <c r="L11" s="481"/>
      <c r="M11" s="500"/>
    </row>
    <row r="12" spans="2:70" ht="17" thickBot="1" x14ac:dyDescent="0.2">
      <c r="B12" s="581" t="s">
        <v>239</v>
      </c>
      <c r="C12" s="481">
        <v>6</v>
      </c>
      <c r="D12" s="481">
        <v>240</v>
      </c>
      <c r="E12" s="505">
        <f>C12*D12</f>
        <v>1440</v>
      </c>
      <c r="G12" s="506"/>
      <c r="H12" s="506"/>
      <c r="I12" s="507"/>
      <c r="K12" s="506"/>
      <c r="L12" s="506"/>
      <c r="M12" s="507"/>
      <c r="P12" s="613" t="s">
        <v>200</v>
      </c>
      <c r="Q12" s="508">
        <v>0.15</v>
      </c>
      <c r="AD12" s="620" t="s">
        <v>200</v>
      </c>
      <c r="AE12" s="509">
        <v>0.15</v>
      </c>
      <c r="AR12" s="628" t="s">
        <v>200</v>
      </c>
      <c r="AS12" s="510">
        <v>0.22</v>
      </c>
      <c r="BF12" s="633" t="s">
        <v>200</v>
      </c>
      <c r="BG12" s="511">
        <v>0.18</v>
      </c>
    </row>
    <row r="13" spans="2:70" ht="17" thickBot="1" x14ac:dyDescent="0.2">
      <c r="B13" s="582"/>
      <c r="C13" s="506"/>
      <c r="D13" s="506"/>
      <c r="E13" s="512">
        <f>SUM(E7:E12)</f>
        <v>2549</v>
      </c>
      <c r="P13" s="613" t="s">
        <v>201</v>
      </c>
      <c r="Q13" s="508">
        <v>0.1</v>
      </c>
      <c r="AD13" s="620" t="s">
        <v>201</v>
      </c>
      <c r="AE13" s="509">
        <v>0.15</v>
      </c>
      <c r="AR13" s="628" t="s">
        <v>201</v>
      </c>
      <c r="AS13" s="510">
        <v>0.18</v>
      </c>
      <c r="BF13" s="633" t="s">
        <v>201</v>
      </c>
      <c r="BG13" s="511">
        <v>0.15</v>
      </c>
    </row>
    <row r="14" spans="2:70" ht="17" thickBot="1" x14ac:dyDescent="0.2"/>
    <row r="15" spans="2:70" ht="17" thickBot="1" x14ac:dyDescent="0.2">
      <c r="B15" s="583" t="s">
        <v>320</v>
      </c>
      <c r="C15" s="513"/>
      <c r="D15" s="513"/>
      <c r="E15" s="513"/>
      <c r="F15" s="513"/>
      <c r="G15" s="513"/>
      <c r="H15" s="513"/>
      <c r="I15" s="513"/>
      <c r="J15" s="513"/>
      <c r="K15" s="513"/>
      <c r="L15" s="513"/>
      <c r="M15" s="513"/>
      <c r="N15" s="514"/>
      <c r="P15" s="608" t="s">
        <v>321</v>
      </c>
      <c r="Q15" s="513"/>
      <c r="R15" s="513"/>
      <c r="S15" s="513"/>
      <c r="T15" s="513"/>
      <c r="U15" s="513"/>
      <c r="V15" s="513"/>
      <c r="W15" s="513"/>
      <c r="X15" s="513"/>
      <c r="Y15" s="513"/>
      <c r="Z15" s="513"/>
      <c r="AA15" s="513"/>
      <c r="AB15" s="514"/>
      <c r="AD15" s="609" t="s">
        <v>322</v>
      </c>
      <c r="AE15" s="513"/>
      <c r="AF15" s="513"/>
      <c r="AG15" s="513"/>
      <c r="AH15" s="513"/>
      <c r="AI15" s="513"/>
      <c r="AJ15" s="513"/>
      <c r="AK15" s="513"/>
      <c r="AL15" s="513"/>
      <c r="AM15" s="513"/>
      <c r="AN15" s="513"/>
      <c r="AO15" s="513"/>
      <c r="AP15" s="514"/>
      <c r="AR15" s="610" t="s">
        <v>202</v>
      </c>
      <c r="AS15" s="513"/>
      <c r="AT15" s="513"/>
      <c r="AU15" s="513"/>
      <c r="AV15" s="513"/>
      <c r="AW15" s="513"/>
      <c r="AX15" s="513"/>
      <c r="AY15" s="513"/>
      <c r="AZ15" s="513"/>
      <c r="BA15" s="513"/>
      <c r="BB15" s="513"/>
      <c r="BC15" s="513"/>
      <c r="BD15" s="514"/>
      <c r="BF15" s="611" t="s">
        <v>203</v>
      </c>
      <c r="BG15" s="513"/>
      <c r="BH15" s="513"/>
      <c r="BI15" s="513"/>
      <c r="BJ15" s="513"/>
      <c r="BK15" s="513"/>
      <c r="BL15" s="513"/>
      <c r="BM15" s="513"/>
      <c r="BN15" s="513"/>
      <c r="BO15" s="513"/>
      <c r="BP15" s="513"/>
      <c r="BQ15" s="513"/>
      <c r="BR15" s="514"/>
    </row>
    <row r="16" spans="2:70" ht="17" thickBot="1" x14ac:dyDescent="0.2">
      <c r="B16" s="584"/>
      <c r="C16" s="506"/>
      <c r="D16" s="506"/>
      <c r="E16" s="506"/>
      <c r="F16" s="506"/>
      <c r="G16" s="506"/>
      <c r="H16" s="506"/>
      <c r="I16" s="506"/>
      <c r="J16" s="506"/>
      <c r="K16" s="506"/>
      <c r="L16" s="506"/>
      <c r="M16" s="506"/>
      <c r="N16" s="515"/>
      <c r="P16" s="584"/>
      <c r="Q16" s="506"/>
      <c r="R16" s="506"/>
      <c r="S16" s="506"/>
      <c r="T16" s="506"/>
      <c r="U16" s="506"/>
      <c r="V16" s="506"/>
      <c r="W16" s="506"/>
      <c r="X16" s="506"/>
      <c r="Y16" s="506"/>
      <c r="Z16" s="506"/>
      <c r="AA16" s="506"/>
      <c r="AB16" s="515"/>
      <c r="AD16" s="584"/>
      <c r="AE16" s="506"/>
      <c r="AF16" s="506"/>
      <c r="AG16" s="506"/>
      <c r="AH16" s="506"/>
      <c r="AI16" s="506"/>
      <c r="AJ16" s="506"/>
      <c r="AK16" s="506"/>
      <c r="AL16" s="506"/>
      <c r="AM16" s="506"/>
      <c r="AN16" s="506"/>
      <c r="AO16" s="506"/>
      <c r="AP16" s="515"/>
      <c r="AR16" s="584"/>
      <c r="AS16" s="506"/>
      <c r="AT16" s="506"/>
      <c r="AU16" s="506"/>
      <c r="AV16" s="506"/>
      <c r="AW16" s="506"/>
      <c r="AX16" s="506"/>
      <c r="AY16" s="506"/>
      <c r="AZ16" s="506"/>
      <c r="BA16" s="506"/>
      <c r="BB16" s="506"/>
      <c r="BC16" s="506"/>
      <c r="BD16" s="515"/>
      <c r="BF16" s="584"/>
      <c r="BG16" s="506"/>
      <c r="BH16" s="506"/>
      <c r="BI16" s="506"/>
      <c r="BJ16" s="506"/>
      <c r="BK16" s="506"/>
      <c r="BL16" s="506"/>
      <c r="BM16" s="506"/>
      <c r="BN16" s="506"/>
      <c r="BO16" s="506"/>
      <c r="BP16" s="506"/>
      <c r="BQ16" s="506"/>
      <c r="BR16" s="515"/>
    </row>
    <row r="17" spans="2:70" s="308" customFormat="1" ht="17" thickBot="1" x14ac:dyDescent="0.2">
      <c r="B17" s="583" t="s">
        <v>10</v>
      </c>
      <c r="C17" s="516" t="s">
        <v>204</v>
      </c>
      <c r="D17" s="517" t="s">
        <v>205</v>
      </c>
      <c r="E17" s="517" t="s">
        <v>206</v>
      </c>
      <c r="F17" s="517" t="s">
        <v>207</v>
      </c>
      <c r="G17" s="517" t="s">
        <v>208</v>
      </c>
      <c r="H17" s="517" t="s">
        <v>209</v>
      </c>
      <c r="I17" s="517" t="s">
        <v>210</v>
      </c>
      <c r="J17" s="517" t="s">
        <v>211</v>
      </c>
      <c r="K17" s="517" t="s">
        <v>212</v>
      </c>
      <c r="L17" s="517" t="s">
        <v>213</v>
      </c>
      <c r="M17" s="517" t="s">
        <v>214</v>
      </c>
      <c r="N17" s="518" t="s">
        <v>215</v>
      </c>
      <c r="P17" s="608" t="s">
        <v>10</v>
      </c>
      <c r="Q17" s="516" t="s">
        <v>204</v>
      </c>
      <c r="R17" s="517" t="s">
        <v>205</v>
      </c>
      <c r="S17" s="517" t="s">
        <v>206</v>
      </c>
      <c r="T17" s="517" t="s">
        <v>207</v>
      </c>
      <c r="U17" s="517" t="s">
        <v>208</v>
      </c>
      <c r="V17" s="517" t="s">
        <v>209</v>
      </c>
      <c r="W17" s="517" t="s">
        <v>210</v>
      </c>
      <c r="X17" s="517" t="s">
        <v>211</v>
      </c>
      <c r="Y17" s="517" t="s">
        <v>212</v>
      </c>
      <c r="Z17" s="517" t="s">
        <v>213</v>
      </c>
      <c r="AA17" s="517" t="s">
        <v>214</v>
      </c>
      <c r="AB17" s="518" t="s">
        <v>215</v>
      </c>
      <c r="AD17" s="609" t="s">
        <v>10</v>
      </c>
      <c r="AE17" s="516" t="s">
        <v>204</v>
      </c>
      <c r="AF17" s="517" t="s">
        <v>205</v>
      </c>
      <c r="AG17" s="517" t="s">
        <v>206</v>
      </c>
      <c r="AH17" s="517" t="s">
        <v>207</v>
      </c>
      <c r="AI17" s="517" t="s">
        <v>208</v>
      </c>
      <c r="AJ17" s="517" t="s">
        <v>209</v>
      </c>
      <c r="AK17" s="517" t="s">
        <v>210</v>
      </c>
      <c r="AL17" s="517" t="s">
        <v>211</v>
      </c>
      <c r="AM17" s="517" t="s">
        <v>212</v>
      </c>
      <c r="AN17" s="517" t="s">
        <v>213</v>
      </c>
      <c r="AO17" s="517" t="s">
        <v>214</v>
      </c>
      <c r="AP17" s="518" t="s">
        <v>215</v>
      </c>
      <c r="AR17" s="610" t="s">
        <v>10</v>
      </c>
      <c r="AS17" s="516" t="s">
        <v>204</v>
      </c>
      <c r="AT17" s="517" t="s">
        <v>205</v>
      </c>
      <c r="AU17" s="517" t="s">
        <v>206</v>
      </c>
      <c r="AV17" s="517" t="s">
        <v>207</v>
      </c>
      <c r="AW17" s="517" t="s">
        <v>208</v>
      </c>
      <c r="AX17" s="517" t="s">
        <v>209</v>
      </c>
      <c r="AY17" s="517" t="s">
        <v>210</v>
      </c>
      <c r="AZ17" s="517" t="s">
        <v>211</v>
      </c>
      <c r="BA17" s="517" t="s">
        <v>212</v>
      </c>
      <c r="BB17" s="517" t="s">
        <v>213</v>
      </c>
      <c r="BC17" s="517" t="s">
        <v>214</v>
      </c>
      <c r="BD17" s="518" t="s">
        <v>215</v>
      </c>
      <c r="BF17" s="611" t="s">
        <v>10</v>
      </c>
      <c r="BG17" s="516" t="s">
        <v>204</v>
      </c>
      <c r="BH17" s="517" t="s">
        <v>205</v>
      </c>
      <c r="BI17" s="517" t="s">
        <v>206</v>
      </c>
      <c r="BJ17" s="517" t="s">
        <v>207</v>
      </c>
      <c r="BK17" s="517" t="s">
        <v>208</v>
      </c>
      <c r="BL17" s="517" t="s">
        <v>209</v>
      </c>
      <c r="BM17" s="517" t="s">
        <v>210</v>
      </c>
      <c r="BN17" s="517" t="s">
        <v>211</v>
      </c>
      <c r="BO17" s="517" t="s">
        <v>212</v>
      </c>
      <c r="BP17" s="517" t="s">
        <v>213</v>
      </c>
      <c r="BQ17" s="517" t="s">
        <v>214</v>
      </c>
      <c r="BR17" s="518" t="s">
        <v>215</v>
      </c>
    </row>
    <row r="18" spans="2:70" x14ac:dyDescent="0.15">
      <c r="B18" s="585" t="s">
        <v>410</v>
      </c>
      <c r="C18" s="121">
        <v>0.35</v>
      </c>
      <c r="D18" s="121">
        <v>0.35</v>
      </c>
      <c r="E18" s="121">
        <v>0.4</v>
      </c>
      <c r="F18" s="121">
        <v>0.5</v>
      </c>
      <c r="G18" s="121">
        <v>0.55000000000000004</v>
      </c>
      <c r="H18" s="121">
        <v>0.7</v>
      </c>
      <c r="I18" s="121">
        <v>0.8</v>
      </c>
      <c r="J18" s="121">
        <v>0.8</v>
      </c>
      <c r="K18" s="121">
        <v>0.65</v>
      </c>
      <c r="L18" s="121">
        <v>0.5</v>
      </c>
      <c r="M18" s="121">
        <v>0.4</v>
      </c>
      <c r="N18" s="122">
        <v>0.35</v>
      </c>
      <c r="P18" s="585" t="s">
        <v>410</v>
      </c>
      <c r="Q18" s="121">
        <f>C18*(1+$Q$12)</f>
        <v>0.40249999999999997</v>
      </c>
      <c r="R18" s="121">
        <f>D18*(1+$Q$12)</f>
        <v>0.40249999999999997</v>
      </c>
      <c r="S18" s="121">
        <f t="shared" ref="S18:AB18" si="0">E18*(1+$Q$12)</f>
        <v>0.45999999999999996</v>
      </c>
      <c r="T18" s="121">
        <f t="shared" si="0"/>
        <v>0.57499999999999996</v>
      </c>
      <c r="U18" s="121">
        <f t="shared" si="0"/>
        <v>0.63249999999999995</v>
      </c>
      <c r="V18" s="121">
        <f t="shared" si="0"/>
        <v>0.80499999999999994</v>
      </c>
      <c r="W18" s="121">
        <f t="shared" si="0"/>
        <v>0.91999999999999993</v>
      </c>
      <c r="X18" s="121">
        <f t="shared" si="0"/>
        <v>0.91999999999999993</v>
      </c>
      <c r="Y18" s="121">
        <f t="shared" si="0"/>
        <v>0.74749999999999994</v>
      </c>
      <c r="Z18" s="121">
        <f t="shared" si="0"/>
        <v>0.57499999999999996</v>
      </c>
      <c r="AA18" s="121">
        <f t="shared" si="0"/>
        <v>0.45999999999999996</v>
      </c>
      <c r="AB18" s="122">
        <f t="shared" si="0"/>
        <v>0.40249999999999997</v>
      </c>
      <c r="AD18" s="585" t="s">
        <v>410</v>
      </c>
      <c r="AE18" s="121">
        <f>Q18*(1+$AE$12)</f>
        <v>0.46287499999999993</v>
      </c>
      <c r="AF18" s="121">
        <f t="shared" ref="AF18:AP18" si="1">R18*(1+$AE$12)</f>
        <v>0.46287499999999993</v>
      </c>
      <c r="AG18" s="121">
        <f t="shared" si="1"/>
        <v>0.52899999999999991</v>
      </c>
      <c r="AH18" s="121">
        <f t="shared" si="1"/>
        <v>0.66124999999999989</v>
      </c>
      <c r="AI18" s="121">
        <f t="shared" si="1"/>
        <v>0.72737499999999988</v>
      </c>
      <c r="AJ18" s="121">
        <f t="shared" si="1"/>
        <v>0.92574999999999985</v>
      </c>
      <c r="AK18" s="121">
        <v>1</v>
      </c>
      <c r="AL18" s="121">
        <v>1</v>
      </c>
      <c r="AM18" s="121">
        <f t="shared" si="1"/>
        <v>0.85962499999999986</v>
      </c>
      <c r="AN18" s="121">
        <f t="shared" si="1"/>
        <v>0.66124999999999989</v>
      </c>
      <c r="AO18" s="121">
        <f t="shared" si="1"/>
        <v>0.52899999999999991</v>
      </c>
      <c r="AP18" s="122">
        <f t="shared" si="1"/>
        <v>0.46287499999999993</v>
      </c>
      <c r="AR18" s="585" t="s">
        <v>410</v>
      </c>
      <c r="AS18" s="121">
        <f>AE18*(1+$AS$12)</f>
        <v>0.56470749999999992</v>
      </c>
      <c r="AT18" s="121">
        <f t="shared" ref="AT18:BD18" si="2">AF18*(1+$AS$12)</f>
        <v>0.56470749999999992</v>
      </c>
      <c r="AU18" s="121">
        <f t="shared" si="2"/>
        <v>0.64537999999999984</v>
      </c>
      <c r="AV18" s="121">
        <f t="shared" si="2"/>
        <v>0.8067249999999998</v>
      </c>
      <c r="AW18" s="121">
        <f t="shared" si="2"/>
        <v>0.88739749999999984</v>
      </c>
      <c r="AX18" s="121">
        <v>1</v>
      </c>
      <c r="AY18" s="121">
        <v>1</v>
      </c>
      <c r="AZ18" s="121">
        <v>1</v>
      </c>
      <c r="BA18" s="121">
        <v>1</v>
      </c>
      <c r="BB18" s="121">
        <f t="shared" si="2"/>
        <v>0.8067249999999998</v>
      </c>
      <c r="BC18" s="121">
        <f t="shared" si="2"/>
        <v>0.64537999999999984</v>
      </c>
      <c r="BD18" s="122">
        <f t="shared" si="2"/>
        <v>0.56470749999999992</v>
      </c>
      <c r="BF18" s="585" t="s">
        <v>410</v>
      </c>
      <c r="BG18" s="121">
        <f>AS18*(1+$BG$12)</f>
        <v>0.66635484999999983</v>
      </c>
      <c r="BH18" s="121">
        <f t="shared" ref="BH18:BR18" si="3">AT18*(1+$BG$12)</f>
        <v>0.66635484999999983</v>
      </c>
      <c r="BI18" s="121">
        <f t="shared" si="3"/>
        <v>0.76154839999999979</v>
      </c>
      <c r="BJ18" s="121">
        <f t="shared" si="3"/>
        <v>0.95193549999999971</v>
      </c>
      <c r="BK18" s="121">
        <v>1</v>
      </c>
      <c r="BL18" s="121">
        <v>1</v>
      </c>
      <c r="BM18" s="121">
        <v>1</v>
      </c>
      <c r="BN18" s="121">
        <v>1</v>
      </c>
      <c r="BO18" s="121">
        <v>1</v>
      </c>
      <c r="BP18" s="121">
        <f t="shared" si="3"/>
        <v>0.95193549999999971</v>
      </c>
      <c r="BQ18" s="121">
        <f t="shared" si="3"/>
        <v>0.76154839999999979</v>
      </c>
      <c r="BR18" s="122">
        <f t="shared" si="3"/>
        <v>0.66635484999999983</v>
      </c>
    </row>
    <row r="19" spans="2:70" x14ac:dyDescent="0.15">
      <c r="B19" s="585" t="s">
        <v>411</v>
      </c>
      <c r="C19" s="123">
        <f>C18*$H$7</f>
        <v>958.12499999999989</v>
      </c>
      <c r="D19" s="123">
        <f>D18*$H$7</f>
        <v>958.12499999999989</v>
      </c>
      <c r="E19" s="123">
        <f>E18*$H$7</f>
        <v>1095</v>
      </c>
      <c r="F19" s="123">
        <f t="shared" ref="F19:N19" si="4">F18*$H$7</f>
        <v>1368.75</v>
      </c>
      <c r="G19" s="123">
        <f t="shared" si="4"/>
        <v>1505.6250000000002</v>
      </c>
      <c r="H19" s="123">
        <f t="shared" si="4"/>
        <v>1916.2499999999998</v>
      </c>
      <c r="I19" s="123">
        <f t="shared" si="4"/>
        <v>2190</v>
      </c>
      <c r="J19" s="123">
        <f t="shared" si="4"/>
        <v>2190</v>
      </c>
      <c r="K19" s="123">
        <f t="shared" si="4"/>
        <v>1779.375</v>
      </c>
      <c r="L19" s="123">
        <f t="shared" si="4"/>
        <v>1368.75</v>
      </c>
      <c r="M19" s="123">
        <f t="shared" si="4"/>
        <v>1095</v>
      </c>
      <c r="N19" s="450">
        <f t="shared" si="4"/>
        <v>958.12499999999989</v>
      </c>
      <c r="P19" s="585" t="s">
        <v>411</v>
      </c>
      <c r="Q19" s="123">
        <f>Q18*$H$7</f>
        <v>1101.84375</v>
      </c>
      <c r="R19" s="123">
        <f t="shared" ref="R19:AB19" si="5">R18*$H$7</f>
        <v>1101.84375</v>
      </c>
      <c r="S19" s="123">
        <f t="shared" si="5"/>
        <v>1259.25</v>
      </c>
      <c r="T19" s="123">
        <f t="shared" si="5"/>
        <v>1574.0624999999998</v>
      </c>
      <c r="U19" s="123">
        <f t="shared" si="5"/>
        <v>1731.4687499999998</v>
      </c>
      <c r="V19" s="123">
        <f t="shared" si="5"/>
        <v>2203.6875</v>
      </c>
      <c r="W19" s="123">
        <f t="shared" si="5"/>
        <v>2518.5</v>
      </c>
      <c r="X19" s="123">
        <f t="shared" si="5"/>
        <v>2518.5</v>
      </c>
      <c r="Y19" s="123">
        <f t="shared" si="5"/>
        <v>2046.2812499999998</v>
      </c>
      <c r="Z19" s="123">
        <f t="shared" si="5"/>
        <v>1574.0624999999998</v>
      </c>
      <c r="AA19" s="123">
        <f t="shared" si="5"/>
        <v>1259.25</v>
      </c>
      <c r="AB19" s="450">
        <f t="shared" si="5"/>
        <v>1101.84375</v>
      </c>
      <c r="AD19" s="585" t="s">
        <v>411</v>
      </c>
      <c r="AE19" s="123">
        <f>AE18*$H$7</f>
        <v>1267.1203124999997</v>
      </c>
      <c r="AF19" s="123">
        <f t="shared" ref="AF19" si="6">AF18*$H$7</f>
        <v>1267.1203124999997</v>
      </c>
      <c r="AG19" s="123">
        <f t="shared" ref="AG19" si="7">AG18*$H$7</f>
        <v>1448.1374999999998</v>
      </c>
      <c r="AH19" s="123">
        <f t="shared" ref="AH19" si="8">AH18*$H$7</f>
        <v>1810.1718749999998</v>
      </c>
      <c r="AI19" s="123">
        <f t="shared" ref="AI19" si="9">AI18*$H$7</f>
        <v>1991.1890624999996</v>
      </c>
      <c r="AJ19" s="123">
        <f t="shared" ref="AJ19" si="10">AJ18*$H$7</f>
        <v>2534.2406249999995</v>
      </c>
      <c r="AK19" s="123">
        <f t="shared" ref="AK19" si="11">AK18*$H$7</f>
        <v>2737.5</v>
      </c>
      <c r="AL19" s="123">
        <f t="shared" ref="AL19" si="12">AL18*$H$7</f>
        <v>2737.5</v>
      </c>
      <c r="AM19" s="123">
        <f t="shared" ref="AM19" si="13">AM18*$H$7</f>
        <v>2353.2234374999998</v>
      </c>
      <c r="AN19" s="123">
        <f t="shared" ref="AN19" si="14">AN18*$H$7</f>
        <v>1810.1718749999998</v>
      </c>
      <c r="AO19" s="123">
        <f t="shared" ref="AO19" si="15">AO18*$H$7</f>
        <v>1448.1374999999998</v>
      </c>
      <c r="AP19" s="450">
        <f t="shared" ref="AP19" si="16">AP18*$H$7</f>
        <v>1267.1203124999997</v>
      </c>
      <c r="AR19" s="585" t="s">
        <v>411</v>
      </c>
      <c r="AS19" s="123">
        <f>AS18*$H$7</f>
        <v>1545.8867812499998</v>
      </c>
      <c r="AT19" s="123">
        <f t="shared" ref="AT19" si="17">AT18*$H$7</f>
        <v>1545.8867812499998</v>
      </c>
      <c r="AU19" s="123">
        <f t="shared" ref="AU19" si="18">AU18*$H$7</f>
        <v>1766.7277499999996</v>
      </c>
      <c r="AV19" s="123">
        <f t="shared" ref="AV19" si="19">AV18*$H$7</f>
        <v>2208.4096874999996</v>
      </c>
      <c r="AW19" s="123">
        <f t="shared" ref="AW19" si="20">AW18*$H$7</f>
        <v>2429.2506562499993</v>
      </c>
      <c r="AX19" s="123">
        <f t="shared" ref="AX19" si="21">AX18*$H$7</f>
        <v>2737.5</v>
      </c>
      <c r="AY19" s="123">
        <f t="shared" ref="AY19" si="22">AY18*$H$7</f>
        <v>2737.5</v>
      </c>
      <c r="AZ19" s="123">
        <f t="shared" ref="AZ19" si="23">AZ18*$H$7</f>
        <v>2737.5</v>
      </c>
      <c r="BA19" s="123">
        <f t="shared" ref="BA19" si="24">BA18*$H$7</f>
        <v>2737.5</v>
      </c>
      <c r="BB19" s="123">
        <f t="shared" ref="BB19" si="25">BB18*$H$7</f>
        <v>2208.4096874999996</v>
      </c>
      <c r="BC19" s="123">
        <f t="shared" ref="BC19" si="26">BC18*$H$7</f>
        <v>1766.7277499999996</v>
      </c>
      <c r="BD19" s="450">
        <f t="shared" ref="BD19" si="27">BD18*$H$7</f>
        <v>1545.8867812499998</v>
      </c>
      <c r="BF19" s="585" t="s">
        <v>411</v>
      </c>
      <c r="BG19" s="123">
        <f>BG18*$H$7</f>
        <v>1824.1464018749996</v>
      </c>
      <c r="BH19" s="123">
        <f>BH18*$H$7</f>
        <v>1824.1464018749996</v>
      </c>
      <c r="BI19" s="123">
        <f>BI18*$H$7</f>
        <v>2084.7387449999997</v>
      </c>
      <c r="BJ19" s="123">
        <f t="shared" ref="BJ19" si="28">BJ18*$H$7</f>
        <v>2605.9234312499993</v>
      </c>
      <c r="BK19" s="123">
        <f t="shared" ref="BK19" si="29">BK18*$H$7</f>
        <v>2737.5</v>
      </c>
      <c r="BL19" s="123">
        <f t="shared" ref="BL19" si="30">BL18*$H$7</f>
        <v>2737.5</v>
      </c>
      <c r="BM19" s="123">
        <f t="shared" ref="BM19" si="31">BM18*$H$7</f>
        <v>2737.5</v>
      </c>
      <c r="BN19" s="123">
        <f t="shared" ref="BN19" si="32">BN18*$H$7</f>
        <v>2737.5</v>
      </c>
      <c r="BO19" s="123">
        <f t="shared" ref="BO19" si="33">BO18*$H$7</f>
        <v>2737.5</v>
      </c>
      <c r="BP19" s="123">
        <f t="shared" ref="BP19" si="34">BP18*$H$7</f>
        <v>2605.9234312499993</v>
      </c>
      <c r="BQ19" s="123">
        <f t="shared" ref="BQ19" si="35">BQ18*$H$7</f>
        <v>2084.7387449999997</v>
      </c>
      <c r="BR19" s="450">
        <f t="shared" ref="BR19" si="36">BR18*$H$7</f>
        <v>1824.1464018749996</v>
      </c>
    </row>
    <row r="20" spans="2:70" s="519" customFormat="1" x14ac:dyDescent="0.15">
      <c r="B20" s="586" t="s">
        <v>216</v>
      </c>
      <c r="C20" s="476">
        <v>22</v>
      </c>
      <c r="D20" s="476">
        <v>22</v>
      </c>
      <c r="E20" s="476">
        <v>25</v>
      </c>
      <c r="F20" s="476">
        <v>30</v>
      </c>
      <c r="G20" s="476">
        <v>35</v>
      </c>
      <c r="H20" s="476">
        <v>40</v>
      </c>
      <c r="I20" s="476">
        <v>50</v>
      </c>
      <c r="J20" s="476">
        <v>50</v>
      </c>
      <c r="K20" s="476">
        <v>40</v>
      </c>
      <c r="L20" s="476">
        <v>30</v>
      </c>
      <c r="M20" s="476">
        <v>25</v>
      </c>
      <c r="N20" s="477">
        <v>22</v>
      </c>
      <c r="P20" s="586" t="s">
        <v>216</v>
      </c>
      <c r="Q20" s="520">
        <f>C20*(1+2%)</f>
        <v>22.44</v>
      </c>
      <c r="R20" s="476">
        <f t="shared" ref="R20:AB20" si="37">D20*(1+2%)</f>
        <v>22.44</v>
      </c>
      <c r="S20" s="476">
        <f t="shared" si="37"/>
        <v>25.5</v>
      </c>
      <c r="T20" s="476">
        <f t="shared" si="37"/>
        <v>30.6</v>
      </c>
      <c r="U20" s="476">
        <f t="shared" si="37"/>
        <v>35.700000000000003</v>
      </c>
      <c r="V20" s="476">
        <f t="shared" si="37"/>
        <v>40.799999999999997</v>
      </c>
      <c r="W20" s="476">
        <f t="shared" si="37"/>
        <v>51</v>
      </c>
      <c r="X20" s="476">
        <f t="shared" si="37"/>
        <v>51</v>
      </c>
      <c r="Y20" s="476">
        <f t="shared" si="37"/>
        <v>40.799999999999997</v>
      </c>
      <c r="Z20" s="476">
        <f t="shared" si="37"/>
        <v>30.6</v>
      </c>
      <c r="AA20" s="476">
        <f t="shared" si="37"/>
        <v>25.5</v>
      </c>
      <c r="AB20" s="477">
        <f t="shared" si="37"/>
        <v>22.44</v>
      </c>
      <c r="AD20" s="586" t="s">
        <v>216</v>
      </c>
      <c r="AE20" s="476">
        <f>Q20*(1+2%)</f>
        <v>22.888800000000003</v>
      </c>
      <c r="AF20" s="476">
        <f t="shared" ref="AF20:AP20" si="38">R20*(1+2%)</f>
        <v>22.888800000000003</v>
      </c>
      <c r="AG20" s="476">
        <f t="shared" si="38"/>
        <v>26.01</v>
      </c>
      <c r="AH20" s="476">
        <f t="shared" si="38"/>
        <v>31.212000000000003</v>
      </c>
      <c r="AI20" s="476">
        <f t="shared" si="38"/>
        <v>36.414000000000001</v>
      </c>
      <c r="AJ20" s="476">
        <f t="shared" si="38"/>
        <v>41.616</v>
      </c>
      <c r="AK20" s="476">
        <f t="shared" si="38"/>
        <v>52.02</v>
      </c>
      <c r="AL20" s="476">
        <f t="shared" si="38"/>
        <v>52.02</v>
      </c>
      <c r="AM20" s="476">
        <f t="shared" si="38"/>
        <v>41.616</v>
      </c>
      <c r="AN20" s="476">
        <f t="shared" si="38"/>
        <v>31.212000000000003</v>
      </c>
      <c r="AO20" s="476">
        <f t="shared" si="38"/>
        <v>26.01</v>
      </c>
      <c r="AP20" s="477">
        <f t="shared" si="38"/>
        <v>22.888800000000003</v>
      </c>
      <c r="AR20" s="586" t="s">
        <v>216</v>
      </c>
      <c r="AS20" s="476">
        <f>AE20*(1+2%)</f>
        <v>23.346576000000002</v>
      </c>
      <c r="AT20" s="476">
        <f t="shared" ref="AT20:BD20" si="39">AF20*(1+2%)</f>
        <v>23.346576000000002</v>
      </c>
      <c r="AU20" s="476">
        <f t="shared" si="39"/>
        <v>26.530200000000001</v>
      </c>
      <c r="AV20" s="476">
        <f t="shared" si="39"/>
        <v>31.836240000000004</v>
      </c>
      <c r="AW20" s="476">
        <f t="shared" si="39"/>
        <v>37.14228</v>
      </c>
      <c r="AX20" s="476">
        <f t="shared" si="39"/>
        <v>42.448320000000002</v>
      </c>
      <c r="AY20" s="476">
        <f t="shared" si="39"/>
        <v>53.060400000000001</v>
      </c>
      <c r="AZ20" s="476">
        <f t="shared" si="39"/>
        <v>53.060400000000001</v>
      </c>
      <c r="BA20" s="476">
        <f t="shared" si="39"/>
        <v>42.448320000000002</v>
      </c>
      <c r="BB20" s="476">
        <f t="shared" si="39"/>
        <v>31.836240000000004</v>
      </c>
      <c r="BC20" s="476">
        <f t="shared" si="39"/>
        <v>26.530200000000001</v>
      </c>
      <c r="BD20" s="477">
        <f t="shared" si="39"/>
        <v>23.346576000000002</v>
      </c>
      <c r="BF20" s="586" t="s">
        <v>216</v>
      </c>
      <c r="BG20" s="521">
        <f>AS20*(1+2%)</f>
        <v>23.813507520000002</v>
      </c>
      <c r="BH20" s="521">
        <f t="shared" ref="BH20:BR20" si="40">AT20*(1+2%)</f>
        <v>23.813507520000002</v>
      </c>
      <c r="BI20" s="521">
        <f t="shared" si="40"/>
        <v>27.060804000000001</v>
      </c>
      <c r="BJ20" s="521">
        <f t="shared" si="40"/>
        <v>32.472964800000007</v>
      </c>
      <c r="BK20" s="521">
        <f t="shared" si="40"/>
        <v>37.885125600000002</v>
      </c>
      <c r="BL20" s="521">
        <f t="shared" si="40"/>
        <v>43.297286400000004</v>
      </c>
      <c r="BM20" s="521">
        <f t="shared" si="40"/>
        <v>54.121608000000002</v>
      </c>
      <c r="BN20" s="521">
        <f t="shared" si="40"/>
        <v>54.121608000000002</v>
      </c>
      <c r="BO20" s="521">
        <f t="shared" si="40"/>
        <v>43.297286400000004</v>
      </c>
      <c r="BP20" s="521">
        <f t="shared" si="40"/>
        <v>32.472964800000007</v>
      </c>
      <c r="BQ20" s="521">
        <f t="shared" si="40"/>
        <v>27.060804000000001</v>
      </c>
      <c r="BR20" s="522">
        <f t="shared" si="40"/>
        <v>23.813507520000002</v>
      </c>
    </row>
    <row r="21" spans="2:70" s="523" customFormat="1" ht="17" thickBot="1" x14ac:dyDescent="0.2">
      <c r="B21" s="587" t="s">
        <v>217</v>
      </c>
      <c r="C21" s="136">
        <f>(C18*C7)*C20*30</f>
        <v>20789.999999999996</v>
      </c>
      <c r="D21" s="136">
        <f>(D18*C7)*D20*30</f>
        <v>20789.999999999996</v>
      </c>
      <c r="E21" s="136">
        <f>(E18*C7)*E20*30</f>
        <v>27000</v>
      </c>
      <c r="F21" s="136">
        <f>(F18*C7)*F20*30</f>
        <v>40500</v>
      </c>
      <c r="G21" s="136">
        <f>(G18*C7)*G20*30</f>
        <v>51975.000000000007</v>
      </c>
      <c r="H21" s="136">
        <f>(H18*C7)*H20*30</f>
        <v>75599.999999999985</v>
      </c>
      <c r="I21" s="136">
        <f>(I18*C7)*I20*30</f>
        <v>108000</v>
      </c>
      <c r="J21" s="136">
        <f>(J18*C7)*J20*30</f>
        <v>108000</v>
      </c>
      <c r="K21" s="136">
        <f>(K18*C7)*K20*30</f>
        <v>70200</v>
      </c>
      <c r="L21" s="136">
        <f>(L18*C7)*L20*30</f>
        <v>40500</v>
      </c>
      <c r="M21" s="136">
        <f>(M18*C7)*M20*30</f>
        <v>27000</v>
      </c>
      <c r="N21" s="137">
        <f>(N18*C7)*N20*30</f>
        <v>20789.999999999996</v>
      </c>
      <c r="P21" s="587" t="s">
        <v>217</v>
      </c>
      <c r="Q21" s="136">
        <f>(Q18*C7)*Q20*30</f>
        <v>24386.67</v>
      </c>
      <c r="R21" s="136">
        <f>(R18*C7)*R20*30</f>
        <v>24386.67</v>
      </c>
      <c r="S21" s="136">
        <f>(S18*C7)*S20*30</f>
        <v>31671</v>
      </c>
      <c r="T21" s="136">
        <f>(T18*C7)*T20*30</f>
        <v>47506.5</v>
      </c>
      <c r="U21" s="136">
        <f>(U18*C7)*U20*30</f>
        <v>60966.675000000003</v>
      </c>
      <c r="V21" s="136">
        <f>(V18*C7)*V20*30</f>
        <v>88678.799999999974</v>
      </c>
      <c r="W21" s="136">
        <f>(W18*C7)*W20*30</f>
        <v>126684</v>
      </c>
      <c r="X21" s="136">
        <f>(X18*C7)*X20*30</f>
        <v>126684</v>
      </c>
      <c r="Y21" s="136">
        <f>(Y18*C7)*Y20*30</f>
        <v>82344.599999999977</v>
      </c>
      <c r="Z21" s="136">
        <f>(Z18*C7)*Z20*30</f>
        <v>47506.5</v>
      </c>
      <c r="AA21" s="136">
        <f>(AA18*C7)*AA20*30</f>
        <v>31671</v>
      </c>
      <c r="AB21" s="137">
        <f>(AB18*C7)*AB20*30</f>
        <v>24386.67</v>
      </c>
      <c r="AD21" s="587" t="s">
        <v>217</v>
      </c>
      <c r="AE21" s="136">
        <f>(AE18*C7)*AE20*30</f>
        <v>28605.563909999997</v>
      </c>
      <c r="AF21" s="136">
        <f>(AF18*C7)*AF20*30</f>
        <v>28605.563909999997</v>
      </c>
      <c r="AG21" s="136">
        <f>(AG18*C7)*AG20*30</f>
        <v>37150.082999999999</v>
      </c>
      <c r="AH21" s="136">
        <f>(AH18*C7)*AH20*30</f>
        <v>55725.124499999991</v>
      </c>
      <c r="AI21" s="136">
        <f>(AI18*C7)*AI20*30</f>
        <v>71513.909774999993</v>
      </c>
      <c r="AJ21" s="136">
        <f>(AJ18*C7)*AJ20*30</f>
        <v>104020.23239999998</v>
      </c>
      <c r="AK21" s="136">
        <f>(AK18*C7)*AK20*30</f>
        <v>140454</v>
      </c>
      <c r="AL21" s="136">
        <f>(AL18*C7)*AL20*30</f>
        <v>140454</v>
      </c>
      <c r="AM21" s="136">
        <f>(AM18*C7)*AM20*30</f>
        <v>96590.215799999991</v>
      </c>
      <c r="AN21" s="136">
        <f>(AN18*C7)*AN20*30</f>
        <v>55725.124499999991</v>
      </c>
      <c r="AO21" s="136">
        <f>(AO18*C7)*AO20*30</f>
        <v>37150.082999999999</v>
      </c>
      <c r="AP21" s="137">
        <f>(AP18*C7)*AP20*30</f>
        <v>28605.563909999997</v>
      </c>
      <c r="AR21" s="587" t="s">
        <v>217</v>
      </c>
      <c r="AS21" s="136">
        <f>(AS18*C7)*AS20*30</f>
        <v>35596.763729603997</v>
      </c>
      <c r="AT21" s="136">
        <f>(AT18*C7)*AT20*30</f>
        <v>35596.763729603997</v>
      </c>
      <c r="AU21" s="136">
        <f>(AU18*C7)*AU20*30</f>
        <v>46229.563285199991</v>
      </c>
      <c r="AV21" s="136">
        <f>(AV18*C7)*AV20*30</f>
        <v>69344.34492779999</v>
      </c>
      <c r="AW21" s="136">
        <f>(AW18*C7)*AW20*30</f>
        <v>88991.90932400999</v>
      </c>
      <c r="AX21" s="136">
        <f>(AX18*C7)*AX20*30</f>
        <v>114610.46400000001</v>
      </c>
      <c r="AY21" s="136">
        <f>(AY18*C7)*AY20*30</f>
        <v>143263.07999999999</v>
      </c>
      <c r="AZ21" s="136">
        <f>(AZ18*C7)*AZ20*30</f>
        <v>143263.07999999999</v>
      </c>
      <c r="BA21" s="136">
        <f>(BA18*C7)*BA20*30</f>
        <v>114610.46400000001</v>
      </c>
      <c r="BB21" s="136">
        <f>(BB18*C7)*BB20*30</f>
        <v>69344.34492779999</v>
      </c>
      <c r="BC21" s="136">
        <f>(BC18*C7)*BC20*30</f>
        <v>46229.563285199991</v>
      </c>
      <c r="BD21" s="137">
        <f>(BD18*C7)*BD20*30</f>
        <v>35596.763729603997</v>
      </c>
      <c r="BF21" s="587" t="s">
        <v>217</v>
      </c>
      <c r="BG21" s="136">
        <f>(BG18*C7)*BG20*30</f>
        <v>42844.264824951366</v>
      </c>
      <c r="BH21" s="136">
        <f>(BH18*C7)*BH20*30</f>
        <v>42844.264824951366</v>
      </c>
      <c r="BI21" s="136">
        <f>(BI18*C7)*BI20*30</f>
        <v>55641.902370066709</v>
      </c>
      <c r="BJ21" s="136">
        <f>(BJ18*C7)*BJ20*30</f>
        <v>83462.853555100068</v>
      </c>
      <c r="BK21" s="136">
        <f>(BK18*C7)*BK20*30</f>
        <v>102289.83912</v>
      </c>
      <c r="BL21" s="136">
        <f>(BL18*C7)*BL20*30</f>
        <v>116902.67328000002</v>
      </c>
      <c r="BM21" s="136">
        <f>(BM18*C7)*BM20*30</f>
        <v>146128.34160000001</v>
      </c>
      <c r="BN21" s="136">
        <f>(BN18*C7)*BN20*30</f>
        <v>146128.34160000001</v>
      </c>
      <c r="BO21" s="136">
        <f>(BO18*C7)*BO20*30</f>
        <v>116902.67328000002</v>
      </c>
      <c r="BP21" s="136">
        <f>(BP18*C7)*BP20*30</f>
        <v>83462.853555100068</v>
      </c>
      <c r="BQ21" s="136">
        <f>(BQ18*C7)*BQ20*30</f>
        <v>55641.902370066709</v>
      </c>
      <c r="BR21" s="137">
        <f>(BR18*C7)*BR20*30</f>
        <v>42844.264824951366</v>
      </c>
    </row>
    <row r="22" spans="2:70" s="523" customFormat="1" ht="17" thickBot="1" x14ac:dyDescent="0.2">
      <c r="B22" s="588" t="s">
        <v>218</v>
      </c>
      <c r="C22" s="524">
        <f>SUM(C21:N21)</f>
        <v>611145</v>
      </c>
      <c r="D22" s="525"/>
      <c r="E22" s="525"/>
      <c r="F22" s="525"/>
      <c r="G22" s="525"/>
      <c r="H22" s="525"/>
      <c r="I22" s="525"/>
      <c r="J22" s="525"/>
      <c r="K22" s="525"/>
      <c r="L22" s="525"/>
      <c r="M22" s="525"/>
      <c r="N22" s="526"/>
      <c r="P22" s="614" t="s">
        <v>218</v>
      </c>
      <c r="Q22" s="527">
        <f>SUM(Q21:AB21)</f>
        <v>716873.08499999996</v>
      </c>
      <c r="R22" s="525"/>
      <c r="S22" s="525"/>
      <c r="T22" s="525"/>
      <c r="U22" s="525"/>
      <c r="V22" s="525"/>
      <c r="W22" s="525"/>
      <c r="X22" s="525"/>
      <c r="Y22" s="525"/>
      <c r="Z22" s="525"/>
      <c r="AA22" s="525"/>
      <c r="AB22" s="526"/>
      <c r="AD22" s="621" t="s">
        <v>218</v>
      </c>
      <c r="AE22" s="528">
        <f>SUM(AE21:AP21)</f>
        <v>824599.46470500005</v>
      </c>
      <c r="AF22" s="525"/>
      <c r="AG22" s="525"/>
      <c r="AH22" s="525"/>
      <c r="AI22" s="525"/>
      <c r="AJ22" s="525"/>
      <c r="AK22" s="525"/>
      <c r="AL22" s="525"/>
      <c r="AM22" s="525"/>
      <c r="AN22" s="525"/>
      <c r="AO22" s="525"/>
      <c r="AP22" s="526"/>
      <c r="AR22" s="629" t="s">
        <v>218</v>
      </c>
      <c r="AS22" s="529">
        <f>SUM(AS21:BD21)</f>
        <v>942677.10493882198</v>
      </c>
      <c r="AT22" s="525"/>
      <c r="AU22" s="525"/>
      <c r="AV22" s="525"/>
      <c r="AW22" s="525"/>
      <c r="AX22" s="525"/>
      <c r="AY22" s="525"/>
      <c r="AZ22" s="525"/>
      <c r="BA22" s="525"/>
      <c r="BB22" s="525"/>
      <c r="BC22" s="525"/>
      <c r="BD22" s="526"/>
      <c r="BF22" s="634" t="s">
        <v>218</v>
      </c>
      <c r="BG22" s="530">
        <f>SUM(BG21:BR21)</f>
        <v>1035094.1752051878</v>
      </c>
      <c r="BH22" s="525"/>
      <c r="BI22" s="525"/>
      <c r="BJ22" s="525"/>
      <c r="BK22" s="525"/>
      <c r="BL22" s="525"/>
      <c r="BM22" s="525"/>
      <c r="BN22" s="525"/>
      <c r="BO22" s="525"/>
      <c r="BP22" s="525"/>
      <c r="BQ22" s="525"/>
      <c r="BR22" s="526"/>
    </row>
    <row r="23" spans="2:70" ht="33" thickBot="1" x14ac:dyDescent="0.2">
      <c r="B23" s="589" t="s">
        <v>493</v>
      </c>
      <c r="C23" s="154">
        <f>(SUM(C19:N19))/$I$7</f>
        <v>0.52916666666666667</v>
      </c>
      <c r="D23" s="124"/>
      <c r="E23" s="446" t="s">
        <v>430</v>
      </c>
      <c r="F23" s="447">
        <f>C22/(SUM(C19:N19))</f>
        <v>35.157372451731206</v>
      </c>
      <c r="G23" s="124"/>
      <c r="H23" s="448" t="s">
        <v>41</v>
      </c>
      <c r="I23" s="449">
        <f>C22/I7</f>
        <v>18.604109589041094</v>
      </c>
      <c r="J23" s="124"/>
      <c r="K23" s="124"/>
      <c r="L23" s="124"/>
      <c r="M23" s="124"/>
      <c r="N23" s="125"/>
      <c r="P23" s="615" t="s">
        <v>493</v>
      </c>
      <c r="Q23" s="155">
        <f>(SUM(Q19:AB19))/$I$7</f>
        <v>0.60854166666666665</v>
      </c>
      <c r="R23" s="124"/>
      <c r="S23" s="452" t="s">
        <v>430</v>
      </c>
      <c r="T23" s="447">
        <f>Q22/(SUM(Q19:AB19))</f>
        <v>35.86051990076583</v>
      </c>
      <c r="U23" s="198"/>
      <c r="V23" s="452" t="s">
        <v>41</v>
      </c>
      <c r="W23" s="449">
        <f>Q22/$I$7</f>
        <v>21.822620547945203</v>
      </c>
      <c r="X23" s="124"/>
      <c r="Y23" s="124"/>
      <c r="Z23" s="124"/>
      <c r="AA23" s="124"/>
      <c r="AB23" s="125"/>
      <c r="AD23" s="622" t="s">
        <v>493</v>
      </c>
      <c r="AE23" s="156">
        <f>(SUM(AE19:AP19))/$I$7</f>
        <v>0.69015625000000003</v>
      </c>
      <c r="AF23" s="124"/>
      <c r="AG23" s="453" t="s">
        <v>430</v>
      </c>
      <c r="AH23" s="447">
        <f>AE22/(SUM(AE19:AP19))</f>
        <v>36.371419364658962</v>
      </c>
      <c r="AI23" s="198"/>
      <c r="AJ23" s="453" t="s">
        <v>41</v>
      </c>
      <c r="AK23" s="449">
        <f>AE22/$I$7</f>
        <v>25.101962395890414</v>
      </c>
      <c r="AL23" s="124"/>
      <c r="AM23" s="124"/>
      <c r="AN23" s="124"/>
      <c r="AO23" s="124"/>
      <c r="AP23" s="125"/>
      <c r="AR23" s="630" t="s">
        <v>493</v>
      </c>
      <c r="AS23" s="157">
        <f>(SUM(AS19:BD19))/$I$7</f>
        <v>0.79047749999999983</v>
      </c>
      <c r="AT23" s="124"/>
      <c r="AU23" s="454" t="s">
        <v>430</v>
      </c>
      <c r="AV23" s="447">
        <f>AS22/(SUM(AS19:BD19))</f>
        <v>36.302628612767307</v>
      </c>
      <c r="AW23" s="124"/>
      <c r="AX23" s="454" t="s">
        <v>41</v>
      </c>
      <c r="AY23" s="449">
        <f>AS22/$I$7</f>
        <v>28.696411109248768</v>
      </c>
      <c r="AZ23" s="124"/>
      <c r="BA23" s="124"/>
      <c r="BB23" s="124"/>
      <c r="BC23" s="124"/>
      <c r="BD23" s="125"/>
      <c r="BF23" s="635" t="s">
        <v>493</v>
      </c>
      <c r="BG23" s="158">
        <f>(SUM(BG19:BR19))/$I$7</f>
        <v>0.86883602916666669</v>
      </c>
      <c r="BH23" s="124"/>
      <c r="BI23" s="458" t="s">
        <v>430</v>
      </c>
      <c r="BJ23" s="447">
        <f>BG22/(SUM(BG19:BR19))</f>
        <v>36.266585503378032</v>
      </c>
      <c r="BK23" s="124"/>
      <c r="BL23" s="458" t="s">
        <v>41</v>
      </c>
      <c r="BM23" s="449">
        <f>BG22/$I$7</f>
        <v>31.509716140188363</v>
      </c>
      <c r="BN23" s="124"/>
      <c r="BO23" s="124"/>
      <c r="BP23" s="124"/>
      <c r="BQ23" s="124"/>
      <c r="BR23" s="125"/>
    </row>
    <row r="24" spans="2:70" x14ac:dyDescent="0.15">
      <c r="B24" s="584"/>
      <c r="C24" s="506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5"/>
      <c r="P24" s="584"/>
      <c r="Q24" s="531"/>
      <c r="R24" s="531"/>
      <c r="S24" s="531"/>
      <c r="T24" s="531"/>
      <c r="U24" s="531"/>
      <c r="V24" s="531"/>
      <c r="W24" s="531"/>
      <c r="X24" s="531"/>
      <c r="Y24" s="531"/>
      <c r="Z24" s="531"/>
      <c r="AA24" s="531"/>
      <c r="AB24" s="532"/>
      <c r="AD24" s="584"/>
      <c r="AE24" s="531"/>
      <c r="AF24" s="531"/>
      <c r="AG24" s="531"/>
      <c r="AH24" s="531"/>
      <c r="AI24" s="531"/>
      <c r="AJ24" s="531"/>
      <c r="AK24" s="531"/>
      <c r="AL24" s="531"/>
      <c r="AM24" s="531"/>
      <c r="AN24" s="531"/>
      <c r="AO24" s="531"/>
      <c r="AP24" s="532"/>
      <c r="AR24" s="584"/>
      <c r="AS24" s="531"/>
      <c r="AT24" s="531"/>
      <c r="AU24" s="531"/>
      <c r="AV24" s="531"/>
      <c r="AW24" s="531"/>
      <c r="AX24" s="531"/>
      <c r="AY24" s="531"/>
      <c r="AZ24" s="531"/>
      <c r="BA24" s="531"/>
      <c r="BB24" s="531"/>
      <c r="BC24" s="531"/>
      <c r="BD24" s="532"/>
      <c r="BF24" s="584"/>
      <c r="BG24" s="531"/>
      <c r="BH24" s="531"/>
      <c r="BI24" s="531"/>
      <c r="BJ24" s="531"/>
      <c r="BK24" s="531"/>
      <c r="BL24" s="531"/>
      <c r="BM24" s="531"/>
      <c r="BN24" s="531"/>
      <c r="BO24" s="531"/>
      <c r="BP24" s="531"/>
      <c r="BQ24" s="531"/>
      <c r="BR24" s="532"/>
    </row>
    <row r="25" spans="2:70" ht="17" thickBot="1" x14ac:dyDescent="0.2">
      <c r="B25" s="584"/>
      <c r="C25" s="533"/>
      <c r="D25" s="533"/>
      <c r="E25" s="533"/>
      <c r="F25" s="533"/>
      <c r="G25" s="533"/>
      <c r="H25" s="533"/>
      <c r="I25" s="533"/>
      <c r="J25" s="533"/>
      <c r="K25" s="533"/>
      <c r="L25" s="533"/>
      <c r="M25" s="533"/>
      <c r="N25" s="534"/>
      <c r="P25" s="584"/>
      <c r="Q25" s="531"/>
      <c r="R25" s="531"/>
      <c r="S25" s="531"/>
      <c r="T25" s="531"/>
      <c r="U25" s="531"/>
      <c r="V25" s="531"/>
      <c r="W25" s="531"/>
      <c r="X25" s="531"/>
      <c r="Y25" s="531"/>
      <c r="Z25" s="531"/>
      <c r="AA25" s="531"/>
      <c r="AB25" s="532"/>
      <c r="AD25" s="584"/>
      <c r="AE25" s="531"/>
      <c r="AF25" s="531"/>
      <c r="AG25" s="531"/>
      <c r="AH25" s="531"/>
      <c r="AI25" s="531"/>
      <c r="AJ25" s="531"/>
      <c r="AK25" s="531"/>
      <c r="AL25" s="531"/>
      <c r="AM25" s="531"/>
      <c r="AN25" s="531"/>
      <c r="AO25" s="531"/>
      <c r="AP25" s="532"/>
      <c r="AR25" s="584"/>
      <c r="AS25" s="531"/>
      <c r="AT25" s="531"/>
      <c r="AU25" s="531"/>
      <c r="AV25" s="531"/>
      <c r="AW25" s="531"/>
      <c r="AX25" s="531"/>
      <c r="AY25" s="531"/>
      <c r="AZ25" s="531"/>
      <c r="BA25" s="531"/>
      <c r="BB25" s="531"/>
      <c r="BC25" s="531"/>
      <c r="BD25" s="532"/>
      <c r="BF25" s="584"/>
      <c r="BG25" s="531"/>
      <c r="BH25" s="531"/>
      <c r="BI25" s="531"/>
      <c r="BJ25" s="531"/>
      <c r="BK25" s="531"/>
      <c r="BL25" s="531"/>
      <c r="BM25" s="531"/>
      <c r="BN25" s="531"/>
      <c r="BO25" s="531"/>
      <c r="BP25" s="531"/>
      <c r="BQ25" s="531"/>
      <c r="BR25" s="532"/>
    </row>
    <row r="26" spans="2:70" s="308" customFormat="1" ht="17" thickBot="1" x14ac:dyDescent="0.2">
      <c r="B26" s="583" t="s">
        <v>11</v>
      </c>
      <c r="C26" s="516" t="s">
        <v>204</v>
      </c>
      <c r="D26" s="517" t="s">
        <v>205</v>
      </c>
      <c r="E26" s="517" t="s">
        <v>206</v>
      </c>
      <c r="F26" s="517" t="s">
        <v>207</v>
      </c>
      <c r="G26" s="517" t="s">
        <v>208</v>
      </c>
      <c r="H26" s="517" t="s">
        <v>209</v>
      </c>
      <c r="I26" s="517" t="s">
        <v>210</v>
      </c>
      <c r="J26" s="517" t="s">
        <v>211</v>
      </c>
      <c r="K26" s="517" t="s">
        <v>212</v>
      </c>
      <c r="L26" s="517" t="s">
        <v>213</v>
      </c>
      <c r="M26" s="517" t="s">
        <v>214</v>
      </c>
      <c r="N26" s="518" t="s">
        <v>215</v>
      </c>
      <c r="P26" s="608" t="s">
        <v>11</v>
      </c>
      <c r="Q26" s="516" t="s">
        <v>204</v>
      </c>
      <c r="R26" s="517" t="s">
        <v>205</v>
      </c>
      <c r="S26" s="517" t="s">
        <v>206</v>
      </c>
      <c r="T26" s="517" t="s">
        <v>207</v>
      </c>
      <c r="U26" s="517" t="s">
        <v>208</v>
      </c>
      <c r="V26" s="517" t="s">
        <v>209</v>
      </c>
      <c r="W26" s="517" t="s">
        <v>210</v>
      </c>
      <c r="X26" s="517" t="s">
        <v>211</v>
      </c>
      <c r="Y26" s="517" t="s">
        <v>212</v>
      </c>
      <c r="Z26" s="517" t="s">
        <v>213</v>
      </c>
      <c r="AA26" s="517" t="s">
        <v>214</v>
      </c>
      <c r="AB26" s="518" t="s">
        <v>215</v>
      </c>
      <c r="AD26" s="609" t="s">
        <v>11</v>
      </c>
      <c r="AE26" s="516" t="s">
        <v>204</v>
      </c>
      <c r="AF26" s="517" t="s">
        <v>205</v>
      </c>
      <c r="AG26" s="517" t="s">
        <v>206</v>
      </c>
      <c r="AH26" s="517" t="s">
        <v>207</v>
      </c>
      <c r="AI26" s="517" t="s">
        <v>208</v>
      </c>
      <c r="AJ26" s="517" t="s">
        <v>209</v>
      </c>
      <c r="AK26" s="517" t="s">
        <v>210</v>
      </c>
      <c r="AL26" s="517" t="s">
        <v>211</v>
      </c>
      <c r="AM26" s="517" t="s">
        <v>212</v>
      </c>
      <c r="AN26" s="517" t="s">
        <v>213</v>
      </c>
      <c r="AO26" s="517" t="s">
        <v>214</v>
      </c>
      <c r="AP26" s="518" t="s">
        <v>215</v>
      </c>
      <c r="AR26" s="610" t="s">
        <v>11</v>
      </c>
      <c r="AS26" s="516" t="s">
        <v>204</v>
      </c>
      <c r="AT26" s="517" t="s">
        <v>205</v>
      </c>
      <c r="AU26" s="517" t="s">
        <v>206</v>
      </c>
      <c r="AV26" s="517" t="s">
        <v>207</v>
      </c>
      <c r="AW26" s="517" t="s">
        <v>208</v>
      </c>
      <c r="AX26" s="517" t="s">
        <v>209</v>
      </c>
      <c r="AY26" s="517" t="s">
        <v>210</v>
      </c>
      <c r="AZ26" s="517" t="s">
        <v>211</v>
      </c>
      <c r="BA26" s="517" t="s">
        <v>212</v>
      </c>
      <c r="BB26" s="517" t="s">
        <v>213</v>
      </c>
      <c r="BC26" s="517" t="s">
        <v>214</v>
      </c>
      <c r="BD26" s="518" t="s">
        <v>215</v>
      </c>
      <c r="BF26" s="611" t="s">
        <v>11</v>
      </c>
      <c r="BG26" s="516" t="s">
        <v>204</v>
      </c>
      <c r="BH26" s="517" t="s">
        <v>205</v>
      </c>
      <c r="BI26" s="517" t="s">
        <v>206</v>
      </c>
      <c r="BJ26" s="517" t="s">
        <v>207</v>
      </c>
      <c r="BK26" s="517" t="s">
        <v>208</v>
      </c>
      <c r="BL26" s="517" t="s">
        <v>209</v>
      </c>
      <c r="BM26" s="517" t="s">
        <v>210</v>
      </c>
      <c r="BN26" s="517" t="s">
        <v>211</v>
      </c>
      <c r="BO26" s="517" t="s">
        <v>212</v>
      </c>
      <c r="BP26" s="517" t="s">
        <v>213</v>
      </c>
      <c r="BQ26" s="517" t="s">
        <v>214</v>
      </c>
      <c r="BR26" s="518" t="s">
        <v>215</v>
      </c>
    </row>
    <row r="27" spans="2:70" x14ac:dyDescent="0.15">
      <c r="B27" s="585" t="s">
        <v>410</v>
      </c>
      <c r="C27" s="121">
        <v>0.3</v>
      </c>
      <c r="D27" s="121">
        <v>0.3</v>
      </c>
      <c r="E27" s="121">
        <v>0.4</v>
      </c>
      <c r="F27" s="121">
        <v>0.5</v>
      </c>
      <c r="G27" s="121">
        <v>0.5</v>
      </c>
      <c r="H27" s="121">
        <v>0.6</v>
      </c>
      <c r="I27" s="121">
        <v>0.8</v>
      </c>
      <c r="J27" s="121">
        <v>0.8</v>
      </c>
      <c r="K27" s="121">
        <v>0.6</v>
      </c>
      <c r="L27" s="121">
        <v>0.5</v>
      </c>
      <c r="M27" s="121">
        <v>0.4</v>
      </c>
      <c r="N27" s="122">
        <v>0.3</v>
      </c>
      <c r="P27" s="585" t="s">
        <v>410</v>
      </c>
      <c r="Q27" s="121">
        <f>C27*(1+$Q$13)</f>
        <v>0.33</v>
      </c>
      <c r="R27" s="121">
        <f t="shared" ref="R27:AB27" si="41">D27*(1+$Q$13)</f>
        <v>0.33</v>
      </c>
      <c r="S27" s="121">
        <f t="shared" si="41"/>
        <v>0.44000000000000006</v>
      </c>
      <c r="T27" s="121">
        <f t="shared" si="41"/>
        <v>0.55000000000000004</v>
      </c>
      <c r="U27" s="121">
        <f t="shared" si="41"/>
        <v>0.55000000000000004</v>
      </c>
      <c r="V27" s="121">
        <f t="shared" si="41"/>
        <v>0.66</v>
      </c>
      <c r="W27" s="121">
        <f t="shared" si="41"/>
        <v>0.88000000000000012</v>
      </c>
      <c r="X27" s="121">
        <f t="shared" si="41"/>
        <v>0.88000000000000012</v>
      </c>
      <c r="Y27" s="121">
        <f t="shared" si="41"/>
        <v>0.66</v>
      </c>
      <c r="Z27" s="121">
        <f t="shared" si="41"/>
        <v>0.55000000000000004</v>
      </c>
      <c r="AA27" s="121">
        <f t="shared" si="41"/>
        <v>0.44000000000000006</v>
      </c>
      <c r="AB27" s="122">
        <f t="shared" si="41"/>
        <v>0.33</v>
      </c>
      <c r="AD27" s="585" t="s">
        <v>410</v>
      </c>
      <c r="AE27" s="121">
        <f>Q27*(1+$AE$13)</f>
        <v>0.3795</v>
      </c>
      <c r="AF27" s="121">
        <f t="shared" ref="AF27:AP27" si="42">R27*(1+$AE$13)</f>
        <v>0.3795</v>
      </c>
      <c r="AG27" s="121">
        <f t="shared" si="42"/>
        <v>0.50600000000000001</v>
      </c>
      <c r="AH27" s="121">
        <f t="shared" si="42"/>
        <v>0.63249999999999995</v>
      </c>
      <c r="AI27" s="121">
        <f t="shared" si="42"/>
        <v>0.63249999999999995</v>
      </c>
      <c r="AJ27" s="121">
        <f t="shared" si="42"/>
        <v>0.75900000000000001</v>
      </c>
      <c r="AK27" s="121">
        <v>1</v>
      </c>
      <c r="AL27" s="121">
        <v>1</v>
      </c>
      <c r="AM27" s="121">
        <f t="shared" si="42"/>
        <v>0.75900000000000001</v>
      </c>
      <c r="AN27" s="121">
        <f t="shared" si="42"/>
        <v>0.63249999999999995</v>
      </c>
      <c r="AO27" s="121">
        <f t="shared" si="42"/>
        <v>0.50600000000000001</v>
      </c>
      <c r="AP27" s="122">
        <f t="shared" si="42"/>
        <v>0.3795</v>
      </c>
      <c r="AR27" s="585" t="s">
        <v>410</v>
      </c>
      <c r="AS27" s="121">
        <f>AE27*(1+$AS$13)</f>
        <v>0.44780999999999999</v>
      </c>
      <c r="AT27" s="121">
        <f>AF27*(1+$AS$13)</f>
        <v>0.44780999999999999</v>
      </c>
      <c r="AU27" s="121">
        <f t="shared" ref="AU27:BD27" si="43">AG27*(1+$AS$13)</f>
        <v>0.59707999999999994</v>
      </c>
      <c r="AV27" s="121">
        <f t="shared" si="43"/>
        <v>0.74634999999999996</v>
      </c>
      <c r="AW27" s="121">
        <f t="shared" si="43"/>
        <v>0.74634999999999996</v>
      </c>
      <c r="AX27" s="121">
        <f t="shared" si="43"/>
        <v>0.89561999999999997</v>
      </c>
      <c r="AY27" s="121">
        <v>1</v>
      </c>
      <c r="AZ27" s="121">
        <v>1</v>
      </c>
      <c r="BA27" s="121">
        <f t="shared" si="43"/>
        <v>0.89561999999999997</v>
      </c>
      <c r="BB27" s="121">
        <f t="shared" si="43"/>
        <v>0.74634999999999996</v>
      </c>
      <c r="BC27" s="121">
        <f t="shared" si="43"/>
        <v>0.59707999999999994</v>
      </c>
      <c r="BD27" s="122">
        <f t="shared" si="43"/>
        <v>0.44780999999999999</v>
      </c>
      <c r="BF27" s="585" t="s">
        <v>410</v>
      </c>
      <c r="BG27" s="121">
        <f>AS27*(1+$BG$13)</f>
        <v>0.51498149999999998</v>
      </c>
      <c r="BH27" s="121">
        <f t="shared" ref="BH27:BR27" si="44">AT27*(1+$BG$13)</f>
        <v>0.51498149999999998</v>
      </c>
      <c r="BI27" s="121">
        <f t="shared" si="44"/>
        <v>0.68664199999999986</v>
      </c>
      <c r="BJ27" s="121">
        <f t="shared" si="44"/>
        <v>0.85830249999999986</v>
      </c>
      <c r="BK27" s="121">
        <f t="shared" si="44"/>
        <v>0.85830249999999986</v>
      </c>
      <c r="BL27" s="121">
        <v>1</v>
      </c>
      <c r="BM27" s="121">
        <v>1</v>
      </c>
      <c r="BN27" s="121">
        <v>1</v>
      </c>
      <c r="BO27" s="121">
        <v>1</v>
      </c>
      <c r="BP27" s="121">
        <f t="shared" si="44"/>
        <v>0.85830249999999986</v>
      </c>
      <c r="BQ27" s="121">
        <f t="shared" si="44"/>
        <v>0.68664199999999986</v>
      </c>
      <c r="BR27" s="122">
        <f t="shared" si="44"/>
        <v>0.51498149999999998</v>
      </c>
    </row>
    <row r="28" spans="2:70" x14ac:dyDescent="0.15">
      <c r="B28" s="585" t="s">
        <v>447</v>
      </c>
      <c r="C28" s="123">
        <f>C27*$H$8</f>
        <v>182.5</v>
      </c>
      <c r="D28" s="123">
        <f t="shared" ref="D28:N28" si="45">D27*$H$8</f>
        <v>182.5</v>
      </c>
      <c r="E28" s="123">
        <f>E27*$H$8</f>
        <v>243.33333333333337</v>
      </c>
      <c r="F28" s="123">
        <f>F27*$H$8</f>
        <v>304.16666666666669</v>
      </c>
      <c r="G28" s="123">
        <f t="shared" si="45"/>
        <v>304.16666666666669</v>
      </c>
      <c r="H28" s="123">
        <f t="shared" si="45"/>
        <v>365</v>
      </c>
      <c r="I28" s="123">
        <f t="shared" si="45"/>
        <v>486.66666666666674</v>
      </c>
      <c r="J28" s="123">
        <f t="shared" si="45"/>
        <v>486.66666666666674</v>
      </c>
      <c r="K28" s="123">
        <f t="shared" si="45"/>
        <v>365</v>
      </c>
      <c r="L28" s="123">
        <f t="shared" si="45"/>
        <v>304.16666666666669</v>
      </c>
      <c r="M28" s="123">
        <f t="shared" si="45"/>
        <v>243.33333333333337</v>
      </c>
      <c r="N28" s="450">
        <f t="shared" si="45"/>
        <v>182.5</v>
      </c>
      <c r="P28" s="585" t="s">
        <v>447</v>
      </c>
      <c r="Q28" s="123">
        <f>Q27*$H$8</f>
        <v>200.75000000000003</v>
      </c>
      <c r="R28" s="123">
        <f t="shared" ref="R28" si="46">R27*$H$8</f>
        <v>200.75000000000003</v>
      </c>
      <c r="S28" s="123">
        <f>S27*$H$8</f>
        <v>267.66666666666674</v>
      </c>
      <c r="T28" s="123">
        <f>T27*$H$8</f>
        <v>334.58333333333337</v>
      </c>
      <c r="U28" s="123">
        <f t="shared" ref="U28" si="47">U27*$H$8</f>
        <v>334.58333333333337</v>
      </c>
      <c r="V28" s="123">
        <f t="shared" ref="V28" si="48">V27*$H$8</f>
        <v>401.50000000000006</v>
      </c>
      <c r="W28" s="123">
        <f t="shared" ref="W28" si="49">W27*$H$8</f>
        <v>535.33333333333348</v>
      </c>
      <c r="X28" s="123">
        <f t="shared" ref="X28" si="50">X27*$H$8</f>
        <v>535.33333333333348</v>
      </c>
      <c r="Y28" s="123">
        <f t="shared" ref="Y28" si="51">Y27*$H$8</f>
        <v>401.50000000000006</v>
      </c>
      <c r="Z28" s="123">
        <f t="shared" ref="Z28" si="52">Z27*$H$8</f>
        <v>334.58333333333337</v>
      </c>
      <c r="AA28" s="123">
        <f t="shared" ref="AA28" si="53">AA27*$H$8</f>
        <v>267.66666666666674</v>
      </c>
      <c r="AB28" s="450">
        <f t="shared" ref="AB28" si="54">AB27*$H$8</f>
        <v>200.75000000000003</v>
      </c>
      <c r="AD28" s="585" t="s">
        <v>447</v>
      </c>
      <c r="AE28" s="123">
        <f>AE27*$H$8</f>
        <v>230.86250000000001</v>
      </c>
      <c r="AF28" s="123">
        <f t="shared" ref="AF28" si="55">AF27*$H$8</f>
        <v>230.86250000000001</v>
      </c>
      <c r="AG28" s="123">
        <f>AG27*$H$8</f>
        <v>307.81666666666666</v>
      </c>
      <c r="AH28" s="123">
        <f>AH27*$H$8</f>
        <v>384.77083333333331</v>
      </c>
      <c r="AI28" s="123">
        <f t="shared" ref="AI28" si="56">AI27*$H$8</f>
        <v>384.77083333333331</v>
      </c>
      <c r="AJ28" s="123">
        <f t="shared" ref="AJ28" si="57">AJ27*$H$8</f>
        <v>461.72500000000002</v>
      </c>
      <c r="AK28" s="123">
        <f t="shared" ref="AK28" si="58">AK27*$H$8</f>
        <v>608.33333333333337</v>
      </c>
      <c r="AL28" s="123">
        <f t="shared" ref="AL28" si="59">AL27*$H$8</f>
        <v>608.33333333333337</v>
      </c>
      <c r="AM28" s="123">
        <f t="shared" ref="AM28" si="60">AM27*$H$8</f>
        <v>461.72500000000002</v>
      </c>
      <c r="AN28" s="123">
        <f t="shared" ref="AN28" si="61">AN27*$H$8</f>
        <v>384.77083333333331</v>
      </c>
      <c r="AO28" s="123">
        <f t="shared" ref="AO28" si="62">AO27*$H$8</f>
        <v>307.81666666666666</v>
      </c>
      <c r="AP28" s="450">
        <f t="shared" ref="AP28" si="63">AP27*$H$8</f>
        <v>230.86250000000001</v>
      </c>
      <c r="AR28" s="585" t="s">
        <v>447</v>
      </c>
      <c r="AS28" s="123">
        <f>AS27*$H$8</f>
        <v>272.41775000000001</v>
      </c>
      <c r="AT28" s="123">
        <f t="shared" ref="AT28" si="64">AT27*$H$8</f>
        <v>272.41775000000001</v>
      </c>
      <c r="AU28" s="123">
        <f>AU27*$H$8</f>
        <v>363.22366666666665</v>
      </c>
      <c r="AV28" s="123">
        <f>AV27*$H$8</f>
        <v>454.02958333333333</v>
      </c>
      <c r="AW28" s="123">
        <f t="shared" ref="AW28" si="65">AW27*$H$8</f>
        <v>454.02958333333333</v>
      </c>
      <c r="AX28" s="123">
        <f t="shared" ref="AX28" si="66">AX27*$H$8</f>
        <v>544.83550000000002</v>
      </c>
      <c r="AY28" s="123">
        <f t="shared" ref="AY28" si="67">AY27*$H$8</f>
        <v>608.33333333333337</v>
      </c>
      <c r="AZ28" s="123">
        <f t="shared" ref="AZ28" si="68">AZ27*$H$8</f>
        <v>608.33333333333337</v>
      </c>
      <c r="BA28" s="123">
        <f t="shared" ref="BA28" si="69">BA27*$H$8</f>
        <v>544.83550000000002</v>
      </c>
      <c r="BB28" s="123">
        <f t="shared" ref="BB28" si="70">BB27*$H$8</f>
        <v>454.02958333333333</v>
      </c>
      <c r="BC28" s="123">
        <f t="shared" ref="BC28" si="71">BC27*$H$8</f>
        <v>363.22366666666665</v>
      </c>
      <c r="BD28" s="450">
        <f t="shared" ref="BD28" si="72">BD27*$H$8</f>
        <v>272.41775000000001</v>
      </c>
      <c r="BF28" s="585" t="s">
        <v>447</v>
      </c>
      <c r="BG28" s="123">
        <f>BG27*$H$8</f>
        <v>313.28041250000001</v>
      </c>
      <c r="BH28" s="123">
        <f t="shared" ref="BH28" si="73">BH27*$H$8</f>
        <v>313.28041250000001</v>
      </c>
      <c r="BI28" s="123">
        <f>BI27*$H$8</f>
        <v>417.70721666666662</v>
      </c>
      <c r="BJ28" s="123">
        <f>BJ27*$H$8</f>
        <v>522.13402083333324</v>
      </c>
      <c r="BK28" s="123">
        <f t="shared" ref="BK28" si="74">BK27*$H$8</f>
        <v>522.13402083333324</v>
      </c>
      <c r="BL28" s="123">
        <f t="shared" ref="BL28" si="75">BL27*$H$8</f>
        <v>608.33333333333337</v>
      </c>
      <c r="BM28" s="123">
        <f t="shared" ref="BM28" si="76">BM27*$H$8</f>
        <v>608.33333333333337</v>
      </c>
      <c r="BN28" s="123">
        <f t="shared" ref="BN28" si="77">BN27*$H$8</f>
        <v>608.33333333333337</v>
      </c>
      <c r="BO28" s="123">
        <f t="shared" ref="BO28" si="78">BO27*$H$8</f>
        <v>608.33333333333337</v>
      </c>
      <c r="BP28" s="123">
        <f t="shared" ref="BP28" si="79">BP27*$H$8</f>
        <v>522.13402083333324</v>
      </c>
      <c r="BQ28" s="123">
        <f t="shared" ref="BQ28" si="80">BQ27*$H$8</f>
        <v>417.70721666666662</v>
      </c>
      <c r="BR28" s="450">
        <f t="shared" ref="BR28" si="81">BR27*$H$8</f>
        <v>313.28041250000001</v>
      </c>
    </row>
    <row r="29" spans="2:70" s="519" customFormat="1" x14ac:dyDescent="0.15">
      <c r="B29" s="586" t="s">
        <v>221</v>
      </c>
      <c r="C29" s="476">
        <v>120</v>
      </c>
      <c r="D29" s="476">
        <v>120</v>
      </c>
      <c r="E29" s="476">
        <v>150</v>
      </c>
      <c r="F29" s="476">
        <v>180</v>
      </c>
      <c r="G29" s="476">
        <v>180</v>
      </c>
      <c r="H29" s="476">
        <v>220</v>
      </c>
      <c r="I29" s="476">
        <v>250</v>
      </c>
      <c r="J29" s="476">
        <v>250</v>
      </c>
      <c r="K29" s="476">
        <v>220</v>
      </c>
      <c r="L29" s="476">
        <v>180</v>
      </c>
      <c r="M29" s="476">
        <v>150</v>
      </c>
      <c r="N29" s="477">
        <v>130</v>
      </c>
      <c r="P29" s="586" t="s">
        <v>216</v>
      </c>
      <c r="Q29" s="476">
        <f>C29*(1+2%)</f>
        <v>122.4</v>
      </c>
      <c r="R29" s="476">
        <f t="shared" ref="R29:AB29" si="82">D29*(1+2%)</f>
        <v>122.4</v>
      </c>
      <c r="S29" s="476">
        <f t="shared" si="82"/>
        <v>153</v>
      </c>
      <c r="T29" s="476">
        <f t="shared" si="82"/>
        <v>183.6</v>
      </c>
      <c r="U29" s="476">
        <f t="shared" si="82"/>
        <v>183.6</v>
      </c>
      <c r="V29" s="476">
        <f t="shared" si="82"/>
        <v>224.4</v>
      </c>
      <c r="W29" s="476">
        <f t="shared" si="82"/>
        <v>255</v>
      </c>
      <c r="X29" s="476">
        <f t="shared" si="82"/>
        <v>255</v>
      </c>
      <c r="Y29" s="476">
        <f t="shared" si="82"/>
        <v>224.4</v>
      </c>
      <c r="Z29" s="476">
        <f t="shared" si="82"/>
        <v>183.6</v>
      </c>
      <c r="AA29" s="476">
        <f t="shared" si="82"/>
        <v>153</v>
      </c>
      <c r="AB29" s="477">
        <f t="shared" si="82"/>
        <v>132.6</v>
      </c>
      <c r="AD29" s="586" t="s">
        <v>216</v>
      </c>
      <c r="AE29" s="476">
        <f>Q29*(1+2%)</f>
        <v>124.84800000000001</v>
      </c>
      <c r="AF29" s="476">
        <f t="shared" ref="AF29:AP29" si="83">R29*(1+2%)</f>
        <v>124.84800000000001</v>
      </c>
      <c r="AG29" s="476">
        <f t="shared" si="83"/>
        <v>156.06</v>
      </c>
      <c r="AH29" s="476">
        <f t="shared" si="83"/>
        <v>187.27199999999999</v>
      </c>
      <c r="AI29" s="476">
        <f t="shared" si="83"/>
        <v>187.27199999999999</v>
      </c>
      <c r="AJ29" s="476">
        <f t="shared" si="83"/>
        <v>228.88800000000001</v>
      </c>
      <c r="AK29" s="476">
        <f t="shared" si="83"/>
        <v>260.10000000000002</v>
      </c>
      <c r="AL29" s="476">
        <f t="shared" si="83"/>
        <v>260.10000000000002</v>
      </c>
      <c r="AM29" s="476">
        <f t="shared" si="83"/>
        <v>228.88800000000001</v>
      </c>
      <c r="AN29" s="476">
        <f t="shared" si="83"/>
        <v>187.27199999999999</v>
      </c>
      <c r="AO29" s="476">
        <f t="shared" si="83"/>
        <v>156.06</v>
      </c>
      <c r="AP29" s="477">
        <f t="shared" si="83"/>
        <v>135.25200000000001</v>
      </c>
      <c r="AR29" s="586" t="s">
        <v>216</v>
      </c>
      <c r="AS29" s="476">
        <f>AE29*(1+2%)</f>
        <v>127.34496000000001</v>
      </c>
      <c r="AT29" s="476">
        <f t="shared" ref="AT29:BD29" si="84">AF29*(1+2%)</f>
        <v>127.34496000000001</v>
      </c>
      <c r="AU29" s="476">
        <f t="shared" si="84"/>
        <v>159.18120000000002</v>
      </c>
      <c r="AV29" s="476">
        <f t="shared" si="84"/>
        <v>191.01743999999999</v>
      </c>
      <c r="AW29" s="476">
        <f t="shared" si="84"/>
        <v>191.01743999999999</v>
      </c>
      <c r="AX29" s="476">
        <f t="shared" si="84"/>
        <v>233.46576000000002</v>
      </c>
      <c r="AY29" s="476">
        <f t="shared" si="84"/>
        <v>265.30200000000002</v>
      </c>
      <c r="AZ29" s="476">
        <f t="shared" si="84"/>
        <v>265.30200000000002</v>
      </c>
      <c r="BA29" s="476">
        <f t="shared" si="84"/>
        <v>233.46576000000002</v>
      </c>
      <c r="BB29" s="476">
        <f t="shared" si="84"/>
        <v>191.01743999999999</v>
      </c>
      <c r="BC29" s="476">
        <f t="shared" si="84"/>
        <v>159.18120000000002</v>
      </c>
      <c r="BD29" s="477">
        <f t="shared" si="84"/>
        <v>137.95704000000001</v>
      </c>
      <c r="BF29" s="586" t="s">
        <v>216</v>
      </c>
      <c r="BG29" s="476">
        <f>AS29*(1+2%)</f>
        <v>129.89185920000003</v>
      </c>
      <c r="BH29" s="476">
        <f t="shared" ref="BH29:BR29" si="85">AT29*(1+2%)</f>
        <v>129.89185920000003</v>
      </c>
      <c r="BI29" s="476">
        <f t="shared" si="85"/>
        <v>162.36482400000003</v>
      </c>
      <c r="BJ29" s="476">
        <f t="shared" si="85"/>
        <v>194.8377888</v>
      </c>
      <c r="BK29" s="476">
        <f t="shared" si="85"/>
        <v>194.8377888</v>
      </c>
      <c r="BL29" s="476">
        <f t="shared" si="85"/>
        <v>238.13507520000002</v>
      </c>
      <c r="BM29" s="476">
        <f t="shared" si="85"/>
        <v>270.60804000000002</v>
      </c>
      <c r="BN29" s="476">
        <f t="shared" si="85"/>
        <v>270.60804000000002</v>
      </c>
      <c r="BO29" s="476">
        <f t="shared" si="85"/>
        <v>238.13507520000002</v>
      </c>
      <c r="BP29" s="476">
        <f t="shared" si="85"/>
        <v>194.8377888</v>
      </c>
      <c r="BQ29" s="476">
        <f t="shared" si="85"/>
        <v>162.36482400000003</v>
      </c>
      <c r="BR29" s="477">
        <f t="shared" si="85"/>
        <v>140.71618080000002</v>
      </c>
    </row>
    <row r="30" spans="2:70" s="523" customFormat="1" ht="17" thickBot="1" x14ac:dyDescent="0.2">
      <c r="B30" s="587" t="s">
        <v>501</v>
      </c>
      <c r="C30" s="136">
        <f>(C27*C8)*C29*30</f>
        <v>21600</v>
      </c>
      <c r="D30" s="136">
        <f>(D27*C8)*D29*30</f>
        <v>21600</v>
      </c>
      <c r="E30" s="136">
        <f>(E27*C8)*E29*30</f>
        <v>36000</v>
      </c>
      <c r="F30" s="136">
        <f>(F27*C8)*F29*30</f>
        <v>54000</v>
      </c>
      <c r="G30" s="136">
        <f>(G27*C8)*G29*30</f>
        <v>54000</v>
      </c>
      <c r="H30" s="136">
        <f>(H27*C8)*H29*30</f>
        <v>79200</v>
      </c>
      <c r="I30" s="136">
        <f>(I27*C8)*I29*30</f>
        <v>120000</v>
      </c>
      <c r="J30" s="136">
        <f>(J27*C8)*J29*30</f>
        <v>120000</v>
      </c>
      <c r="K30" s="136">
        <f>(K27*C8)*K29*30</f>
        <v>79200</v>
      </c>
      <c r="L30" s="136">
        <f>(L27*C8)*L29*30</f>
        <v>54000</v>
      </c>
      <c r="M30" s="136">
        <f>(M27*C8)*M29*30</f>
        <v>36000</v>
      </c>
      <c r="N30" s="137">
        <f>(N27*C8)*N29*30</f>
        <v>23400</v>
      </c>
      <c r="P30" s="587" t="s">
        <v>217</v>
      </c>
      <c r="Q30" s="136">
        <f>(Q27*C8)*Q29*30</f>
        <v>24235.200000000004</v>
      </c>
      <c r="R30" s="136">
        <f>(R27*C8)*R29*30</f>
        <v>24235.200000000004</v>
      </c>
      <c r="S30" s="136">
        <f>(S27*C8)*S29*30</f>
        <v>40392</v>
      </c>
      <c r="T30" s="136">
        <f>(T27*C8)*T29*30</f>
        <v>60588</v>
      </c>
      <c r="U30" s="136">
        <f>(U27*C8)*U29*30</f>
        <v>60588</v>
      </c>
      <c r="V30" s="136">
        <f>(V27*C8)*V29*30</f>
        <v>88862.400000000009</v>
      </c>
      <c r="W30" s="136">
        <f>(W27*C8)*W29*30</f>
        <v>134640</v>
      </c>
      <c r="X30" s="136">
        <f>(X27*C8)*X29*30</f>
        <v>134640</v>
      </c>
      <c r="Y30" s="136">
        <f>(Y27*C8)*Y29*30</f>
        <v>88862.400000000009</v>
      </c>
      <c r="Z30" s="136">
        <f>(Z27*C8)*Z29*30</f>
        <v>60588</v>
      </c>
      <c r="AA30" s="136">
        <f>(AA27*C8)*AA29*30</f>
        <v>40392</v>
      </c>
      <c r="AB30" s="137">
        <f>(AB27*C8)*AB29*30</f>
        <v>26254.800000000003</v>
      </c>
      <c r="AD30" s="587" t="s">
        <v>217</v>
      </c>
      <c r="AE30" s="136">
        <f>(AE27*C8)*AE29*30</f>
        <v>28427.889600000002</v>
      </c>
      <c r="AF30" s="136">
        <f t="shared" ref="AF30" si="86">(AF27*D8)*AF29*30</f>
        <v>36956.256480000004</v>
      </c>
      <c r="AG30" s="136">
        <f>(AG27*C8)*AG29*30</f>
        <v>47379.816000000006</v>
      </c>
      <c r="AH30" s="136">
        <f>(AH27*C8)*AH29*30</f>
        <v>71069.723999999987</v>
      </c>
      <c r="AI30" s="136">
        <f>(AI27*C8)*AI29*30</f>
        <v>71069.723999999987</v>
      </c>
      <c r="AJ30" s="136">
        <f>(AJ27*C8)*AJ29*30</f>
        <v>104235.5952</v>
      </c>
      <c r="AK30" s="136">
        <f>(AK27*C8)*AK29*30</f>
        <v>156060</v>
      </c>
      <c r="AL30" s="136">
        <f>(AL27*C8)*AL29*30</f>
        <v>156060</v>
      </c>
      <c r="AM30" s="136">
        <f>(AM27*C8)*AM29*30</f>
        <v>104235.5952</v>
      </c>
      <c r="AN30" s="136">
        <f>(AN27*C8)*AN29*30</f>
        <v>71069.723999999987</v>
      </c>
      <c r="AO30" s="136">
        <f>(AO27*C8)*AO29*30</f>
        <v>47379.816000000006</v>
      </c>
      <c r="AP30" s="137">
        <f>(AP27*C8)*AP29*30</f>
        <v>30796.880400000002</v>
      </c>
      <c r="AR30" s="587" t="s">
        <v>217</v>
      </c>
      <c r="AS30" s="136">
        <f>(AS27*C8)*AS29*30</f>
        <v>34215.807922560001</v>
      </c>
      <c r="AT30" s="136">
        <f>(AT27*C8)*AT29*30</f>
        <v>34215.807922560001</v>
      </c>
      <c r="AU30" s="136">
        <f>(AU27*C8)*AU29*30</f>
        <v>57026.346537600002</v>
      </c>
      <c r="AV30" s="136">
        <f>(AV27*C8)*AV29*30</f>
        <v>85539.519806399985</v>
      </c>
      <c r="AW30" s="136">
        <f>(AW27*C8)*AW29*30</f>
        <v>85539.519806399985</v>
      </c>
      <c r="AX30" s="136">
        <f>(AX27*C8)*AX29*30</f>
        <v>125457.96238272001</v>
      </c>
      <c r="AY30" s="136">
        <f>(AY27*C8)*AY29*30</f>
        <v>159181.20000000001</v>
      </c>
      <c r="AZ30" s="136">
        <f>(AZ27*C8)*AZ29*30</f>
        <v>159181.20000000001</v>
      </c>
      <c r="BA30" s="136">
        <f>(BA27*C8)*BA29*30</f>
        <v>125457.96238272001</v>
      </c>
      <c r="BB30" s="136">
        <f>(BB27*C8)*BB29*30</f>
        <v>85539.519806399985</v>
      </c>
      <c r="BC30" s="136">
        <f>(BC27*C8)*BC29*30</f>
        <v>57026.346537600002</v>
      </c>
      <c r="BD30" s="137">
        <f>(BD27*C8)*BD29*30</f>
        <v>37067.125249439996</v>
      </c>
      <c r="BF30" s="587" t="s">
        <v>217</v>
      </c>
      <c r="BG30" s="136">
        <f>(BG27*C8)*BG29*30</f>
        <v>40135.142693162888</v>
      </c>
      <c r="BH30" s="136">
        <f>(BH27*C8)*BH29*30</f>
        <v>40135.142693162888</v>
      </c>
      <c r="BI30" s="136">
        <f>(BI27*C8)*BI29*30</f>
        <v>66891.904488604792</v>
      </c>
      <c r="BJ30" s="136">
        <f>(BJ27*C8)*BJ29*30</f>
        <v>100337.8567329072</v>
      </c>
      <c r="BK30" s="136">
        <f>(BK27*C8)*BK29*30</f>
        <v>100337.8567329072</v>
      </c>
      <c r="BL30" s="136">
        <f>(BL27*C8)*BL29*30</f>
        <v>142881.04512000002</v>
      </c>
      <c r="BM30" s="136">
        <f>(BM27*C8)*BM29*30</f>
        <v>162364.82400000002</v>
      </c>
      <c r="BN30" s="136">
        <f>(BN27*C8)*BN29*30</f>
        <v>162364.82400000002</v>
      </c>
      <c r="BO30" s="136">
        <f>(BO27*C8)*BO29*30</f>
        <v>142881.04512000002</v>
      </c>
      <c r="BP30" s="136">
        <f>(BP27*C8)*BP29*30</f>
        <v>100337.8567329072</v>
      </c>
      <c r="BQ30" s="136">
        <f>(BQ27*C8)*BQ29*30</f>
        <v>66891.904488604792</v>
      </c>
      <c r="BR30" s="137">
        <f>(BR27*C8)*BR29*30</f>
        <v>43479.737917593127</v>
      </c>
    </row>
    <row r="31" spans="2:70" s="523" customFormat="1" ht="17" thickBot="1" x14ac:dyDescent="0.2">
      <c r="B31" s="588" t="s">
        <v>222</v>
      </c>
      <c r="C31" s="524">
        <f>SUM(C30:N30)</f>
        <v>699000</v>
      </c>
      <c r="D31" s="525"/>
      <c r="E31" s="525"/>
      <c r="F31" s="525"/>
      <c r="G31" s="525"/>
      <c r="H31" s="525"/>
      <c r="I31" s="525"/>
      <c r="J31" s="525"/>
      <c r="K31" s="525"/>
      <c r="L31" s="525"/>
      <c r="M31" s="525"/>
      <c r="N31" s="526"/>
      <c r="P31" s="614" t="s">
        <v>218</v>
      </c>
      <c r="Q31" s="527">
        <f>SUM(Q30:AB30)</f>
        <v>784278.00000000012</v>
      </c>
      <c r="R31" s="525"/>
      <c r="S31" s="525"/>
      <c r="T31" s="525"/>
      <c r="U31" s="525"/>
      <c r="V31" s="525"/>
      <c r="W31" s="525"/>
      <c r="X31" s="525"/>
      <c r="Y31" s="525"/>
      <c r="Z31" s="525"/>
      <c r="AA31" s="525"/>
      <c r="AB31" s="526"/>
      <c r="AD31" s="621" t="s">
        <v>218</v>
      </c>
      <c r="AE31" s="528">
        <f>SUM(AE30:AP30)</f>
        <v>924741.02087999997</v>
      </c>
      <c r="AF31" s="525"/>
      <c r="AG31" s="525"/>
      <c r="AH31" s="525"/>
      <c r="AI31" s="525"/>
      <c r="AJ31" s="525"/>
      <c r="AK31" s="525"/>
      <c r="AL31" s="525"/>
      <c r="AM31" s="525"/>
      <c r="AN31" s="525"/>
      <c r="AO31" s="525"/>
      <c r="AP31" s="526"/>
      <c r="AR31" s="629" t="s">
        <v>218</v>
      </c>
      <c r="AS31" s="529">
        <f>SUM(AS30:BD30)</f>
        <v>1045448.3183543999</v>
      </c>
      <c r="AT31" s="525"/>
      <c r="AU31" s="525"/>
      <c r="AV31" s="525"/>
      <c r="AW31" s="525"/>
      <c r="AX31" s="525"/>
      <c r="AY31" s="525"/>
      <c r="AZ31" s="525"/>
      <c r="BA31" s="525"/>
      <c r="BB31" s="525"/>
      <c r="BC31" s="525"/>
      <c r="BD31" s="526"/>
      <c r="BF31" s="634" t="s">
        <v>218</v>
      </c>
      <c r="BG31" s="530">
        <f>SUM(BG30:BR30)</f>
        <v>1169039.1407198501</v>
      </c>
      <c r="BH31" s="525"/>
      <c r="BI31" s="525"/>
      <c r="BJ31" s="525"/>
      <c r="BK31" s="525"/>
      <c r="BL31" s="525"/>
      <c r="BM31" s="525"/>
      <c r="BN31" s="525"/>
      <c r="BO31" s="525"/>
      <c r="BP31" s="525"/>
      <c r="BQ31" s="525"/>
      <c r="BR31" s="526"/>
    </row>
    <row r="32" spans="2:70" ht="17" thickBot="1" x14ac:dyDescent="0.2">
      <c r="B32" s="589" t="s">
        <v>494</v>
      </c>
      <c r="C32" s="154">
        <f>(SUM(C28:N28))/I8</f>
        <v>0.5</v>
      </c>
      <c r="D32" s="124"/>
      <c r="E32" s="446" t="s">
        <v>430</v>
      </c>
      <c r="F32" s="447">
        <f>C31/SUM(C28:N28)</f>
        <v>191.50684931506851</v>
      </c>
      <c r="G32" s="124"/>
      <c r="H32" s="448" t="s">
        <v>41</v>
      </c>
      <c r="I32" s="449">
        <f>C31/$I$8</f>
        <v>95.753424657534254</v>
      </c>
      <c r="J32" s="124"/>
      <c r="K32" s="124"/>
      <c r="L32" s="124"/>
      <c r="M32" s="124"/>
      <c r="N32" s="125"/>
      <c r="P32" s="615" t="s">
        <v>494</v>
      </c>
      <c r="Q32" s="155">
        <f>(SUM(Q28:AB28))/$I$8</f>
        <v>0.55000000000000016</v>
      </c>
      <c r="R32" s="124"/>
      <c r="S32" s="452" t="s">
        <v>430</v>
      </c>
      <c r="T32" s="447">
        <f>Q31/SUM(Q28:AB28)</f>
        <v>195.33698630136985</v>
      </c>
      <c r="U32" s="124"/>
      <c r="V32" s="452" t="s">
        <v>41</v>
      </c>
      <c r="W32" s="449">
        <f>Q31/$I$8</f>
        <v>107.43534246575344</v>
      </c>
      <c r="X32" s="124"/>
      <c r="Y32" s="124"/>
      <c r="Z32" s="124"/>
      <c r="AA32" s="124"/>
      <c r="AB32" s="125"/>
      <c r="AD32" s="622" t="s">
        <v>494</v>
      </c>
      <c r="AE32" s="156">
        <f>(SUM(AE28:AP28))/$I$8</f>
        <v>0.63050000000000006</v>
      </c>
      <c r="AF32" s="124"/>
      <c r="AG32" s="453" t="s">
        <v>430</v>
      </c>
      <c r="AH32" s="447">
        <f>AE31/SUM(AE28:AP28)</f>
        <v>200.91491225272395</v>
      </c>
      <c r="AI32" s="198"/>
      <c r="AJ32" s="453" t="s">
        <v>41</v>
      </c>
      <c r="AK32" s="449">
        <f>AE31/$I$8</f>
        <v>126.67685217534246</v>
      </c>
      <c r="AL32" s="124"/>
      <c r="AM32" s="124"/>
      <c r="AN32" s="124"/>
      <c r="AO32" s="124"/>
      <c r="AP32" s="125"/>
      <c r="AR32" s="630" t="s">
        <v>494</v>
      </c>
      <c r="AS32" s="157">
        <f>(SUM(AS28:BD28))/$I$8</f>
        <v>0.7139899999999999</v>
      </c>
      <c r="AT32" s="124"/>
      <c r="AU32" s="455" t="s">
        <v>430</v>
      </c>
      <c r="AV32" s="456">
        <v>201</v>
      </c>
      <c r="AW32" s="535"/>
      <c r="AX32" s="455" t="s">
        <v>41</v>
      </c>
      <c r="AY32" s="457">
        <v>143</v>
      </c>
      <c r="AZ32" s="124"/>
      <c r="BA32" s="124"/>
      <c r="BB32" s="124"/>
      <c r="BC32" s="124"/>
      <c r="BD32" s="125"/>
      <c r="BF32" s="635" t="s">
        <v>494</v>
      </c>
      <c r="BG32" s="158">
        <f>(SUM(BG28:BR28))/$I$8</f>
        <v>0.79109466666666661</v>
      </c>
      <c r="BH32" s="124"/>
      <c r="BI32" s="458" t="s">
        <v>430</v>
      </c>
      <c r="BJ32" s="447">
        <f>BG31/SUM(BG28:BR28)</f>
        <v>202.43133317860199</v>
      </c>
      <c r="BK32" s="124"/>
      <c r="BL32" s="458" t="s">
        <v>41</v>
      </c>
      <c r="BM32" s="449">
        <f>BG31/$I$8</f>
        <v>160.14234804381508</v>
      </c>
      <c r="BN32" s="124"/>
      <c r="BO32" s="124"/>
      <c r="BP32" s="124"/>
      <c r="BQ32" s="124"/>
      <c r="BR32" s="125"/>
    </row>
    <row r="33" spans="2:70" ht="17" thickBot="1" x14ac:dyDescent="0.2">
      <c r="B33" s="584"/>
      <c r="C33" s="531"/>
      <c r="D33" s="531"/>
      <c r="E33" s="531"/>
      <c r="F33" s="531"/>
      <c r="G33" s="531"/>
      <c r="H33" s="531"/>
      <c r="I33" s="531"/>
      <c r="J33" s="531"/>
      <c r="K33" s="531"/>
      <c r="L33" s="531"/>
      <c r="M33" s="531"/>
      <c r="N33" s="532"/>
      <c r="P33" s="584"/>
      <c r="Q33" s="531"/>
      <c r="R33" s="531"/>
      <c r="S33" s="531"/>
      <c r="T33" s="531"/>
      <c r="U33" s="531"/>
      <c r="V33" s="531"/>
      <c r="W33" s="531"/>
      <c r="X33" s="531"/>
      <c r="Y33" s="531"/>
      <c r="Z33" s="531"/>
      <c r="AA33" s="531"/>
      <c r="AB33" s="532"/>
      <c r="AD33" s="584"/>
      <c r="AE33" s="531"/>
      <c r="AF33" s="531"/>
      <c r="AG33" s="531"/>
      <c r="AH33" s="531"/>
      <c r="AI33" s="531"/>
      <c r="AJ33" s="531"/>
      <c r="AK33" s="531"/>
      <c r="AL33" s="531"/>
      <c r="AM33" s="531"/>
      <c r="AN33" s="531"/>
      <c r="AO33" s="531"/>
      <c r="AP33" s="532"/>
      <c r="AR33" s="584"/>
      <c r="AS33" s="531"/>
      <c r="AT33" s="531"/>
      <c r="AU33" s="531"/>
      <c r="AV33" s="531"/>
      <c r="AW33" s="531"/>
      <c r="AX33" s="531"/>
      <c r="AY33" s="531"/>
      <c r="AZ33" s="531"/>
      <c r="BA33" s="531"/>
      <c r="BB33" s="531"/>
      <c r="BC33" s="531"/>
      <c r="BD33" s="532"/>
      <c r="BF33" s="584"/>
      <c r="BG33" s="531"/>
      <c r="BH33" s="531"/>
      <c r="BI33" s="531"/>
      <c r="BJ33" s="531"/>
      <c r="BK33" s="531"/>
      <c r="BL33" s="531"/>
      <c r="BM33" s="531"/>
      <c r="BN33" s="531"/>
      <c r="BO33" s="531"/>
      <c r="BP33" s="531"/>
      <c r="BQ33" s="531"/>
      <c r="BR33" s="532"/>
    </row>
    <row r="34" spans="2:70" ht="17" thickBot="1" x14ac:dyDescent="0.2">
      <c r="B34" s="584"/>
      <c r="C34" s="536"/>
      <c r="D34" s="536"/>
      <c r="E34" s="536"/>
      <c r="F34" s="536"/>
      <c r="G34" s="536"/>
      <c r="H34" s="536"/>
      <c r="I34" s="536"/>
      <c r="J34" s="536"/>
      <c r="K34" s="536"/>
      <c r="L34" s="536"/>
      <c r="M34" s="536"/>
      <c r="N34" s="537"/>
      <c r="P34" s="613" t="s">
        <v>219</v>
      </c>
      <c r="Q34" s="508">
        <v>0.15</v>
      </c>
      <c r="R34" s="531"/>
      <c r="S34" s="531"/>
      <c r="T34" s="531"/>
      <c r="U34" s="531"/>
      <c r="V34" s="531"/>
      <c r="W34" s="531"/>
      <c r="X34" s="531"/>
      <c r="Y34" s="531"/>
      <c r="Z34" s="531"/>
      <c r="AA34" s="531"/>
      <c r="AB34" s="532"/>
      <c r="AD34" s="620" t="s">
        <v>219</v>
      </c>
      <c r="AE34" s="509">
        <v>0.2</v>
      </c>
      <c r="AF34" s="531"/>
      <c r="AG34" s="531"/>
      <c r="AH34" s="531"/>
      <c r="AI34" s="531"/>
      <c r="AJ34" s="531"/>
      <c r="AK34" s="531"/>
      <c r="AL34" s="531"/>
      <c r="AM34" s="531"/>
      <c r="AN34" s="531"/>
      <c r="AO34" s="531"/>
      <c r="AP34" s="532"/>
      <c r="AR34" s="631" t="s">
        <v>219</v>
      </c>
      <c r="AS34" s="538">
        <v>0.15</v>
      </c>
      <c r="AT34" s="531"/>
      <c r="AU34" s="531"/>
      <c r="AV34" s="531"/>
      <c r="AW34" s="531"/>
      <c r="AX34" s="531"/>
      <c r="AY34" s="531"/>
      <c r="AZ34" s="531"/>
      <c r="BA34" s="531"/>
      <c r="BB34" s="531"/>
      <c r="BC34" s="531"/>
      <c r="BD34" s="532"/>
      <c r="BF34" s="633" t="s">
        <v>219</v>
      </c>
      <c r="BG34" s="511">
        <v>0.05</v>
      </c>
      <c r="BH34" s="531"/>
      <c r="BI34" s="531"/>
      <c r="BJ34" s="531"/>
      <c r="BK34" s="531"/>
      <c r="BL34" s="531"/>
      <c r="BM34" s="531"/>
      <c r="BN34" s="531"/>
      <c r="BO34" s="531"/>
      <c r="BP34" s="531"/>
      <c r="BQ34" s="531"/>
      <c r="BR34" s="532"/>
    </row>
    <row r="35" spans="2:70" s="308" customFormat="1" ht="17" thickBot="1" x14ac:dyDescent="0.2">
      <c r="B35" s="583" t="s">
        <v>464</v>
      </c>
      <c r="C35" s="516" t="s">
        <v>204</v>
      </c>
      <c r="D35" s="517" t="s">
        <v>205</v>
      </c>
      <c r="E35" s="517" t="s">
        <v>206</v>
      </c>
      <c r="F35" s="517" t="s">
        <v>207</v>
      </c>
      <c r="G35" s="517" t="s">
        <v>208</v>
      </c>
      <c r="H35" s="517" t="s">
        <v>209</v>
      </c>
      <c r="I35" s="517" t="s">
        <v>210</v>
      </c>
      <c r="J35" s="517" t="s">
        <v>211</v>
      </c>
      <c r="K35" s="517" t="s">
        <v>212</v>
      </c>
      <c r="L35" s="517" t="s">
        <v>213</v>
      </c>
      <c r="M35" s="517" t="s">
        <v>214</v>
      </c>
      <c r="N35" s="518" t="s">
        <v>215</v>
      </c>
      <c r="P35" s="612" t="s">
        <v>464</v>
      </c>
      <c r="Q35" s="517" t="s">
        <v>204</v>
      </c>
      <c r="R35" s="517" t="s">
        <v>205</v>
      </c>
      <c r="S35" s="517" t="s">
        <v>206</v>
      </c>
      <c r="T35" s="517" t="s">
        <v>207</v>
      </c>
      <c r="U35" s="517" t="s">
        <v>208</v>
      </c>
      <c r="V35" s="517" t="s">
        <v>209</v>
      </c>
      <c r="W35" s="517" t="s">
        <v>210</v>
      </c>
      <c r="X35" s="517" t="s">
        <v>211</v>
      </c>
      <c r="Y35" s="517" t="s">
        <v>212</v>
      </c>
      <c r="Z35" s="517" t="s">
        <v>213</v>
      </c>
      <c r="AA35" s="517" t="s">
        <v>214</v>
      </c>
      <c r="AB35" s="518" t="s">
        <v>215</v>
      </c>
      <c r="AD35" s="609" t="s">
        <v>464</v>
      </c>
      <c r="AE35" s="516" t="s">
        <v>204</v>
      </c>
      <c r="AF35" s="517" t="s">
        <v>205</v>
      </c>
      <c r="AG35" s="517" t="s">
        <v>206</v>
      </c>
      <c r="AH35" s="517" t="s">
        <v>207</v>
      </c>
      <c r="AI35" s="517" t="s">
        <v>208</v>
      </c>
      <c r="AJ35" s="517" t="s">
        <v>209</v>
      </c>
      <c r="AK35" s="517" t="s">
        <v>210</v>
      </c>
      <c r="AL35" s="517" t="s">
        <v>211</v>
      </c>
      <c r="AM35" s="517" t="s">
        <v>212</v>
      </c>
      <c r="AN35" s="517" t="s">
        <v>213</v>
      </c>
      <c r="AO35" s="517" t="s">
        <v>214</v>
      </c>
      <c r="AP35" s="518" t="s">
        <v>215</v>
      </c>
      <c r="AR35" s="610" t="s">
        <v>464</v>
      </c>
      <c r="AS35" s="516" t="s">
        <v>204</v>
      </c>
      <c r="AT35" s="517" t="s">
        <v>205</v>
      </c>
      <c r="AU35" s="517" t="s">
        <v>206</v>
      </c>
      <c r="AV35" s="517" t="s">
        <v>207</v>
      </c>
      <c r="AW35" s="517" t="s">
        <v>208</v>
      </c>
      <c r="AX35" s="517" t="s">
        <v>209</v>
      </c>
      <c r="AY35" s="517" t="s">
        <v>210</v>
      </c>
      <c r="AZ35" s="517" t="s">
        <v>211</v>
      </c>
      <c r="BA35" s="517" t="s">
        <v>212</v>
      </c>
      <c r="BB35" s="517" t="s">
        <v>213</v>
      </c>
      <c r="BC35" s="517" t="s">
        <v>214</v>
      </c>
      <c r="BD35" s="518" t="s">
        <v>215</v>
      </c>
      <c r="BF35" s="611" t="s">
        <v>464</v>
      </c>
      <c r="BG35" s="516" t="s">
        <v>204</v>
      </c>
      <c r="BH35" s="517" t="s">
        <v>205</v>
      </c>
      <c r="BI35" s="517" t="s">
        <v>206</v>
      </c>
      <c r="BJ35" s="517" t="s">
        <v>207</v>
      </c>
      <c r="BK35" s="517" t="s">
        <v>208</v>
      </c>
      <c r="BL35" s="517" t="s">
        <v>209</v>
      </c>
      <c r="BM35" s="517" t="s">
        <v>210</v>
      </c>
      <c r="BN35" s="517" t="s">
        <v>211</v>
      </c>
      <c r="BO35" s="517" t="s">
        <v>212</v>
      </c>
      <c r="BP35" s="517" t="s">
        <v>213</v>
      </c>
      <c r="BQ35" s="517" t="s">
        <v>214</v>
      </c>
      <c r="BR35" s="518" t="s">
        <v>215</v>
      </c>
    </row>
    <row r="36" spans="2:70" x14ac:dyDescent="0.15">
      <c r="B36" s="590" t="s">
        <v>410</v>
      </c>
      <c r="C36" s="121">
        <v>0.6</v>
      </c>
      <c r="D36" s="121">
        <v>0.6</v>
      </c>
      <c r="E36" s="121">
        <v>0.6</v>
      </c>
      <c r="F36" s="121">
        <v>0.6</v>
      </c>
      <c r="G36" s="121">
        <v>0.6</v>
      </c>
      <c r="H36" s="121">
        <v>0.6</v>
      </c>
      <c r="I36" s="121">
        <v>0.4</v>
      </c>
      <c r="J36" s="121">
        <v>0.4</v>
      </c>
      <c r="K36" s="121">
        <v>0.6</v>
      </c>
      <c r="L36" s="121">
        <v>0.6</v>
      </c>
      <c r="M36" s="121">
        <v>0.6</v>
      </c>
      <c r="N36" s="122">
        <v>0.6</v>
      </c>
      <c r="P36" s="585" t="s">
        <v>410</v>
      </c>
      <c r="Q36" s="121">
        <f>C36*(1+$Q$34)</f>
        <v>0.69</v>
      </c>
      <c r="R36" s="121">
        <f t="shared" ref="R36:AB36" si="87">D36*(1+$Q$34)</f>
        <v>0.69</v>
      </c>
      <c r="S36" s="121">
        <f t="shared" si="87"/>
        <v>0.69</v>
      </c>
      <c r="T36" s="121">
        <f t="shared" si="87"/>
        <v>0.69</v>
      </c>
      <c r="U36" s="121">
        <f t="shared" si="87"/>
        <v>0.69</v>
      </c>
      <c r="V36" s="121">
        <f t="shared" si="87"/>
        <v>0.69</v>
      </c>
      <c r="W36" s="121">
        <f t="shared" si="87"/>
        <v>0.45999999999999996</v>
      </c>
      <c r="X36" s="121">
        <f t="shared" si="87"/>
        <v>0.45999999999999996</v>
      </c>
      <c r="Y36" s="121">
        <f t="shared" si="87"/>
        <v>0.69</v>
      </c>
      <c r="Z36" s="121">
        <f t="shared" si="87"/>
        <v>0.69</v>
      </c>
      <c r="AA36" s="121">
        <f t="shared" si="87"/>
        <v>0.69</v>
      </c>
      <c r="AB36" s="122">
        <f t="shared" si="87"/>
        <v>0.69</v>
      </c>
      <c r="AD36" s="585" t="s">
        <v>410</v>
      </c>
      <c r="AE36" s="121">
        <f>Q36*(1+$AE$34)</f>
        <v>0.82799999999999996</v>
      </c>
      <c r="AF36" s="121">
        <f>R36*(1+$AE$34)</f>
        <v>0.82799999999999996</v>
      </c>
      <c r="AG36" s="121">
        <f>S36*(1+$AE$34)</f>
        <v>0.82799999999999996</v>
      </c>
      <c r="AH36" s="121">
        <f t="shared" ref="AH36:AP36" si="88">T36*(1+$AE$34)</f>
        <v>0.82799999999999996</v>
      </c>
      <c r="AI36" s="121">
        <f t="shared" si="88"/>
        <v>0.82799999999999996</v>
      </c>
      <c r="AJ36" s="121">
        <f t="shared" si="88"/>
        <v>0.82799999999999996</v>
      </c>
      <c r="AK36" s="121">
        <f t="shared" si="88"/>
        <v>0.55199999999999994</v>
      </c>
      <c r="AL36" s="121">
        <f>X36*(1+$AE$34)</f>
        <v>0.55199999999999994</v>
      </c>
      <c r="AM36" s="121">
        <f t="shared" si="88"/>
        <v>0.82799999999999996</v>
      </c>
      <c r="AN36" s="121">
        <f t="shared" si="88"/>
        <v>0.82799999999999996</v>
      </c>
      <c r="AO36" s="121">
        <f t="shared" si="88"/>
        <v>0.82799999999999996</v>
      </c>
      <c r="AP36" s="122">
        <f t="shared" si="88"/>
        <v>0.82799999999999996</v>
      </c>
      <c r="AR36" s="585" t="s">
        <v>410</v>
      </c>
      <c r="AS36" s="121">
        <f>AE36*(1+$AS$34)</f>
        <v>0.95219999999999982</v>
      </c>
      <c r="AT36" s="121">
        <f t="shared" ref="AT36:BD36" si="89">AF36*(1+$AS$34)</f>
        <v>0.95219999999999982</v>
      </c>
      <c r="AU36" s="121">
        <f t="shared" si="89"/>
        <v>0.95219999999999982</v>
      </c>
      <c r="AV36" s="121">
        <f t="shared" si="89"/>
        <v>0.95219999999999982</v>
      </c>
      <c r="AW36" s="121">
        <f t="shared" si="89"/>
        <v>0.95219999999999982</v>
      </c>
      <c r="AX36" s="121">
        <f t="shared" si="89"/>
        <v>0.95219999999999982</v>
      </c>
      <c r="AY36" s="121">
        <f t="shared" si="89"/>
        <v>0.63479999999999992</v>
      </c>
      <c r="AZ36" s="121">
        <f t="shared" si="89"/>
        <v>0.63479999999999992</v>
      </c>
      <c r="BA36" s="121">
        <f t="shared" si="89"/>
        <v>0.95219999999999982</v>
      </c>
      <c r="BB36" s="121">
        <f t="shared" si="89"/>
        <v>0.95219999999999982</v>
      </c>
      <c r="BC36" s="121">
        <f t="shared" si="89"/>
        <v>0.95219999999999982</v>
      </c>
      <c r="BD36" s="122">
        <f t="shared" si="89"/>
        <v>0.95219999999999982</v>
      </c>
      <c r="BF36" s="585" t="s">
        <v>410</v>
      </c>
      <c r="BG36" s="121">
        <f>AS36*(1+$BG$34)</f>
        <v>0.99980999999999987</v>
      </c>
      <c r="BH36" s="121">
        <f t="shared" ref="BH36:BR36" si="90">AT36*(1+$BG$34)</f>
        <v>0.99980999999999987</v>
      </c>
      <c r="BI36" s="121">
        <f t="shared" si="90"/>
        <v>0.99980999999999987</v>
      </c>
      <c r="BJ36" s="121">
        <f t="shared" si="90"/>
        <v>0.99980999999999987</v>
      </c>
      <c r="BK36" s="121">
        <f t="shared" si="90"/>
        <v>0.99980999999999987</v>
      </c>
      <c r="BL36" s="121">
        <f t="shared" si="90"/>
        <v>0.99980999999999987</v>
      </c>
      <c r="BM36" s="121">
        <f t="shared" si="90"/>
        <v>0.66653999999999991</v>
      </c>
      <c r="BN36" s="121">
        <f t="shared" si="90"/>
        <v>0.66653999999999991</v>
      </c>
      <c r="BO36" s="121">
        <f t="shared" si="90"/>
        <v>0.99980999999999987</v>
      </c>
      <c r="BP36" s="121">
        <f t="shared" si="90"/>
        <v>0.99980999999999987</v>
      </c>
      <c r="BQ36" s="121">
        <f t="shared" si="90"/>
        <v>0.99980999999999987</v>
      </c>
      <c r="BR36" s="122">
        <f t="shared" si="90"/>
        <v>0.99980999999999987</v>
      </c>
    </row>
    <row r="37" spans="2:70" x14ac:dyDescent="0.15">
      <c r="B37" s="590" t="s">
        <v>465</v>
      </c>
      <c r="C37" s="123">
        <f>C36*$H$9</f>
        <v>36</v>
      </c>
      <c r="D37" s="123">
        <f>D36*$H$9</f>
        <v>36</v>
      </c>
      <c r="E37" s="123">
        <f>E36*$H$9</f>
        <v>36</v>
      </c>
      <c r="F37" s="123">
        <f t="shared" ref="F37:N37" si="91">F36*$H$9</f>
        <v>36</v>
      </c>
      <c r="G37" s="123">
        <f t="shared" si="91"/>
        <v>36</v>
      </c>
      <c r="H37" s="123">
        <f t="shared" si="91"/>
        <v>36</v>
      </c>
      <c r="I37" s="123">
        <f t="shared" si="91"/>
        <v>24</v>
      </c>
      <c r="J37" s="123">
        <f t="shared" si="91"/>
        <v>24</v>
      </c>
      <c r="K37" s="123">
        <f t="shared" si="91"/>
        <v>36</v>
      </c>
      <c r="L37" s="123">
        <f t="shared" si="91"/>
        <v>36</v>
      </c>
      <c r="M37" s="123">
        <f t="shared" si="91"/>
        <v>36</v>
      </c>
      <c r="N37" s="450">
        <f t="shared" si="91"/>
        <v>36</v>
      </c>
      <c r="P37" s="585" t="s">
        <v>465</v>
      </c>
      <c r="Q37" s="123">
        <f>Q36*$H$9</f>
        <v>41.4</v>
      </c>
      <c r="R37" s="123">
        <f>R36*$H$9</f>
        <v>41.4</v>
      </c>
      <c r="S37" s="123">
        <f>S36*$H$9</f>
        <v>41.4</v>
      </c>
      <c r="T37" s="123">
        <f t="shared" ref="T37" si="92">T36*$H$9</f>
        <v>41.4</v>
      </c>
      <c r="U37" s="123">
        <f t="shared" ref="U37" si="93">U36*$H$9</f>
        <v>41.4</v>
      </c>
      <c r="V37" s="123">
        <f t="shared" ref="V37" si="94">V36*$H$9</f>
        <v>41.4</v>
      </c>
      <c r="W37" s="123">
        <f t="shared" ref="W37" si="95">W36*$H$9</f>
        <v>27.599999999999998</v>
      </c>
      <c r="X37" s="123">
        <f t="shared" ref="X37" si="96">X36*$H$9</f>
        <v>27.599999999999998</v>
      </c>
      <c r="Y37" s="123">
        <f t="shared" ref="Y37" si="97">Y36*$H$9</f>
        <v>41.4</v>
      </c>
      <c r="Z37" s="123">
        <f t="shared" ref="Z37" si="98">Z36*$H$9</f>
        <v>41.4</v>
      </c>
      <c r="AA37" s="123">
        <f t="shared" ref="AA37" si="99">AA36*$H$9</f>
        <v>41.4</v>
      </c>
      <c r="AB37" s="450">
        <f t="shared" ref="AB37" si="100">AB36*$H$9</f>
        <v>41.4</v>
      </c>
      <c r="AD37" s="585" t="s">
        <v>465</v>
      </c>
      <c r="AE37" s="123">
        <f>AE36*$H$9</f>
        <v>49.68</v>
      </c>
      <c r="AF37" s="123">
        <f>AF36*$H$9</f>
        <v>49.68</v>
      </c>
      <c r="AG37" s="123">
        <f>AG36*$H$9</f>
        <v>49.68</v>
      </c>
      <c r="AH37" s="123">
        <f t="shared" ref="AH37" si="101">AH36*$H$9</f>
        <v>49.68</v>
      </c>
      <c r="AI37" s="123">
        <f t="shared" ref="AI37" si="102">AI36*$H$9</f>
        <v>49.68</v>
      </c>
      <c r="AJ37" s="123">
        <f t="shared" ref="AJ37" si="103">AJ36*$H$9</f>
        <v>49.68</v>
      </c>
      <c r="AK37" s="123">
        <f t="shared" ref="AK37" si="104">AK36*$H$9</f>
        <v>33.119999999999997</v>
      </c>
      <c r="AL37" s="123">
        <f t="shared" ref="AL37" si="105">AL36*$H$9</f>
        <v>33.119999999999997</v>
      </c>
      <c r="AM37" s="123">
        <f t="shared" ref="AM37" si="106">AM36*$H$9</f>
        <v>49.68</v>
      </c>
      <c r="AN37" s="123">
        <f t="shared" ref="AN37" si="107">AN36*$H$9</f>
        <v>49.68</v>
      </c>
      <c r="AO37" s="123">
        <f t="shared" ref="AO37" si="108">AO36*$H$9</f>
        <v>49.68</v>
      </c>
      <c r="AP37" s="450">
        <f t="shared" ref="AP37" si="109">AP36*$H$9</f>
        <v>49.68</v>
      </c>
      <c r="AR37" s="585" t="s">
        <v>465</v>
      </c>
      <c r="AS37" s="123">
        <f>AS36*$H$9</f>
        <v>57.131999999999991</v>
      </c>
      <c r="AT37" s="123">
        <f t="shared" ref="AT37:BD37" si="110">AT36*$H$9</f>
        <v>57.131999999999991</v>
      </c>
      <c r="AU37" s="123">
        <f t="shared" si="110"/>
        <v>57.131999999999991</v>
      </c>
      <c r="AV37" s="123">
        <f t="shared" si="110"/>
        <v>57.131999999999991</v>
      </c>
      <c r="AW37" s="123">
        <f t="shared" si="110"/>
        <v>57.131999999999991</v>
      </c>
      <c r="AX37" s="123">
        <f t="shared" si="110"/>
        <v>57.131999999999991</v>
      </c>
      <c r="AY37" s="123">
        <f t="shared" si="110"/>
        <v>38.087999999999994</v>
      </c>
      <c r="AZ37" s="123">
        <f t="shared" si="110"/>
        <v>38.087999999999994</v>
      </c>
      <c r="BA37" s="123">
        <f t="shared" si="110"/>
        <v>57.131999999999991</v>
      </c>
      <c r="BB37" s="123">
        <f t="shared" si="110"/>
        <v>57.131999999999991</v>
      </c>
      <c r="BC37" s="123">
        <f t="shared" si="110"/>
        <v>57.131999999999991</v>
      </c>
      <c r="BD37" s="450">
        <f t="shared" si="110"/>
        <v>57.131999999999991</v>
      </c>
      <c r="BF37" s="585" t="s">
        <v>465</v>
      </c>
      <c r="BG37" s="123">
        <f>BG36*$H$9</f>
        <v>59.988599999999991</v>
      </c>
      <c r="BH37" s="123">
        <f>BH36*$H$9</f>
        <v>59.988599999999991</v>
      </c>
      <c r="BI37" s="123">
        <f>BI36*$H$9</f>
        <v>59.988599999999991</v>
      </c>
      <c r="BJ37" s="123">
        <f t="shared" ref="BJ37" si="111">BJ36*$H$9</f>
        <v>59.988599999999991</v>
      </c>
      <c r="BK37" s="123">
        <f t="shared" ref="BK37" si="112">BK36*$H$9</f>
        <v>59.988599999999991</v>
      </c>
      <c r="BL37" s="123">
        <f t="shared" ref="BL37" si="113">BL36*$H$9</f>
        <v>59.988599999999991</v>
      </c>
      <c r="BM37" s="123">
        <f t="shared" ref="BM37" si="114">BM36*$H$9</f>
        <v>39.992399999999996</v>
      </c>
      <c r="BN37" s="123">
        <f t="shared" ref="BN37" si="115">BN36*$H$9</f>
        <v>39.992399999999996</v>
      </c>
      <c r="BO37" s="123">
        <f t="shared" ref="BO37" si="116">BO36*$H$9</f>
        <v>59.988599999999991</v>
      </c>
      <c r="BP37" s="123">
        <f t="shared" ref="BP37" si="117">BP36*$H$9</f>
        <v>59.988599999999991</v>
      </c>
      <c r="BQ37" s="123">
        <f t="shared" ref="BQ37" si="118">BQ36*$H$9</f>
        <v>59.988599999999991</v>
      </c>
      <c r="BR37" s="450">
        <f t="shared" ref="BR37" si="119">BR36*$H$9</f>
        <v>59.988599999999991</v>
      </c>
    </row>
    <row r="38" spans="2:70" s="519" customFormat="1" x14ac:dyDescent="0.15">
      <c r="B38" s="586" t="s">
        <v>221</v>
      </c>
      <c r="C38" s="476">
        <v>150</v>
      </c>
      <c r="D38" s="476">
        <v>150</v>
      </c>
      <c r="E38" s="476">
        <v>150</v>
      </c>
      <c r="F38" s="476">
        <v>150</v>
      </c>
      <c r="G38" s="476">
        <v>150</v>
      </c>
      <c r="H38" s="476">
        <v>150</v>
      </c>
      <c r="I38" s="476">
        <v>150</v>
      </c>
      <c r="J38" s="476">
        <v>150</v>
      </c>
      <c r="K38" s="476">
        <v>150</v>
      </c>
      <c r="L38" s="476">
        <v>150</v>
      </c>
      <c r="M38" s="476">
        <v>150</v>
      </c>
      <c r="N38" s="477">
        <v>150</v>
      </c>
      <c r="P38" s="586" t="s">
        <v>216</v>
      </c>
      <c r="Q38" s="476">
        <f>C38*(1+10%)</f>
        <v>165</v>
      </c>
      <c r="R38" s="476">
        <f t="shared" ref="R38:AB38" si="120">D38*(1+10%)</f>
        <v>165</v>
      </c>
      <c r="S38" s="476">
        <f t="shared" si="120"/>
        <v>165</v>
      </c>
      <c r="T38" s="476">
        <f t="shared" si="120"/>
        <v>165</v>
      </c>
      <c r="U38" s="476">
        <f t="shared" si="120"/>
        <v>165</v>
      </c>
      <c r="V38" s="476">
        <f t="shared" si="120"/>
        <v>165</v>
      </c>
      <c r="W38" s="476">
        <f t="shared" si="120"/>
        <v>165</v>
      </c>
      <c r="X38" s="476">
        <f t="shared" si="120"/>
        <v>165</v>
      </c>
      <c r="Y38" s="476">
        <f t="shared" si="120"/>
        <v>165</v>
      </c>
      <c r="Z38" s="476">
        <f t="shared" si="120"/>
        <v>165</v>
      </c>
      <c r="AA38" s="476">
        <f t="shared" si="120"/>
        <v>165</v>
      </c>
      <c r="AB38" s="476">
        <f t="shared" si="120"/>
        <v>165</v>
      </c>
      <c r="AD38" s="623" t="s">
        <v>221</v>
      </c>
      <c r="AE38" s="476">
        <f>Q38*(1+10%)</f>
        <v>181.50000000000003</v>
      </c>
      <c r="AF38" s="476">
        <f t="shared" ref="AF38:AP38" si="121">R38*(1+10%)</f>
        <v>181.50000000000003</v>
      </c>
      <c r="AG38" s="476">
        <f t="shared" si="121"/>
        <v>181.50000000000003</v>
      </c>
      <c r="AH38" s="476">
        <f t="shared" si="121"/>
        <v>181.50000000000003</v>
      </c>
      <c r="AI38" s="476">
        <f t="shared" si="121"/>
        <v>181.50000000000003</v>
      </c>
      <c r="AJ38" s="476">
        <f t="shared" si="121"/>
        <v>181.50000000000003</v>
      </c>
      <c r="AK38" s="476">
        <f t="shared" si="121"/>
        <v>181.50000000000003</v>
      </c>
      <c r="AL38" s="476">
        <f t="shared" si="121"/>
        <v>181.50000000000003</v>
      </c>
      <c r="AM38" s="476">
        <f t="shared" si="121"/>
        <v>181.50000000000003</v>
      </c>
      <c r="AN38" s="476">
        <f t="shared" si="121"/>
        <v>181.50000000000003</v>
      </c>
      <c r="AO38" s="476">
        <f t="shared" si="121"/>
        <v>181.50000000000003</v>
      </c>
      <c r="AP38" s="476">
        <f t="shared" si="121"/>
        <v>181.50000000000003</v>
      </c>
      <c r="AR38" s="623" t="s">
        <v>221</v>
      </c>
      <c r="AS38" s="476">
        <f>AE38*(1+10%)</f>
        <v>199.65000000000003</v>
      </c>
      <c r="AT38" s="476">
        <f t="shared" ref="AT38:BD38" si="122">AF38*(1+10%)</f>
        <v>199.65000000000003</v>
      </c>
      <c r="AU38" s="476">
        <f t="shared" si="122"/>
        <v>199.65000000000003</v>
      </c>
      <c r="AV38" s="476">
        <f t="shared" si="122"/>
        <v>199.65000000000003</v>
      </c>
      <c r="AW38" s="476">
        <f t="shared" si="122"/>
        <v>199.65000000000003</v>
      </c>
      <c r="AX38" s="476">
        <f t="shared" si="122"/>
        <v>199.65000000000003</v>
      </c>
      <c r="AY38" s="476">
        <f t="shared" si="122"/>
        <v>199.65000000000003</v>
      </c>
      <c r="AZ38" s="476">
        <f t="shared" si="122"/>
        <v>199.65000000000003</v>
      </c>
      <c r="BA38" s="476">
        <f t="shared" si="122"/>
        <v>199.65000000000003</v>
      </c>
      <c r="BB38" s="476">
        <f t="shared" si="122"/>
        <v>199.65000000000003</v>
      </c>
      <c r="BC38" s="476">
        <f t="shared" si="122"/>
        <v>199.65000000000003</v>
      </c>
      <c r="BD38" s="476">
        <f t="shared" si="122"/>
        <v>199.65000000000003</v>
      </c>
      <c r="BF38" s="623" t="s">
        <v>221</v>
      </c>
      <c r="BG38" s="476">
        <f>AS38*(1+10%)</f>
        <v>219.61500000000007</v>
      </c>
      <c r="BH38" s="476">
        <f t="shared" ref="BH38:BR38" si="123">AT38*(1+10%)</f>
        <v>219.61500000000007</v>
      </c>
      <c r="BI38" s="476">
        <f t="shared" si="123"/>
        <v>219.61500000000007</v>
      </c>
      <c r="BJ38" s="476">
        <f t="shared" si="123"/>
        <v>219.61500000000007</v>
      </c>
      <c r="BK38" s="476">
        <f t="shared" si="123"/>
        <v>219.61500000000007</v>
      </c>
      <c r="BL38" s="476">
        <f t="shared" si="123"/>
        <v>219.61500000000007</v>
      </c>
      <c r="BM38" s="476">
        <f t="shared" si="123"/>
        <v>219.61500000000007</v>
      </c>
      <c r="BN38" s="476">
        <f t="shared" si="123"/>
        <v>219.61500000000007</v>
      </c>
      <c r="BO38" s="476">
        <f t="shared" si="123"/>
        <v>219.61500000000007</v>
      </c>
      <c r="BP38" s="476">
        <f t="shared" si="123"/>
        <v>219.61500000000007</v>
      </c>
      <c r="BQ38" s="476">
        <f t="shared" si="123"/>
        <v>219.61500000000007</v>
      </c>
      <c r="BR38" s="476">
        <f t="shared" si="123"/>
        <v>219.61500000000007</v>
      </c>
    </row>
    <row r="39" spans="2:70" s="523" customFormat="1" ht="17" thickBot="1" x14ac:dyDescent="0.2">
      <c r="B39" s="607" t="s">
        <v>501</v>
      </c>
      <c r="C39" s="138">
        <f>(C9*C36)*C38</f>
        <v>5400</v>
      </c>
      <c r="D39" s="136">
        <f>(C9*D36)*D38</f>
        <v>5400</v>
      </c>
      <c r="E39" s="136">
        <f>(C9*E36)*E38</f>
        <v>5400</v>
      </c>
      <c r="F39" s="136">
        <f>(C9*F36)*F38</f>
        <v>5400</v>
      </c>
      <c r="G39" s="136">
        <f>(C9*G36)*G38</f>
        <v>5400</v>
      </c>
      <c r="H39" s="136">
        <f>(C9*H36)*H38</f>
        <v>5400</v>
      </c>
      <c r="I39" s="136">
        <f>(C9*I36)*I38</f>
        <v>3600</v>
      </c>
      <c r="J39" s="136">
        <f>(C9*J36)*J38</f>
        <v>3600</v>
      </c>
      <c r="K39" s="136">
        <f>(C9*K36)*K38</f>
        <v>5400</v>
      </c>
      <c r="L39" s="136">
        <f>(C9*L36)*L38</f>
        <v>5400</v>
      </c>
      <c r="M39" s="136">
        <f>(C9*M36)*M38</f>
        <v>5400</v>
      </c>
      <c r="N39" s="137">
        <f>(C9*N36)*N38</f>
        <v>5400</v>
      </c>
      <c r="P39" s="616" t="s">
        <v>501</v>
      </c>
      <c r="Q39" s="136">
        <f>(C9*Q36)*Q38</f>
        <v>6831</v>
      </c>
      <c r="R39" s="136">
        <f>(C9*R36)*R38</f>
        <v>6831</v>
      </c>
      <c r="S39" s="136">
        <f>(C9*S36)*S38</f>
        <v>6831</v>
      </c>
      <c r="T39" s="136">
        <f>(C9*T36)*T38</f>
        <v>6831</v>
      </c>
      <c r="U39" s="136">
        <f>(C9*U36)*U38</f>
        <v>6831</v>
      </c>
      <c r="V39" s="136">
        <f>(C9*V36)*V38</f>
        <v>6831</v>
      </c>
      <c r="W39" s="136">
        <f>(C9*W36)*W38</f>
        <v>4554</v>
      </c>
      <c r="X39" s="136">
        <f>(C9*X36)*X38</f>
        <v>4554</v>
      </c>
      <c r="Y39" s="136">
        <f>(C9*Y36)*Y38</f>
        <v>6831</v>
      </c>
      <c r="Z39" s="136">
        <f>(C9*Z36)*Z38</f>
        <v>6831</v>
      </c>
      <c r="AA39" s="136">
        <f>(C9*AA36)*AA38</f>
        <v>6831</v>
      </c>
      <c r="AB39" s="137">
        <f>(C9*AB36)*AB38</f>
        <v>6831</v>
      </c>
      <c r="AD39" s="624" t="s">
        <v>501</v>
      </c>
      <c r="AE39" s="136">
        <f>(AE36*C9)*AE38</f>
        <v>9016.9200000000019</v>
      </c>
      <c r="AF39" s="136">
        <f>(AF36*C9)*AF38</f>
        <v>9016.9200000000019</v>
      </c>
      <c r="AG39" s="136">
        <f>(AG36*C9)*AG38</f>
        <v>9016.9200000000019</v>
      </c>
      <c r="AH39" s="136">
        <f>(AH36*C9)*AH38</f>
        <v>9016.9200000000019</v>
      </c>
      <c r="AI39" s="136">
        <f>(AI36*C9)*AI38</f>
        <v>9016.9200000000019</v>
      </c>
      <c r="AJ39" s="136">
        <f>(AJ36*C9)*AJ38</f>
        <v>9016.9200000000019</v>
      </c>
      <c r="AK39" s="136">
        <f>(AK36*C9)*AK38</f>
        <v>6011.2800000000007</v>
      </c>
      <c r="AL39" s="136">
        <f>(AL36*C9)*AL38</f>
        <v>6011.2800000000007</v>
      </c>
      <c r="AM39" s="136">
        <f>(AM36*C9)*AM38</f>
        <v>9016.9200000000019</v>
      </c>
      <c r="AN39" s="136">
        <f>(AN36*C9)*AN38</f>
        <v>9016.9200000000019</v>
      </c>
      <c r="AO39" s="136">
        <f>(AO36*C9)*AO38</f>
        <v>9016.9200000000019</v>
      </c>
      <c r="AP39" s="137">
        <f>(AP36*C9)*AP38</f>
        <v>9016.9200000000019</v>
      </c>
      <c r="AR39" s="624" t="s">
        <v>501</v>
      </c>
      <c r="AS39" s="136">
        <f>(AS36*C9)*AS38</f>
        <v>11406.4038</v>
      </c>
      <c r="AT39" s="136">
        <f>(AT36*C9)*AT38</f>
        <v>11406.4038</v>
      </c>
      <c r="AU39" s="136">
        <f>(AU36*C9)*AU38</f>
        <v>11406.4038</v>
      </c>
      <c r="AV39" s="136">
        <f>(AV36*C9)*AV38</f>
        <v>11406.4038</v>
      </c>
      <c r="AW39" s="136">
        <f>(AW36*C9)*AW38</f>
        <v>11406.4038</v>
      </c>
      <c r="AX39" s="136">
        <f>(AX36*C9)*AX38</f>
        <v>11406.4038</v>
      </c>
      <c r="AY39" s="136">
        <f>(AY36*C9)*AY38</f>
        <v>7604.2691999999997</v>
      </c>
      <c r="AZ39" s="136">
        <f>(AZ36*C9)*AZ38</f>
        <v>7604.2691999999997</v>
      </c>
      <c r="BA39" s="136">
        <f>(BA36*C9)*BA38</f>
        <v>11406.4038</v>
      </c>
      <c r="BB39" s="136">
        <f>(BB36*C9)*BB38</f>
        <v>11406.4038</v>
      </c>
      <c r="BC39" s="136">
        <f>(BC36*C9)*BC38</f>
        <v>11406.4038</v>
      </c>
      <c r="BD39" s="137">
        <f>(BD36*C9)*BD38</f>
        <v>11406.4038</v>
      </c>
      <c r="BF39" s="624" t="s">
        <v>501</v>
      </c>
      <c r="BG39" s="136">
        <f>(BG36*C9)*BG38</f>
        <v>13174.396389000001</v>
      </c>
      <c r="BH39" s="136">
        <f>(BH36*C9)*BH38</f>
        <v>13174.396389000001</v>
      </c>
      <c r="BI39" s="136">
        <f>(BI36*C9)*BI38</f>
        <v>13174.396389000001</v>
      </c>
      <c r="BJ39" s="136">
        <f>(BJ36*C9)*BJ38</f>
        <v>13174.396389000001</v>
      </c>
      <c r="BK39" s="136">
        <f>(BK36*C9)*BK38</f>
        <v>13174.396389000001</v>
      </c>
      <c r="BL39" s="136">
        <f>(BL36*C9)*BL38</f>
        <v>13174.396389000001</v>
      </c>
      <c r="BM39" s="136">
        <f>(BM36*C9)*BM38</f>
        <v>8782.9309260000027</v>
      </c>
      <c r="BN39" s="136">
        <f>(BN36*C9)*BN38</f>
        <v>8782.9309260000027</v>
      </c>
      <c r="BO39" s="136">
        <f>(BO36*C9)*BO38</f>
        <v>13174.396389000001</v>
      </c>
      <c r="BP39" s="136">
        <f>(BP36*C9)*BP38</f>
        <v>13174.396389000001</v>
      </c>
      <c r="BQ39" s="136">
        <f>(BQ36*C9)*BQ38</f>
        <v>13174.396389000001</v>
      </c>
      <c r="BR39" s="137">
        <f>(BR36*C9)*BR38</f>
        <v>13174.396389000001</v>
      </c>
    </row>
    <row r="40" spans="2:70" s="523" customFormat="1" ht="16" customHeight="1" thickBot="1" x14ac:dyDescent="0.2">
      <c r="B40" s="593" t="s">
        <v>218</v>
      </c>
      <c r="C40" s="524">
        <f>SUM(C39:N39)</f>
        <v>61200</v>
      </c>
      <c r="D40" s="525"/>
      <c r="E40" s="525"/>
      <c r="F40" s="525"/>
      <c r="G40" s="525"/>
      <c r="H40" s="525"/>
      <c r="I40" s="525"/>
      <c r="J40" s="525"/>
      <c r="K40" s="525"/>
      <c r="L40" s="525"/>
      <c r="M40" s="525"/>
      <c r="N40" s="526"/>
      <c r="P40" s="614" t="s">
        <v>218</v>
      </c>
      <c r="Q40" s="539">
        <f>SUM(Q39:AB39)</f>
        <v>77418</v>
      </c>
      <c r="R40" s="525"/>
      <c r="S40" s="525"/>
      <c r="T40" s="525"/>
      <c r="U40" s="525"/>
      <c r="V40" s="525"/>
      <c r="W40" s="525"/>
      <c r="X40" s="525"/>
      <c r="Y40" s="525"/>
      <c r="Z40" s="525"/>
      <c r="AA40" s="525"/>
      <c r="AB40" s="526"/>
      <c r="AD40" s="621" t="s">
        <v>222</v>
      </c>
      <c r="AE40" s="540">
        <f>SUM(AE39:AP39)</f>
        <v>102191.76</v>
      </c>
      <c r="AF40" s="525"/>
      <c r="AG40" s="525"/>
      <c r="AH40" s="525"/>
      <c r="AI40" s="525"/>
      <c r="AJ40" s="525"/>
      <c r="AK40" s="525"/>
      <c r="AL40" s="525"/>
      <c r="AM40" s="525"/>
      <c r="AN40" s="525"/>
      <c r="AO40" s="525"/>
      <c r="AP40" s="526"/>
      <c r="AR40" s="629" t="s">
        <v>222</v>
      </c>
      <c r="AS40" s="541">
        <f>SUM(AS39:BD39)</f>
        <v>129272.57639999999</v>
      </c>
      <c r="AT40" s="525"/>
      <c r="AU40" s="525"/>
      <c r="AV40" s="525"/>
      <c r="AW40" s="525"/>
      <c r="AX40" s="525"/>
      <c r="AY40" s="525"/>
      <c r="AZ40" s="525"/>
      <c r="BA40" s="525"/>
      <c r="BB40" s="525"/>
      <c r="BC40" s="525"/>
      <c r="BD40" s="526"/>
      <c r="BF40" s="634" t="s">
        <v>222</v>
      </c>
      <c r="BG40" s="542">
        <f>SUM(BG39:BR39)</f>
        <v>149309.82574200002</v>
      </c>
      <c r="BH40" s="525"/>
      <c r="BI40" s="525"/>
      <c r="BJ40" s="525"/>
      <c r="BK40" s="525"/>
      <c r="BL40" s="525"/>
      <c r="BM40" s="525"/>
      <c r="BN40" s="525"/>
      <c r="BO40" s="525"/>
      <c r="BP40" s="525"/>
      <c r="BQ40" s="525"/>
      <c r="BR40" s="526"/>
    </row>
    <row r="41" spans="2:70" ht="33" thickBot="1" x14ac:dyDescent="0.2">
      <c r="B41" s="594" t="s">
        <v>495</v>
      </c>
      <c r="C41" s="154">
        <f>(SUM(C37:N37))/$I$9</f>
        <v>0.56666666666666665</v>
      </c>
      <c r="D41" s="444"/>
      <c r="E41" s="443"/>
      <c r="F41" s="445"/>
      <c r="G41" s="124"/>
      <c r="H41" s="124"/>
      <c r="I41" s="124"/>
      <c r="J41" s="124"/>
      <c r="K41" s="124"/>
      <c r="L41" s="124"/>
      <c r="M41" s="124"/>
      <c r="N41" s="125"/>
      <c r="P41" s="615" t="s">
        <v>495</v>
      </c>
      <c r="Q41" s="155">
        <f>(SUM(Q37:AB37))/$I$9</f>
        <v>0.65166666666666662</v>
      </c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5"/>
      <c r="AD41" s="625" t="s">
        <v>495</v>
      </c>
      <c r="AE41" s="156">
        <f>(SUM(AE37:AP37))/$I$9</f>
        <v>0.78199999999999992</v>
      </c>
      <c r="AF41" s="124"/>
      <c r="AG41" s="124"/>
      <c r="AH41" s="124"/>
      <c r="AI41" s="124"/>
      <c r="AJ41" s="124"/>
      <c r="AK41" s="124"/>
      <c r="AL41" s="124"/>
      <c r="AM41" s="124"/>
      <c r="AN41" s="124"/>
      <c r="AO41" s="124"/>
      <c r="AP41" s="125"/>
      <c r="AR41" s="632" t="s">
        <v>495</v>
      </c>
      <c r="AS41" s="157">
        <f>(SUM(AS37:BD37))/$I$9</f>
        <v>0.89929999999999977</v>
      </c>
      <c r="AT41" s="124"/>
      <c r="AU41" s="124"/>
      <c r="AV41" s="124"/>
      <c r="AW41" s="124"/>
      <c r="AX41" s="124"/>
      <c r="AY41" s="124"/>
      <c r="AZ41" s="124"/>
      <c r="BA41" s="124"/>
      <c r="BB41" s="124"/>
      <c r="BC41" s="124"/>
      <c r="BD41" s="125"/>
      <c r="BF41" s="636" t="s">
        <v>495</v>
      </c>
      <c r="BG41" s="158">
        <f>(SUM(BG37:BR37))/$I$9</f>
        <v>0.94426500000000002</v>
      </c>
      <c r="BH41" s="124"/>
      <c r="BI41" s="124"/>
      <c r="BJ41" s="124"/>
      <c r="BK41" s="124"/>
      <c r="BL41" s="124"/>
      <c r="BM41" s="124"/>
      <c r="BN41" s="124"/>
      <c r="BO41" s="124"/>
      <c r="BP41" s="124"/>
      <c r="BQ41" s="124"/>
      <c r="BR41" s="125"/>
    </row>
    <row r="42" spans="2:70" ht="17" thickBot="1" x14ac:dyDescent="0.2">
      <c r="B42" s="595"/>
      <c r="C42" s="443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5"/>
      <c r="P42" s="595"/>
      <c r="Q42" s="443"/>
      <c r="R42" s="124"/>
      <c r="S42" s="124"/>
      <c r="T42" s="124"/>
      <c r="U42" s="124"/>
      <c r="V42" s="124"/>
      <c r="W42" s="124"/>
      <c r="X42" s="124"/>
      <c r="Y42" s="124"/>
      <c r="Z42" s="124"/>
      <c r="AA42" s="124"/>
      <c r="AB42" s="125"/>
      <c r="AD42" s="626"/>
      <c r="AE42" s="543"/>
      <c r="AF42" s="124"/>
      <c r="AG42" s="124"/>
      <c r="AH42" s="124"/>
      <c r="AI42" s="124"/>
      <c r="AJ42" s="124"/>
      <c r="AK42" s="124"/>
      <c r="AL42" s="124"/>
      <c r="AM42" s="124"/>
      <c r="AN42" s="124"/>
      <c r="AO42" s="124"/>
      <c r="AP42" s="125"/>
      <c r="AR42" s="595"/>
      <c r="AS42" s="443"/>
      <c r="AT42" s="124"/>
      <c r="AU42" s="124"/>
      <c r="AV42" s="124"/>
      <c r="AW42" s="124"/>
      <c r="AX42" s="124"/>
      <c r="AY42" s="124"/>
      <c r="AZ42" s="124"/>
      <c r="BA42" s="124"/>
      <c r="BB42" s="124"/>
      <c r="BC42" s="124"/>
      <c r="BD42" s="125"/>
      <c r="BF42" s="595"/>
      <c r="BG42" s="443"/>
      <c r="BH42" s="124"/>
      <c r="BI42" s="124"/>
      <c r="BJ42" s="124"/>
      <c r="BK42" s="124"/>
      <c r="BL42" s="124"/>
      <c r="BM42" s="124"/>
      <c r="BN42" s="124"/>
      <c r="BO42" s="124"/>
      <c r="BP42" s="124"/>
      <c r="BQ42" s="124"/>
      <c r="BR42" s="125"/>
    </row>
    <row r="43" spans="2:70" ht="17" thickBot="1" x14ac:dyDescent="0.2">
      <c r="B43" s="584"/>
      <c r="C43" s="536"/>
      <c r="D43" s="536"/>
      <c r="E43" s="536"/>
      <c r="F43" s="536"/>
      <c r="G43" s="536"/>
      <c r="H43" s="536"/>
      <c r="I43" s="536"/>
      <c r="J43" s="536"/>
      <c r="K43" s="536"/>
      <c r="L43" s="536"/>
      <c r="M43" s="536"/>
      <c r="N43" s="537"/>
      <c r="P43" s="613" t="s">
        <v>219</v>
      </c>
      <c r="Q43" s="508">
        <v>0.15</v>
      </c>
      <c r="R43" s="531"/>
      <c r="S43" s="531"/>
      <c r="T43" s="531"/>
      <c r="U43" s="531"/>
      <c r="V43" s="531"/>
      <c r="W43" s="531"/>
      <c r="X43" s="531"/>
      <c r="Y43" s="531"/>
      <c r="Z43" s="531"/>
      <c r="AA43" s="531"/>
      <c r="AB43" s="532"/>
      <c r="AD43" s="627" t="s">
        <v>219</v>
      </c>
      <c r="AE43" s="544">
        <v>0.15</v>
      </c>
      <c r="AF43" s="531"/>
      <c r="AG43" s="531"/>
      <c r="AH43" s="531"/>
      <c r="AI43" s="531"/>
      <c r="AJ43" s="531"/>
      <c r="AK43" s="531"/>
      <c r="AL43" s="531"/>
      <c r="AM43" s="531"/>
      <c r="AN43" s="531"/>
      <c r="AO43" s="531"/>
      <c r="AP43" s="532"/>
      <c r="AR43" s="631" t="s">
        <v>219</v>
      </c>
      <c r="AS43" s="538">
        <v>0.15</v>
      </c>
      <c r="AT43" s="531"/>
      <c r="AU43" s="531"/>
      <c r="AV43" s="531"/>
      <c r="AW43" s="531"/>
      <c r="AX43" s="531"/>
      <c r="AY43" s="531"/>
      <c r="AZ43" s="531"/>
      <c r="BA43" s="531"/>
      <c r="BB43" s="531"/>
      <c r="BC43" s="531"/>
      <c r="BD43" s="532"/>
      <c r="BF43" s="611" t="s">
        <v>219</v>
      </c>
      <c r="BG43" s="511">
        <v>0.15</v>
      </c>
      <c r="BH43" s="531"/>
      <c r="BI43" s="531"/>
      <c r="BJ43" s="531"/>
      <c r="BK43" s="531"/>
      <c r="BL43" s="531"/>
      <c r="BM43" s="531"/>
      <c r="BN43" s="531"/>
      <c r="BO43" s="531"/>
      <c r="BP43" s="531"/>
      <c r="BQ43" s="531"/>
      <c r="BR43" s="532"/>
    </row>
    <row r="44" spans="2:70" s="308" customFormat="1" ht="17" thickBot="1" x14ac:dyDescent="0.2">
      <c r="B44" s="583" t="s">
        <v>453</v>
      </c>
      <c r="C44" s="516" t="s">
        <v>204</v>
      </c>
      <c r="D44" s="517" t="s">
        <v>205</v>
      </c>
      <c r="E44" s="517" t="s">
        <v>206</v>
      </c>
      <c r="F44" s="517" t="s">
        <v>207</v>
      </c>
      <c r="G44" s="517" t="s">
        <v>208</v>
      </c>
      <c r="H44" s="517" t="s">
        <v>209</v>
      </c>
      <c r="I44" s="517" t="s">
        <v>210</v>
      </c>
      <c r="J44" s="517" t="s">
        <v>211</v>
      </c>
      <c r="K44" s="517" t="s">
        <v>212</v>
      </c>
      <c r="L44" s="517" t="s">
        <v>213</v>
      </c>
      <c r="M44" s="517" t="s">
        <v>214</v>
      </c>
      <c r="N44" s="518" t="s">
        <v>215</v>
      </c>
      <c r="P44" s="608" t="s">
        <v>453</v>
      </c>
      <c r="Q44" s="516" t="s">
        <v>204</v>
      </c>
      <c r="R44" s="517" t="s">
        <v>205</v>
      </c>
      <c r="S44" s="517" t="s">
        <v>206</v>
      </c>
      <c r="T44" s="517" t="s">
        <v>207</v>
      </c>
      <c r="U44" s="517" t="s">
        <v>208</v>
      </c>
      <c r="V44" s="517" t="s">
        <v>209</v>
      </c>
      <c r="W44" s="517" t="s">
        <v>210</v>
      </c>
      <c r="X44" s="517" t="s">
        <v>211</v>
      </c>
      <c r="Y44" s="517" t="s">
        <v>212</v>
      </c>
      <c r="Z44" s="517" t="s">
        <v>213</v>
      </c>
      <c r="AA44" s="517" t="s">
        <v>214</v>
      </c>
      <c r="AB44" s="518" t="s">
        <v>215</v>
      </c>
      <c r="AD44" s="609" t="s">
        <v>453</v>
      </c>
      <c r="AE44" s="516" t="s">
        <v>204</v>
      </c>
      <c r="AF44" s="517" t="s">
        <v>205</v>
      </c>
      <c r="AG44" s="517" t="s">
        <v>206</v>
      </c>
      <c r="AH44" s="517" t="s">
        <v>207</v>
      </c>
      <c r="AI44" s="517" t="s">
        <v>208</v>
      </c>
      <c r="AJ44" s="517" t="s">
        <v>209</v>
      </c>
      <c r="AK44" s="517" t="s">
        <v>210</v>
      </c>
      <c r="AL44" s="517" t="s">
        <v>211</v>
      </c>
      <c r="AM44" s="517" t="s">
        <v>212</v>
      </c>
      <c r="AN44" s="517" t="s">
        <v>213</v>
      </c>
      <c r="AO44" s="517" t="s">
        <v>214</v>
      </c>
      <c r="AP44" s="518" t="s">
        <v>215</v>
      </c>
      <c r="AR44" s="610" t="s">
        <v>453</v>
      </c>
      <c r="AS44" s="516" t="s">
        <v>204</v>
      </c>
      <c r="AT44" s="517" t="s">
        <v>205</v>
      </c>
      <c r="AU44" s="517" t="s">
        <v>206</v>
      </c>
      <c r="AV44" s="517" t="s">
        <v>207</v>
      </c>
      <c r="AW44" s="517" t="s">
        <v>208</v>
      </c>
      <c r="AX44" s="517" t="s">
        <v>209</v>
      </c>
      <c r="AY44" s="517" t="s">
        <v>210</v>
      </c>
      <c r="AZ44" s="517" t="s">
        <v>211</v>
      </c>
      <c r="BA44" s="517" t="s">
        <v>212</v>
      </c>
      <c r="BB44" s="517" t="s">
        <v>213</v>
      </c>
      <c r="BC44" s="517" t="s">
        <v>214</v>
      </c>
      <c r="BD44" s="518" t="s">
        <v>215</v>
      </c>
      <c r="BF44" s="611" t="s">
        <v>453</v>
      </c>
      <c r="BG44" s="516" t="s">
        <v>204</v>
      </c>
      <c r="BH44" s="517" t="s">
        <v>205</v>
      </c>
      <c r="BI44" s="517" t="s">
        <v>206</v>
      </c>
      <c r="BJ44" s="517" t="s">
        <v>207</v>
      </c>
      <c r="BK44" s="517" t="s">
        <v>208</v>
      </c>
      <c r="BL44" s="517" t="s">
        <v>209</v>
      </c>
      <c r="BM44" s="517" t="s">
        <v>210</v>
      </c>
      <c r="BN44" s="517" t="s">
        <v>211</v>
      </c>
      <c r="BO44" s="517" t="s">
        <v>212</v>
      </c>
      <c r="BP44" s="517" t="s">
        <v>213</v>
      </c>
      <c r="BQ44" s="517" t="s">
        <v>214</v>
      </c>
      <c r="BR44" s="518" t="s">
        <v>215</v>
      </c>
    </row>
    <row r="45" spans="2:70" x14ac:dyDescent="0.15">
      <c r="B45" s="590" t="s">
        <v>410</v>
      </c>
      <c r="C45" s="121">
        <v>0.1</v>
      </c>
      <c r="D45" s="121">
        <v>0.1</v>
      </c>
      <c r="E45" s="121">
        <v>0.1</v>
      </c>
      <c r="F45" s="121">
        <v>0.1</v>
      </c>
      <c r="G45" s="121">
        <v>0.1</v>
      </c>
      <c r="H45" s="121">
        <v>0.1</v>
      </c>
      <c r="I45" s="121">
        <v>0.1</v>
      </c>
      <c r="J45" s="121">
        <v>0.1</v>
      </c>
      <c r="K45" s="121">
        <v>0.1</v>
      </c>
      <c r="L45" s="121">
        <v>0.1</v>
      </c>
      <c r="M45" s="121">
        <v>0.1</v>
      </c>
      <c r="N45" s="122">
        <v>0.1</v>
      </c>
      <c r="P45" s="585" t="s">
        <v>410</v>
      </c>
      <c r="Q45" s="121">
        <f>C45*(1+$Q$43)</f>
        <v>0.11499999999999999</v>
      </c>
      <c r="R45" s="121">
        <f t="shared" ref="R45:AB45" si="124">D45*(1+$Q$43)</f>
        <v>0.11499999999999999</v>
      </c>
      <c r="S45" s="121">
        <f t="shared" si="124"/>
        <v>0.11499999999999999</v>
      </c>
      <c r="T45" s="121">
        <f t="shared" si="124"/>
        <v>0.11499999999999999</v>
      </c>
      <c r="U45" s="121">
        <f t="shared" si="124"/>
        <v>0.11499999999999999</v>
      </c>
      <c r="V45" s="121">
        <f t="shared" si="124"/>
        <v>0.11499999999999999</v>
      </c>
      <c r="W45" s="121">
        <f t="shared" si="124"/>
        <v>0.11499999999999999</v>
      </c>
      <c r="X45" s="121">
        <f t="shared" si="124"/>
        <v>0.11499999999999999</v>
      </c>
      <c r="Y45" s="121">
        <f t="shared" si="124"/>
        <v>0.11499999999999999</v>
      </c>
      <c r="Z45" s="121">
        <f t="shared" si="124"/>
        <v>0.11499999999999999</v>
      </c>
      <c r="AA45" s="121">
        <f t="shared" si="124"/>
        <v>0.11499999999999999</v>
      </c>
      <c r="AB45" s="122">
        <f t="shared" si="124"/>
        <v>0.11499999999999999</v>
      </c>
      <c r="AD45" s="585" t="s">
        <v>410</v>
      </c>
      <c r="AE45" s="121">
        <f>Q45*(1+$AE$43)</f>
        <v>0.13224999999999998</v>
      </c>
      <c r="AF45" s="121">
        <f t="shared" ref="AF45:AP45" si="125">R45*(1+$AE$43)</f>
        <v>0.13224999999999998</v>
      </c>
      <c r="AG45" s="121">
        <f t="shared" si="125"/>
        <v>0.13224999999999998</v>
      </c>
      <c r="AH45" s="121">
        <f t="shared" si="125"/>
        <v>0.13224999999999998</v>
      </c>
      <c r="AI45" s="121">
        <f t="shared" si="125"/>
        <v>0.13224999999999998</v>
      </c>
      <c r="AJ45" s="121">
        <f t="shared" si="125"/>
        <v>0.13224999999999998</v>
      </c>
      <c r="AK45" s="121">
        <f t="shared" si="125"/>
        <v>0.13224999999999998</v>
      </c>
      <c r="AL45" s="121">
        <f t="shared" si="125"/>
        <v>0.13224999999999998</v>
      </c>
      <c r="AM45" s="121">
        <f t="shared" si="125"/>
        <v>0.13224999999999998</v>
      </c>
      <c r="AN45" s="121">
        <f t="shared" si="125"/>
        <v>0.13224999999999998</v>
      </c>
      <c r="AO45" s="121">
        <f t="shared" si="125"/>
        <v>0.13224999999999998</v>
      </c>
      <c r="AP45" s="122">
        <f t="shared" si="125"/>
        <v>0.13224999999999998</v>
      </c>
      <c r="AR45" s="585" t="s">
        <v>410</v>
      </c>
      <c r="AS45" s="121">
        <f>AE45*(1+$AS$43)</f>
        <v>0.15208749999999996</v>
      </c>
      <c r="AT45" s="121">
        <f t="shared" ref="AT45:BD45" si="126">AF45*(1+$AS$43)</f>
        <v>0.15208749999999996</v>
      </c>
      <c r="AU45" s="121">
        <f t="shared" si="126"/>
        <v>0.15208749999999996</v>
      </c>
      <c r="AV45" s="121">
        <f t="shared" si="126"/>
        <v>0.15208749999999996</v>
      </c>
      <c r="AW45" s="121">
        <f t="shared" si="126"/>
        <v>0.15208749999999996</v>
      </c>
      <c r="AX45" s="121">
        <f t="shared" si="126"/>
        <v>0.15208749999999996</v>
      </c>
      <c r="AY45" s="121">
        <f t="shared" si="126"/>
        <v>0.15208749999999996</v>
      </c>
      <c r="AZ45" s="121">
        <f t="shared" si="126"/>
        <v>0.15208749999999996</v>
      </c>
      <c r="BA45" s="121">
        <f t="shared" si="126"/>
        <v>0.15208749999999996</v>
      </c>
      <c r="BB45" s="121">
        <f t="shared" si="126"/>
        <v>0.15208749999999996</v>
      </c>
      <c r="BC45" s="121">
        <f t="shared" si="126"/>
        <v>0.15208749999999996</v>
      </c>
      <c r="BD45" s="122">
        <f t="shared" si="126"/>
        <v>0.15208749999999996</v>
      </c>
      <c r="BF45" s="585" t="s">
        <v>412</v>
      </c>
      <c r="BG45" s="121">
        <f>AS45*(1+$BG$43)</f>
        <v>0.17490062499999995</v>
      </c>
      <c r="BH45" s="121">
        <f t="shared" ref="BH45:BR45" si="127">AT45*(1+$BG$43)</f>
        <v>0.17490062499999995</v>
      </c>
      <c r="BI45" s="121">
        <f t="shared" si="127"/>
        <v>0.17490062499999995</v>
      </c>
      <c r="BJ45" s="121">
        <f t="shared" si="127"/>
        <v>0.17490062499999995</v>
      </c>
      <c r="BK45" s="121">
        <f t="shared" si="127"/>
        <v>0.17490062499999995</v>
      </c>
      <c r="BL45" s="121">
        <f t="shared" si="127"/>
        <v>0.17490062499999995</v>
      </c>
      <c r="BM45" s="121">
        <f t="shared" si="127"/>
        <v>0.17490062499999995</v>
      </c>
      <c r="BN45" s="121">
        <f t="shared" si="127"/>
        <v>0.17490062499999995</v>
      </c>
      <c r="BO45" s="121">
        <f t="shared" si="127"/>
        <v>0.17490062499999995</v>
      </c>
      <c r="BP45" s="121">
        <f t="shared" si="127"/>
        <v>0.17490062499999995</v>
      </c>
      <c r="BQ45" s="121">
        <f t="shared" si="127"/>
        <v>0.17490062499999995</v>
      </c>
      <c r="BR45" s="122">
        <f t="shared" si="127"/>
        <v>0.17490062499999995</v>
      </c>
    </row>
    <row r="46" spans="2:70" x14ac:dyDescent="0.15">
      <c r="B46" s="590" t="s">
        <v>455</v>
      </c>
      <c r="C46" s="123">
        <f>C45*$H$10</f>
        <v>9.125</v>
      </c>
      <c r="D46" s="123">
        <f t="shared" ref="D46:N46" si="128">D45*$H$10</f>
        <v>9.125</v>
      </c>
      <c r="E46" s="123">
        <f t="shared" si="128"/>
        <v>9.125</v>
      </c>
      <c r="F46" s="123">
        <f t="shared" si="128"/>
        <v>9.125</v>
      </c>
      <c r="G46" s="123">
        <f t="shared" si="128"/>
        <v>9.125</v>
      </c>
      <c r="H46" s="123">
        <f t="shared" si="128"/>
        <v>9.125</v>
      </c>
      <c r="I46" s="123">
        <f t="shared" si="128"/>
        <v>9.125</v>
      </c>
      <c r="J46" s="123">
        <f t="shared" si="128"/>
        <v>9.125</v>
      </c>
      <c r="K46" s="123">
        <f t="shared" si="128"/>
        <v>9.125</v>
      </c>
      <c r="L46" s="123">
        <f t="shared" si="128"/>
        <v>9.125</v>
      </c>
      <c r="M46" s="123">
        <f t="shared" si="128"/>
        <v>9.125</v>
      </c>
      <c r="N46" s="450">
        <f t="shared" si="128"/>
        <v>9.125</v>
      </c>
      <c r="P46" s="585" t="s">
        <v>455</v>
      </c>
      <c r="Q46" s="123">
        <f>Q45*$H$10</f>
        <v>10.493749999999999</v>
      </c>
      <c r="R46" s="123">
        <f t="shared" ref="R46" si="129">R45*$H$10</f>
        <v>10.493749999999999</v>
      </c>
      <c r="S46" s="123">
        <f t="shared" ref="S46" si="130">S45*$H$10</f>
        <v>10.493749999999999</v>
      </c>
      <c r="T46" s="123">
        <f t="shared" ref="T46" si="131">T45*$H$10</f>
        <v>10.493749999999999</v>
      </c>
      <c r="U46" s="123">
        <f t="shared" ref="U46" si="132">U45*$H$10</f>
        <v>10.493749999999999</v>
      </c>
      <c r="V46" s="123">
        <f t="shared" ref="V46" si="133">V45*$H$10</f>
        <v>10.493749999999999</v>
      </c>
      <c r="W46" s="123">
        <f t="shared" ref="W46" si="134">W45*$H$10</f>
        <v>10.493749999999999</v>
      </c>
      <c r="X46" s="123">
        <f t="shared" ref="X46" si="135">X45*$H$10</f>
        <v>10.493749999999999</v>
      </c>
      <c r="Y46" s="123">
        <f t="shared" ref="Y46" si="136">Y45*$H$10</f>
        <v>10.493749999999999</v>
      </c>
      <c r="Z46" s="123">
        <f t="shared" ref="Z46" si="137">Z45*$H$10</f>
        <v>10.493749999999999</v>
      </c>
      <c r="AA46" s="123">
        <f t="shared" ref="AA46" si="138">AA45*$H$10</f>
        <v>10.493749999999999</v>
      </c>
      <c r="AB46" s="450">
        <f t="shared" ref="AB46" si="139">AB45*$H$10</f>
        <v>10.493749999999999</v>
      </c>
      <c r="AD46" s="585" t="s">
        <v>455</v>
      </c>
      <c r="AE46" s="123">
        <f>AE45*$H$10</f>
        <v>12.067812499999999</v>
      </c>
      <c r="AF46" s="123">
        <f t="shared" ref="AF46" si="140">AF45*$H$10</f>
        <v>12.067812499999999</v>
      </c>
      <c r="AG46" s="123">
        <f t="shared" ref="AG46" si="141">AG45*$H$10</f>
        <v>12.067812499999999</v>
      </c>
      <c r="AH46" s="123">
        <f t="shared" ref="AH46" si="142">AH45*$H$10</f>
        <v>12.067812499999999</v>
      </c>
      <c r="AI46" s="123">
        <f t="shared" ref="AI46" si="143">AI45*$H$10</f>
        <v>12.067812499999999</v>
      </c>
      <c r="AJ46" s="123">
        <f t="shared" ref="AJ46" si="144">AJ45*$H$10</f>
        <v>12.067812499999999</v>
      </c>
      <c r="AK46" s="123">
        <f t="shared" ref="AK46" si="145">AK45*$H$10</f>
        <v>12.067812499999999</v>
      </c>
      <c r="AL46" s="123">
        <f t="shared" ref="AL46" si="146">AL45*$H$10</f>
        <v>12.067812499999999</v>
      </c>
      <c r="AM46" s="123">
        <f t="shared" ref="AM46" si="147">AM45*$H$10</f>
        <v>12.067812499999999</v>
      </c>
      <c r="AN46" s="123">
        <f t="shared" ref="AN46" si="148">AN45*$H$10</f>
        <v>12.067812499999999</v>
      </c>
      <c r="AO46" s="123">
        <f t="shared" ref="AO46" si="149">AO45*$H$10</f>
        <v>12.067812499999999</v>
      </c>
      <c r="AP46" s="450">
        <f t="shared" ref="AP46" si="150">AP45*$H$10</f>
        <v>12.067812499999999</v>
      </c>
      <c r="AR46" s="585" t="s">
        <v>455</v>
      </c>
      <c r="AS46" s="123">
        <f>AS45*$H$10</f>
        <v>13.877984374999997</v>
      </c>
      <c r="AT46" s="123">
        <f t="shared" ref="AT46" si="151">AT45*$H$10</f>
        <v>13.877984374999997</v>
      </c>
      <c r="AU46" s="123">
        <f t="shared" ref="AU46" si="152">AU45*$H$10</f>
        <v>13.877984374999997</v>
      </c>
      <c r="AV46" s="123">
        <f t="shared" ref="AV46" si="153">AV45*$H$10</f>
        <v>13.877984374999997</v>
      </c>
      <c r="AW46" s="123">
        <f t="shared" ref="AW46" si="154">AW45*$H$10</f>
        <v>13.877984374999997</v>
      </c>
      <c r="AX46" s="123">
        <f t="shared" ref="AX46" si="155">AX45*$H$10</f>
        <v>13.877984374999997</v>
      </c>
      <c r="AY46" s="123">
        <f t="shared" ref="AY46" si="156">AY45*$H$10</f>
        <v>13.877984374999997</v>
      </c>
      <c r="AZ46" s="123">
        <f t="shared" ref="AZ46" si="157">AZ45*$H$10</f>
        <v>13.877984374999997</v>
      </c>
      <c r="BA46" s="123">
        <f t="shared" ref="BA46" si="158">BA45*$H$10</f>
        <v>13.877984374999997</v>
      </c>
      <c r="BB46" s="123">
        <f t="shared" ref="BB46" si="159">BB45*$H$10</f>
        <v>13.877984374999997</v>
      </c>
      <c r="BC46" s="123">
        <f t="shared" ref="BC46" si="160">BC45*$H$10</f>
        <v>13.877984374999997</v>
      </c>
      <c r="BD46" s="450">
        <f t="shared" ref="BD46" si="161">BD45*$H$10</f>
        <v>13.877984374999997</v>
      </c>
      <c r="BF46" s="597" t="s">
        <v>456</v>
      </c>
      <c r="BG46" s="123">
        <f>BG45*$H$10</f>
        <v>15.959682031249995</v>
      </c>
      <c r="BH46" s="123">
        <f t="shared" ref="BH46" si="162">BH45*$H$10</f>
        <v>15.959682031249995</v>
      </c>
      <c r="BI46" s="123">
        <f t="shared" ref="BI46" si="163">BI45*$H$10</f>
        <v>15.959682031249995</v>
      </c>
      <c r="BJ46" s="123">
        <f t="shared" ref="BJ46" si="164">BJ45*$H$10</f>
        <v>15.959682031249995</v>
      </c>
      <c r="BK46" s="123">
        <f t="shared" ref="BK46" si="165">BK45*$H$10</f>
        <v>15.959682031249995</v>
      </c>
      <c r="BL46" s="123">
        <f t="shared" ref="BL46" si="166">BL45*$H$10</f>
        <v>15.959682031249995</v>
      </c>
      <c r="BM46" s="123">
        <f t="shared" ref="BM46" si="167">BM45*$H$10</f>
        <v>15.959682031249995</v>
      </c>
      <c r="BN46" s="123">
        <f t="shared" ref="BN46" si="168">BN45*$H$10</f>
        <v>15.959682031249995</v>
      </c>
      <c r="BO46" s="123">
        <f t="shared" ref="BO46" si="169">BO45*$H$10</f>
        <v>15.959682031249995</v>
      </c>
      <c r="BP46" s="123">
        <f t="shared" ref="BP46" si="170">BP45*$H$10</f>
        <v>15.959682031249995</v>
      </c>
      <c r="BQ46" s="123">
        <f t="shared" ref="BQ46" si="171">BQ45*$H$10</f>
        <v>15.959682031249995</v>
      </c>
      <c r="BR46" s="450">
        <f t="shared" ref="BR46" si="172">BR45*$H$10</f>
        <v>15.959682031249995</v>
      </c>
    </row>
    <row r="47" spans="2:70" s="519" customFormat="1" x14ac:dyDescent="0.15">
      <c r="B47" s="591" t="s">
        <v>220</v>
      </c>
      <c r="C47" s="476">
        <v>200</v>
      </c>
      <c r="D47" s="476">
        <v>200</v>
      </c>
      <c r="E47" s="476">
        <v>200</v>
      </c>
      <c r="F47" s="476">
        <v>200</v>
      </c>
      <c r="G47" s="476">
        <v>200</v>
      </c>
      <c r="H47" s="476">
        <v>200</v>
      </c>
      <c r="I47" s="476">
        <v>200</v>
      </c>
      <c r="J47" s="476">
        <v>200</v>
      </c>
      <c r="K47" s="476">
        <v>200</v>
      </c>
      <c r="L47" s="476">
        <v>200</v>
      </c>
      <c r="M47" s="476">
        <v>200</v>
      </c>
      <c r="N47" s="477">
        <v>200</v>
      </c>
      <c r="P47" s="586" t="s">
        <v>216</v>
      </c>
      <c r="Q47" s="476">
        <f>C47*(1+2%)</f>
        <v>204</v>
      </c>
      <c r="R47" s="476">
        <f t="shared" ref="R47:AB47" si="173">D47*(1+2%)</f>
        <v>204</v>
      </c>
      <c r="S47" s="476">
        <f t="shared" si="173"/>
        <v>204</v>
      </c>
      <c r="T47" s="476">
        <f t="shared" si="173"/>
        <v>204</v>
      </c>
      <c r="U47" s="476">
        <f t="shared" si="173"/>
        <v>204</v>
      </c>
      <c r="V47" s="476">
        <f t="shared" si="173"/>
        <v>204</v>
      </c>
      <c r="W47" s="476">
        <f t="shared" si="173"/>
        <v>204</v>
      </c>
      <c r="X47" s="476">
        <f t="shared" si="173"/>
        <v>204</v>
      </c>
      <c r="Y47" s="476">
        <f t="shared" si="173"/>
        <v>204</v>
      </c>
      <c r="Z47" s="476">
        <f t="shared" si="173"/>
        <v>204</v>
      </c>
      <c r="AA47" s="476">
        <f t="shared" si="173"/>
        <v>204</v>
      </c>
      <c r="AB47" s="477">
        <f t="shared" si="173"/>
        <v>204</v>
      </c>
      <c r="AD47" s="586" t="s">
        <v>216</v>
      </c>
      <c r="AE47" s="476">
        <f>Q47*(1+2%)</f>
        <v>208.08</v>
      </c>
      <c r="AF47" s="476">
        <f t="shared" ref="AF47:AP47" si="174">R47*(1+2%)</f>
        <v>208.08</v>
      </c>
      <c r="AG47" s="476">
        <f t="shared" si="174"/>
        <v>208.08</v>
      </c>
      <c r="AH47" s="476">
        <f t="shared" si="174"/>
        <v>208.08</v>
      </c>
      <c r="AI47" s="476">
        <f t="shared" si="174"/>
        <v>208.08</v>
      </c>
      <c r="AJ47" s="476">
        <f t="shared" si="174"/>
        <v>208.08</v>
      </c>
      <c r="AK47" s="476">
        <f t="shared" si="174"/>
        <v>208.08</v>
      </c>
      <c r="AL47" s="476">
        <f t="shared" si="174"/>
        <v>208.08</v>
      </c>
      <c r="AM47" s="476">
        <f t="shared" si="174"/>
        <v>208.08</v>
      </c>
      <c r="AN47" s="476">
        <f t="shared" si="174"/>
        <v>208.08</v>
      </c>
      <c r="AO47" s="476">
        <f t="shared" si="174"/>
        <v>208.08</v>
      </c>
      <c r="AP47" s="477">
        <f t="shared" si="174"/>
        <v>208.08</v>
      </c>
      <c r="AR47" s="586" t="s">
        <v>216</v>
      </c>
      <c r="AS47" s="476">
        <f>AE47*(1+2%)</f>
        <v>212.24160000000001</v>
      </c>
      <c r="AT47" s="476">
        <f t="shared" ref="AT47:BD47" si="175">AF47*(1+2%)</f>
        <v>212.24160000000001</v>
      </c>
      <c r="AU47" s="476">
        <f t="shared" si="175"/>
        <v>212.24160000000001</v>
      </c>
      <c r="AV47" s="476">
        <f t="shared" si="175"/>
        <v>212.24160000000001</v>
      </c>
      <c r="AW47" s="476">
        <f t="shared" si="175"/>
        <v>212.24160000000001</v>
      </c>
      <c r="AX47" s="476">
        <f t="shared" si="175"/>
        <v>212.24160000000001</v>
      </c>
      <c r="AY47" s="476">
        <f t="shared" si="175"/>
        <v>212.24160000000001</v>
      </c>
      <c r="AZ47" s="476">
        <f t="shared" si="175"/>
        <v>212.24160000000001</v>
      </c>
      <c r="BA47" s="476">
        <f t="shared" si="175"/>
        <v>212.24160000000001</v>
      </c>
      <c r="BB47" s="476">
        <f t="shared" si="175"/>
        <v>212.24160000000001</v>
      </c>
      <c r="BC47" s="476">
        <f t="shared" si="175"/>
        <v>212.24160000000001</v>
      </c>
      <c r="BD47" s="477">
        <f t="shared" si="175"/>
        <v>212.24160000000001</v>
      </c>
      <c r="BF47" s="586" t="s">
        <v>216</v>
      </c>
      <c r="BG47" s="476">
        <f>AS47*(1+2%)</f>
        <v>216.48643200000001</v>
      </c>
      <c r="BH47" s="476">
        <f t="shared" ref="BH47:BR47" si="176">AT47*(1+2%)</f>
        <v>216.48643200000001</v>
      </c>
      <c r="BI47" s="476">
        <f t="shared" si="176"/>
        <v>216.48643200000001</v>
      </c>
      <c r="BJ47" s="476">
        <f t="shared" si="176"/>
        <v>216.48643200000001</v>
      </c>
      <c r="BK47" s="476">
        <f t="shared" si="176"/>
        <v>216.48643200000001</v>
      </c>
      <c r="BL47" s="476">
        <f t="shared" si="176"/>
        <v>216.48643200000001</v>
      </c>
      <c r="BM47" s="476">
        <f t="shared" si="176"/>
        <v>216.48643200000001</v>
      </c>
      <c r="BN47" s="476">
        <f t="shared" si="176"/>
        <v>216.48643200000001</v>
      </c>
      <c r="BO47" s="476">
        <f t="shared" si="176"/>
        <v>216.48643200000001</v>
      </c>
      <c r="BP47" s="476">
        <f t="shared" si="176"/>
        <v>216.48643200000001</v>
      </c>
      <c r="BQ47" s="476">
        <f t="shared" si="176"/>
        <v>216.48643200000001</v>
      </c>
      <c r="BR47" s="477">
        <f t="shared" si="176"/>
        <v>216.48643200000001</v>
      </c>
    </row>
    <row r="48" spans="2:70" s="523" customFormat="1" ht="17" thickBot="1" x14ac:dyDescent="0.2">
      <c r="B48" s="592" t="s">
        <v>502</v>
      </c>
      <c r="C48" s="138">
        <f>(C45*H10)*C47</f>
        <v>1825</v>
      </c>
      <c r="D48" s="136">
        <f>(D45*H10)*D47</f>
        <v>1825</v>
      </c>
      <c r="E48" s="136">
        <f>(E45*H10)*E47</f>
        <v>1825</v>
      </c>
      <c r="F48" s="136">
        <f>(F45*H10)*F47</f>
        <v>1825</v>
      </c>
      <c r="G48" s="136">
        <f>(G45*H10)*G47</f>
        <v>1825</v>
      </c>
      <c r="H48" s="136">
        <f>(H45*H10)*H47</f>
        <v>1825</v>
      </c>
      <c r="I48" s="136">
        <f>(I45*H10)*I47</f>
        <v>1825</v>
      </c>
      <c r="J48" s="136">
        <f>(J45*H10)*J47</f>
        <v>1825</v>
      </c>
      <c r="K48" s="136">
        <f>(K45*H10)*K47</f>
        <v>1825</v>
      </c>
      <c r="L48" s="136">
        <f>(L45*H10)*L47</f>
        <v>1825</v>
      </c>
      <c r="M48" s="136">
        <f>(M45*H10)*M47</f>
        <v>1825</v>
      </c>
      <c r="N48" s="137">
        <f>(N45*H10)*N47</f>
        <v>1825</v>
      </c>
      <c r="P48" s="616" t="s">
        <v>501</v>
      </c>
      <c r="Q48" s="138">
        <f>(Q45*H10)*Q47</f>
        <v>2140.7249999999999</v>
      </c>
      <c r="R48" s="138">
        <f>(R45*H10)*R47</f>
        <v>2140.7249999999999</v>
      </c>
      <c r="S48" s="138">
        <f>(S45*H10)*S47</f>
        <v>2140.7249999999999</v>
      </c>
      <c r="T48" s="138">
        <f>(T45*H10)*T47</f>
        <v>2140.7249999999999</v>
      </c>
      <c r="U48" s="138">
        <f>(U45*H10)*U47</f>
        <v>2140.7249999999999</v>
      </c>
      <c r="V48" s="138">
        <f>(V45*H10)*V47</f>
        <v>2140.7249999999999</v>
      </c>
      <c r="W48" s="138">
        <f>(W45*H10)*W47</f>
        <v>2140.7249999999999</v>
      </c>
      <c r="X48" s="138">
        <f>(X45*H10)*X47</f>
        <v>2140.7249999999999</v>
      </c>
      <c r="Y48" s="138">
        <f>(Y45*H10)*Y47</f>
        <v>2140.7249999999999</v>
      </c>
      <c r="Z48" s="138">
        <f>(Z45*H10)*Z47</f>
        <v>2140.7249999999999</v>
      </c>
      <c r="AA48" s="138">
        <f>(AA45*H10)*AA47</f>
        <v>2140.7249999999999</v>
      </c>
      <c r="AB48" s="451">
        <f>(AB45*H10)*AB47</f>
        <v>2140.7249999999999</v>
      </c>
      <c r="AD48" s="616" t="s">
        <v>501</v>
      </c>
      <c r="AE48" s="136">
        <f>(AE45*H10)*AE47</f>
        <v>2511.0704249999999</v>
      </c>
      <c r="AF48" s="136">
        <f>(AF45*H10)*AF47</f>
        <v>2511.0704249999999</v>
      </c>
      <c r="AG48" s="136">
        <f>(AG45*H10)*AG47</f>
        <v>2511.0704249999999</v>
      </c>
      <c r="AH48" s="136">
        <f>(AH45*H10)*AH47</f>
        <v>2511.0704249999999</v>
      </c>
      <c r="AI48" s="136">
        <f>(AI45*H10)*AI47</f>
        <v>2511.0704249999999</v>
      </c>
      <c r="AJ48" s="136">
        <f>(AJ45*H10)*AJ47</f>
        <v>2511.0704249999999</v>
      </c>
      <c r="AK48" s="136">
        <f>(AK45*H10)*AK47</f>
        <v>2511.0704249999999</v>
      </c>
      <c r="AL48" s="136">
        <f>(AL45*H10)*AL47</f>
        <v>2511.0704249999999</v>
      </c>
      <c r="AM48" s="136">
        <f>(AM45*H10)*AM47</f>
        <v>2511.0704249999999</v>
      </c>
      <c r="AN48" s="136">
        <f>(AN45*H10)*AN47</f>
        <v>2511.0704249999999</v>
      </c>
      <c r="AO48" s="136">
        <f>(AO45*H10)*AO47</f>
        <v>2511.0704249999999</v>
      </c>
      <c r="AP48" s="137">
        <f>(AP45*H10)*AP47</f>
        <v>2511.0704249999999</v>
      </c>
      <c r="AR48" s="616" t="s">
        <v>501</v>
      </c>
      <c r="AS48" s="136">
        <f>(AS45*H10)*AS47</f>
        <v>2945.4856085249994</v>
      </c>
      <c r="AT48" s="136">
        <f>(AT45*H10)*AT47</f>
        <v>2945.4856085249994</v>
      </c>
      <c r="AU48" s="136">
        <f>(AU45*H10)*AU47</f>
        <v>2945.4856085249994</v>
      </c>
      <c r="AV48" s="136">
        <f>(AV45*H10)*AV47</f>
        <v>2945.4856085249994</v>
      </c>
      <c r="AW48" s="136">
        <f>(AW45*H10)*AW47</f>
        <v>2945.4856085249994</v>
      </c>
      <c r="AX48" s="136">
        <f>(AX45*H10)*AX47</f>
        <v>2945.4856085249994</v>
      </c>
      <c r="AY48" s="136">
        <f>(AY45*H10)*AY47</f>
        <v>2945.4856085249994</v>
      </c>
      <c r="AZ48" s="136">
        <f>(AZ45*H10)*AZ47</f>
        <v>2945.4856085249994</v>
      </c>
      <c r="BA48" s="136">
        <f>(BA45*H10)*BA47</f>
        <v>2945.4856085249994</v>
      </c>
      <c r="BB48" s="136">
        <f>(BB45*H10)*BB47</f>
        <v>2945.4856085249994</v>
      </c>
      <c r="BC48" s="136">
        <f>(BC45*H10)*BC47</f>
        <v>2945.4856085249994</v>
      </c>
      <c r="BD48" s="137">
        <f>(BD45*H10)*BD47</f>
        <v>2945.4856085249994</v>
      </c>
      <c r="BF48" s="616" t="s">
        <v>501</v>
      </c>
      <c r="BG48" s="136">
        <f>(BG45*H10)*BG47</f>
        <v>3455.0546187998243</v>
      </c>
      <c r="BH48" s="136">
        <f>(BH45*H10)*BH47</f>
        <v>3455.0546187998243</v>
      </c>
      <c r="BI48" s="136">
        <f>(BI45*H10)*BI47</f>
        <v>3455.0546187998243</v>
      </c>
      <c r="BJ48" s="136">
        <f>(BJ45*H10)*BJ47</f>
        <v>3455.0546187998243</v>
      </c>
      <c r="BK48" s="136">
        <f>(BK45*H10)*BK47</f>
        <v>3455.0546187998243</v>
      </c>
      <c r="BL48" s="136">
        <f>(BL45*H10)*BL47</f>
        <v>3455.0546187998243</v>
      </c>
      <c r="BM48" s="136">
        <f>(BM45*H10)*BM47</f>
        <v>3455.0546187998243</v>
      </c>
      <c r="BN48" s="136">
        <f>(BN45*H10)*BN47</f>
        <v>3455.0546187998243</v>
      </c>
      <c r="BO48" s="136">
        <f>(BO45*H10)*BO47</f>
        <v>3455.0546187998243</v>
      </c>
      <c r="BP48" s="136">
        <f>(BP45*H10)*BP47</f>
        <v>3455.0546187998243</v>
      </c>
      <c r="BQ48" s="136">
        <f>(BQ45*H10)*BQ47</f>
        <v>3455.0546187998243</v>
      </c>
      <c r="BR48" s="137">
        <f>(BR45*H10)*BR47</f>
        <v>3455.0546187998243</v>
      </c>
    </row>
    <row r="49" spans="2:70" s="523" customFormat="1" ht="17" thickBot="1" x14ac:dyDescent="0.2">
      <c r="B49" s="593" t="s">
        <v>218</v>
      </c>
      <c r="C49" s="524">
        <f>SUM(C48:N48)</f>
        <v>21900</v>
      </c>
      <c r="D49" s="525"/>
      <c r="E49" s="525"/>
      <c r="F49" s="525"/>
      <c r="G49" s="525"/>
      <c r="H49" s="525"/>
      <c r="I49" s="525"/>
      <c r="J49" s="525"/>
      <c r="K49" s="525"/>
      <c r="L49" s="525"/>
      <c r="M49" s="525"/>
      <c r="N49" s="526"/>
      <c r="P49" s="614" t="s">
        <v>218</v>
      </c>
      <c r="Q49" s="527">
        <f>SUM(Q48:AB48)</f>
        <v>25688.699999999993</v>
      </c>
      <c r="R49" s="525"/>
      <c r="S49" s="525"/>
      <c r="T49" s="525"/>
      <c r="U49" s="525"/>
      <c r="V49" s="525"/>
      <c r="W49" s="525"/>
      <c r="X49" s="525"/>
      <c r="Y49" s="525"/>
      <c r="Z49" s="525"/>
      <c r="AA49" s="525"/>
      <c r="AB49" s="526"/>
      <c r="AD49" s="621" t="s">
        <v>218</v>
      </c>
      <c r="AE49" s="540">
        <f>SUM(AE48:AP48)</f>
        <v>30132.845099999991</v>
      </c>
      <c r="AF49" s="525"/>
      <c r="AG49" s="525"/>
      <c r="AH49" s="525"/>
      <c r="AI49" s="525"/>
      <c r="AJ49" s="525"/>
      <c r="AK49" s="525"/>
      <c r="AL49" s="525"/>
      <c r="AM49" s="525"/>
      <c r="AN49" s="525"/>
      <c r="AO49" s="525"/>
      <c r="AP49" s="526"/>
      <c r="AR49" s="629" t="s">
        <v>218</v>
      </c>
      <c r="AS49" s="541">
        <f>SUM(AS48:BD48)</f>
        <v>35345.827302299993</v>
      </c>
      <c r="AT49" s="525"/>
      <c r="AU49" s="525"/>
      <c r="AV49" s="525"/>
      <c r="AW49" s="525"/>
      <c r="AX49" s="525"/>
      <c r="AY49" s="525"/>
      <c r="AZ49" s="525"/>
      <c r="BA49" s="525"/>
      <c r="BB49" s="525"/>
      <c r="BC49" s="525"/>
      <c r="BD49" s="526"/>
      <c r="BF49" s="634" t="s">
        <v>218</v>
      </c>
      <c r="BG49" s="542">
        <f>SUM(BG48:BR48)</f>
        <v>41460.655425597906</v>
      </c>
      <c r="BH49" s="525"/>
      <c r="BI49" s="525"/>
      <c r="BJ49" s="525"/>
      <c r="BK49" s="525"/>
      <c r="BL49" s="525"/>
      <c r="BM49" s="525"/>
      <c r="BN49" s="525"/>
      <c r="BO49" s="525"/>
      <c r="BP49" s="525"/>
      <c r="BQ49" s="525"/>
      <c r="BR49" s="526"/>
    </row>
    <row r="50" spans="2:70" ht="33" thickBot="1" x14ac:dyDescent="0.2">
      <c r="B50" s="594" t="s">
        <v>496</v>
      </c>
      <c r="C50" s="154">
        <f>(SUM(C46:N46))/$I$10</f>
        <v>0.1</v>
      </c>
      <c r="D50" s="124"/>
      <c r="E50" s="443"/>
      <c r="F50" s="124"/>
      <c r="G50" s="124"/>
      <c r="H50" s="124"/>
      <c r="I50" s="124"/>
      <c r="J50" s="124"/>
      <c r="K50" s="124"/>
      <c r="L50" s="124"/>
      <c r="M50" s="124"/>
      <c r="N50" s="125"/>
      <c r="P50" s="615" t="s">
        <v>496</v>
      </c>
      <c r="Q50" s="155">
        <f>(SUM(Q46:AB46))/$I$10</f>
        <v>0.115</v>
      </c>
      <c r="R50" s="124"/>
      <c r="S50" s="124"/>
      <c r="T50" s="124"/>
      <c r="U50" s="124"/>
      <c r="V50" s="124"/>
      <c r="W50" s="124"/>
      <c r="X50" s="124"/>
      <c r="Y50" s="124"/>
      <c r="Z50" s="124"/>
      <c r="AA50" s="124"/>
      <c r="AB50" s="125"/>
      <c r="AD50" s="622" t="s">
        <v>496</v>
      </c>
      <c r="AE50" s="156">
        <f>(SUM(AE46:AP46))/$I$10</f>
        <v>0.13225000000000001</v>
      </c>
      <c r="AF50" s="124"/>
      <c r="AG50" s="124"/>
      <c r="AH50" s="124"/>
      <c r="AI50" s="124"/>
      <c r="AJ50" s="124"/>
      <c r="AK50" s="124"/>
      <c r="AL50" s="124"/>
      <c r="AM50" s="124"/>
      <c r="AN50" s="124"/>
      <c r="AO50" s="124"/>
      <c r="AP50" s="125"/>
      <c r="AR50" s="630" t="s">
        <v>496</v>
      </c>
      <c r="AS50" s="157">
        <f>(SUM(AS46:BD46))/$I$10</f>
        <v>0.15208749999999996</v>
      </c>
      <c r="AT50" s="124"/>
      <c r="AU50" s="124"/>
      <c r="AV50" s="124"/>
      <c r="AW50" s="124"/>
      <c r="AX50" s="124"/>
      <c r="AY50" s="124"/>
      <c r="AZ50" s="124"/>
      <c r="BA50" s="124"/>
      <c r="BB50" s="124"/>
      <c r="BC50" s="124"/>
      <c r="BD50" s="125"/>
      <c r="BF50" s="635" t="s">
        <v>496</v>
      </c>
      <c r="BG50" s="158">
        <f>(SUM(BG46:BR46))/$I$10</f>
        <v>0.17490062499999995</v>
      </c>
      <c r="BH50" s="124"/>
      <c r="BI50" s="124"/>
      <c r="BJ50" s="124"/>
      <c r="BK50" s="124"/>
      <c r="BL50" s="124"/>
      <c r="BM50" s="124"/>
      <c r="BN50" s="124"/>
      <c r="BO50" s="124"/>
      <c r="BP50" s="124"/>
      <c r="BQ50" s="124"/>
      <c r="BR50" s="125"/>
    </row>
    <row r="51" spans="2:70" x14ac:dyDescent="0.15">
      <c r="B51" s="595"/>
      <c r="C51" s="443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5"/>
      <c r="P51" s="617"/>
      <c r="Q51" s="443"/>
      <c r="R51" s="124"/>
      <c r="S51" s="124"/>
      <c r="T51" s="124"/>
      <c r="U51" s="124"/>
      <c r="V51" s="124"/>
      <c r="W51" s="124"/>
      <c r="X51" s="124"/>
      <c r="Y51" s="124"/>
      <c r="Z51" s="124"/>
      <c r="AA51" s="124"/>
      <c r="AB51" s="125"/>
      <c r="AD51" s="595"/>
      <c r="AE51" s="443"/>
      <c r="AF51" s="124"/>
      <c r="AG51" s="124"/>
      <c r="AH51" s="124"/>
      <c r="AI51" s="124"/>
      <c r="AJ51" s="124"/>
      <c r="AK51" s="124"/>
      <c r="AL51" s="124"/>
      <c r="AM51" s="124"/>
      <c r="AN51" s="124"/>
      <c r="AO51" s="124"/>
      <c r="AP51" s="125"/>
      <c r="AR51" s="595"/>
      <c r="AS51" s="443"/>
      <c r="AT51" s="124"/>
      <c r="AU51" s="124"/>
      <c r="AV51" s="124"/>
      <c r="AW51" s="124"/>
      <c r="AX51" s="124"/>
      <c r="AY51" s="124"/>
      <c r="AZ51" s="124"/>
      <c r="BA51" s="124"/>
      <c r="BB51" s="124"/>
      <c r="BC51" s="124"/>
      <c r="BD51" s="125"/>
      <c r="BF51" s="595"/>
      <c r="BG51" s="443"/>
      <c r="BH51" s="124"/>
      <c r="BI51" s="124"/>
      <c r="BJ51" s="124"/>
      <c r="BK51" s="124"/>
      <c r="BL51" s="124"/>
      <c r="BM51" s="124"/>
      <c r="BN51" s="124"/>
      <c r="BO51" s="124"/>
      <c r="BP51" s="124"/>
      <c r="BQ51" s="124"/>
      <c r="BR51" s="125"/>
    </row>
    <row r="52" spans="2:70" ht="17" thickBot="1" x14ac:dyDescent="0.2">
      <c r="B52" s="584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5"/>
      <c r="P52" s="584"/>
      <c r="Q52" s="124"/>
      <c r="R52" s="124"/>
      <c r="S52" s="124"/>
      <c r="T52" s="124"/>
      <c r="U52" s="124"/>
      <c r="V52" s="124"/>
      <c r="W52" s="124"/>
      <c r="X52" s="124"/>
      <c r="Y52" s="124"/>
      <c r="Z52" s="124"/>
      <c r="AA52" s="124"/>
      <c r="AB52" s="125"/>
      <c r="AD52" s="584"/>
      <c r="AE52" s="124"/>
      <c r="AF52" s="124"/>
      <c r="AG52" s="124"/>
      <c r="AH52" s="124"/>
      <c r="AI52" s="124"/>
      <c r="AJ52" s="124"/>
      <c r="AK52" s="124"/>
      <c r="AL52" s="124"/>
      <c r="AM52" s="124"/>
      <c r="AN52" s="124"/>
      <c r="AO52" s="124"/>
      <c r="AP52" s="125"/>
      <c r="AR52" s="584"/>
      <c r="AS52" s="124"/>
      <c r="AT52" s="124"/>
      <c r="AU52" s="124"/>
      <c r="AV52" s="124"/>
      <c r="AW52" s="124"/>
      <c r="AX52" s="124"/>
      <c r="AY52" s="124"/>
      <c r="AZ52" s="124"/>
      <c r="BA52" s="124"/>
      <c r="BB52" s="124"/>
      <c r="BC52" s="124"/>
      <c r="BD52" s="125"/>
      <c r="BF52" s="584"/>
      <c r="BG52" s="124"/>
      <c r="BH52" s="124"/>
      <c r="BI52" s="124"/>
      <c r="BJ52" s="124"/>
      <c r="BK52" s="124"/>
      <c r="BL52" s="124"/>
      <c r="BM52" s="124"/>
      <c r="BN52" s="124"/>
      <c r="BO52" s="124"/>
      <c r="BP52" s="124"/>
      <c r="BQ52" s="124"/>
      <c r="BR52" s="125"/>
    </row>
    <row r="53" spans="2:70" s="523" customFormat="1" ht="17" thickBot="1" x14ac:dyDescent="0.2">
      <c r="B53" s="588" t="s">
        <v>223</v>
      </c>
      <c r="C53" s="524">
        <f>C40+C31+C22+C49</f>
        <v>1393245</v>
      </c>
      <c r="D53" s="545"/>
      <c r="E53" s="545"/>
      <c r="F53" s="545"/>
      <c r="G53" s="545"/>
      <c r="H53" s="545"/>
      <c r="I53" s="545"/>
      <c r="J53" s="545"/>
      <c r="K53" s="545"/>
      <c r="L53" s="545"/>
      <c r="M53" s="545"/>
      <c r="N53" s="546"/>
      <c r="P53" s="614" t="s">
        <v>223</v>
      </c>
      <c r="Q53" s="527">
        <f>Q22+Q31+Q40+Q49</f>
        <v>1604257.7849999999</v>
      </c>
      <c r="R53" s="545"/>
      <c r="S53" s="545"/>
      <c r="T53" s="545"/>
      <c r="U53" s="545"/>
      <c r="V53" s="545"/>
      <c r="W53" s="545"/>
      <c r="X53" s="545"/>
      <c r="Y53" s="545"/>
      <c r="Z53" s="545"/>
      <c r="AA53" s="545"/>
      <c r="AB53" s="546"/>
      <c r="AD53" s="621" t="s">
        <v>223</v>
      </c>
      <c r="AE53" s="528">
        <f>AE22+AE31+AE40+AE49</f>
        <v>1881665.0906849999</v>
      </c>
      <c r="AF53" s="545"/>
      <c r="AG53" s="545"/>
      <c r="AH53" s="545"/>
      <c r="AI53" s="545"/>
      <c r="AJ53" s="545"/>
      <c r="AK53" s="545"/>
      <c r="AL53" s="545"/>
      <c r="AM53" s="545"/>
      <c r="AN53" s="545"/>
      <c r="AO53" s="545"/>
      <c r="AP53" s="546"/>
      <c r="AR53" s="629" t="s">
        <v>223</v>
      </c>
      <c r="AS53" s="529">
        <f>AS22+AS31+AS40+AS49</f>
        <v>2152743.8269955218</v>
      </c>
      <c r="AT53" s="545"/>
      <c r="AU53" s="545"/>
      <c r="AV53" s="545"/>
      <c r="AW53" s="545"/>
      <c r="AX53" s="545"/>
      <c r="AY53" s="545"/>
      <c r="AZ53" s="545"/>
      <c r="BA53" s="545"/>
      <c r="BB53" s="545"/>
      <c r="BC53" s="545"/>
      <c r="BD53" s="546"/>
      <c r="BF53" s="611" t="s">
        <v>223</v>
      </c>
      <c r="BG53" s="530">
        <f>BG22+BG31+BG40+BG49</f>
        <v>2394903.7970926361</v>
      </c>
      <c r="BH53" s="545"/>
      <c r="BI53" s="545"/>
      <c r="BJ53" s="545"/>
      <c r="BK53" s="545"/>
      <c r="BL53" s="545"/>
      <c r="BM53" s="545"/>
      <c r="BN53" s="545"/>
      <c r="BO53" s="545"/>
      <c r="BP53" s="545"/>
      <c r="BQ53" s="545"/>
      <c r="BR53" s="546"/>
    </row>
    <row r="55" spans="2:70" x14ac:dyDescent="0.15">
      <c r="E55" s="547">
        <f>(E57-D57)/D57</f>
        <v>0.14999999999999994</v>
      </c>
      <c r="F55" s="547">
        <f t="shared" ref="F55:H55" si="177">(F57-E57)/E57</f>
        <v>0.19999999999999996</v>
      </c>
      <c r="G55" s="547">
        <f t="shared" si="177"/>
        <v>0.14999999999999983</v>
      </c>
      <c r="H55" s="547">
        <f t="shared" si="177"/>
        <v>5.0000000000000294E-2</v>
      </c>
      <c r="J55" s="548"/>
    </row>
    <row r="56" spans="2:70" x14ac:dyDescent="0.15">
      <c r="C56" s="549" t="s">
        <v>224</v>
      </c>
      <c r="D56" s="550" t="s">
        <v>376</v>
      </c>
      <c r="E56" s="550" t="s">
        <v>377</v>
      </c>
      <c r="F56" s="550" t="s">
        <v>378</v>
      </c>
      <c r="G56" s="550" t="s">
        <v>379</v>
      </c>
      <c r="H56" s="550" t="s">
        <v>380</v>
      </c>
    </row>
    <row r="57" spans="2:70" x14ac:dyDescent="0.15">
      <c r="C57" s="551" t="s">
        <v>464</v>
      </c>
      <c r="D57" s="552">
        <f>C41</f>
        <v>0.56666666666666665</v>
      </c>
      <c r="E57" s="552">
        <f>Q41</f>
        <v>0.65166666666666662</v>
      </c>
      <c r="F57" s="552">
        <f>AE41</f>
        <v>0.78199999999999992</v>
      </c>
      <c r="G57" s="552">
        <f>AS41</f>
        <v>0.89929999999999977</v>
      </c>
      <c r="H57" s="552">
        <f>BG41</f>
        <v>0.94426500000000002</v>
      </c>
    </row>
    <row r="58" spans="2:70" x14ac:dyDescent="0.15">
      <c r="C58" s="551" t="s">
        <v>449</v>
      </c>
      <c r="D58" s="552">
        <f>C50</f>
        <v>0.1</v>
      </c>
      <c r="E58" s="552">
        <f>Q50</f>
        <v>0.115</v>
      </c>
      <c r="F58" s="552">
        <f>AE50</f>
        <v>0.13225000000000001</v>
      </c>
      <c r="G58" s="552">
        <f>AS50</f>
        <v>0.15208749999999996</v>
      </c>
      <c r="H58" s="552">
        <f>BG50</f>
        <v>0.17490062499999995</v>
      </c>
    </row>
    <row r="59" spans="2:70" ht="17" thickBot="1" x14ac:dyDescent="0.2">
      <c r="E59" s="547">
        <f>(E58-D58)/D58</f>
        <v>0.15</v>
      </c>
      <c r="F59" s="547">
        <f t="shared" ref="F59:H59" si="178">(F58-E58)/E58</f>
        <v>0.15</v>
      </c>
      <c r="G59" s="547">
        <f t="shared" si="178"/>
        <v>0.14999999999999963</v>
      </c>
      <c r="H59" s="547">
        <f t="shared" si="178"/>
        <v>0.14999999999999997</v>
      </c>
    </row>
    <row r="60" spans="2:70" ht="65" thickBot="1" x14ac:dyDescent="0.2">
      <c r="B60" s="596" t="s">
        <v>471</v>
      </c>
      <c r="C60" s="141" t="s">
        <v>497</v>
      </c>
      <c r="D60" s="139" t="s">
        <v>113</v>
      </c>
      <c r="E60" s="139" t="s">
        <v>114</v>
      </c>
      <c r="F60" s="140" t="s">
        <v>115</v>
      </c>
      <c r="G60" s="140" t="s">
        <v>116</v>
      </c>
      <c r="H60" s="140" t="s">
        <v>117</v>
      </c>
      <c r="J60" s="553"/>
      <c r="K60" s="553"/>
      <c r="L60" s="553"/>
      <c r="M60" s="553"/>
      <c r="N60" s="553"/>
      <c r="O60" s="553"/>
      <c r="P60" s="618"/>
    </row>
    <row r="61" spans="2:70" x14ac:dyDescent="0.15">
      <c r="B61" s="597" t="s">
        <v>118</v>
      </c>
      <c r="C61" s="554">
        <v>0.56000000000000005</v>
      </c>
      <c r="D61" s="555">
        <f>C18</f>
        <v>0.35</v>
      </c>
      <c r="E61" s="555">
        <f>Q18</f>
        <v>0.40249999999999997</v>
      </c>
      <c r="F61" s="556">
        <f>AE18</f>
        <v>0.46287499999999993</v>
      </c>
      <c r="G61" s="555">
        <f>AS18</f>
        <v>0.56470749999999992</v>
      </c>
      <c r="H61" s="555">
        <f>BG18</f>
        <v>0.66635484999999983</v>
      </c>
      <c r="J61" s="553"/>
      <c r="K61" s="553"/>
      <c r="L61" s="553"/>
      <c r="M61" s="553"/>
      <c r="N61" s="553"/>
      <c r="O61" s="553"/>
      <c r="P61" s="618"/>
    </row>
    <row r="62" spans="2:70" x14ac:dyDescent="0.15">
      <c r="B62" s="598" t="s">
        <v>119</v>
      </c>
      <c r="C62" s="557">
        <v>0.69599999999999995</v>
      </c>
      <c r="D62" s="555">
        <f>D18</f>
        <v>0.35</v>
      </c>
      <c r="E62" s="555">
        <f>R18</f>
        <v>0.40249999999999997</v>
      </c>
      <c r="F62" s="556">
        <f>AF18</f>
        <v>0.46287499999999993</v>
      </c>
      <c r="G62" s="555">
        <f>AT18</f>
        <v>0.56470749999999992</v>
      </c>
      <c r="H62" s="555">
        <f>BH18</f>
        <v>0.66635484999999983</v>
      </c>
      <c r="J62" s="553"/>
      <c r="K62" s="553"/>
      <c r="L62" s="553"/>
      <c r="M62" s="553"/>
      <c r="N62" s="553"/>
      <c r="O62" s="553"/>
      <c r="P62" s="618"/>
    </row>
    <row r="63" spans="2:70" x14ac:dyDescent="0.15">
      <c r="B63" s="598" t="s">
        <v>120</v>
      </c>
      <c r="C63" s="557">
        <v>0.73499999999999999</v>
      </c>
      <c r="D63" s="555">
        <f>E18</f>
        <v>0.4</v>
      </c>
      <c r="E63" s="555">
        <f>S18</f>
        <v>0.45999999999999996</v>
      </c>
      <c r="F63" s="556">
        <f>AG18</f>
        <v>0.52899999999999991</v>
      </c>
      <c r="G63" s="555">
        <f>AU18</f>
        <v>0.64537999999999984</v>
      </c>
      <c r="H63" s="555">
        <f>BI18</f>
        <v>0.76154839999999979</v>
      </c>
      <c r="J63" s="553"/>
      <c r="K63" s="553"/>
      <c r="L63" s="553"/>
      <c r="M63" s="553"/>
      <c r="N63" s="553"/>
      <c r="O63" s="553"/>
      <c r="P63" s="618"/>
    </row>
    <row r="64" spans="2:70" x14ac:dyDescent="0.15">
      <c r="B64" s="598" t="s">
        <v>121</v>
      </c>
      <c r="C64" s="557">
        <v>0.84499999999999997</v>
      </c>
      <c r="D64" s="555">
        <f>F18</f>
        <v>0.5</v>
      </c>
      <c r="E64" s="555">
        <f>T18</f>
        <v>0.57499999999999996</v>
      </c>
      <c r="F64" s="556">
        <f>AH18</f>
        <v>0.66124999999999989</v>
      </c>
      <c r="G64" s="555">
        <f>AV18</f>
        <v>0.8067249999999998</v>
      </c>
      <c r="H64" s="555">
        <f>BJ18</f>
        <v>0.95193549999999971</v>
      </c>
      <c r="J64" s="553"/>
      <c r="K64" s="553"/>
      <c r="L64" s="553"/>
      <c r="M64" s="553"/>
      <c r="N64" s="553"/>
      <c r="O64" s="553"/>
      <c r="P64" s="618"/>
    </row>
    <row r="65" spans="2:58" x14ac:dyDescent="0.15">
      <c r="B65" s="598" t="s">
        <v>122</v>
      </c>
      <c r="C65" s="557">
        <v>0.86299999999999999</v>
      </c>
      <c r="D65" s="555">
        <f>G18</f>
        <v>0.55000000000000004</v>
      </c>
      <c r="E65" s="555">
        <f>U18</f>
        <v>0.63249999999999995</v>
      </c>
      <c r="F65" s="556">
        <f>AI18</f>
        <v>0.72737499999999988</v>
      </c>
      <c r="G65" s="555">
        <f>AW18</f>
        <v>0.88739749999999984</v>
      </c>
      <c r="H65" s="555">
        <f>BK18</f>
        <v>1</v>
      </c>
      <c r="J65" s="553"/>
      <c r="K65" s="553"/>
      <c r="L65" s="553"/>
      <c r="M65" s="553"/>
      <c r="N65" s="553"/>
      <c r="O65" s="553"/>
      <c r="P65" s="618"/>
    </row>
    <row r="66" spans="2:58" x14ac:dyDescent="0.15">
      <c r="B66" s="598" t="s">
        <v>123</v>
      </c>
      <c r="C66" s="557">
        <v>0.85699999999999998</v>
      </c>
      <c r="D66" s="555">
        <f>H18</f>
        <v>0.7</v>
      </c>
      <c r="E66" s="555">
        <f>V18</f>
        <v>0.80499999999999994</v>
      </c>
      <c r="F66" s="556">
        <f>AJ18</f>
        <v>0.92574999999999985</v>
      </c>
      <c r="G66" s="555">
        <f>AX18</f>
        <v>1</v>
      </c>
      <c r="H66" s="555">
        <f>BL18</f>
        <v>1</v>
      </c>
      <c r="J66" s="553"/>
      <c r="K66" s="553"/>
      <c r="L66" s="553"/>
      <c r="M66" s="553"/>
      <c r="N66" s="553"/>
      <c r="O66" s="553"/>
      <c r="P66" s="618"/>
    </row>
    <row r="67" spans="2:58" x14ac:dyDescent="0.15">
      <c r="B67" s="598" t="s">
        <v>124</v>
      </c>
      <c r="C67" s="557">
        <v>0.89400000000000002</v>
      </c>
      <c r="D67" s="555">
        <f>I18</f>
        <v>0.8</v>
      </c>
      <c r="E67" s="555">
        <f>W27</f>
        <v>0.88000000000000012</v>
      </c>
      <c r="F67" s="556">
        <f>AK18</f>
        <v>1</v>
      </c>
      <c r="G67" s="555">
        <f>AY18</f>
        <v>1</v>
      </c>
      <c r="H67" s="555">
        <f>BM18</f>
        <v>1</v>
      </c>
      <c r="J67" s="558"/>
      <c r="K67" s="553"/>
      <c r="L67" s="553"/>
      <c r="M67" s="553"/>
      <c r="N67" s="553"/>
      <c r="O67" s="553"/>
      <c r="P67" s="618"/>
    </row>
    <row r="68" spans="2:58" x14ac:dyDescent="0.15">
      <c r="B68" s="598" t="s">
        <v>125</v>
      </c>
      <c r="C68" s="557">
        <v>0.88800000000000001</v>
      </c>
      <c r="D68" s="555">
        <f>J18</f>
        <v>0.8</v>
      </c>
      <c r="E68" s="555">
        <f>X27</f>
        <v>0.88000000000000012</v>
      </c>
      <c r="F68" s="556">
        <f>AL18</f>
        <v>1</v>
      </c>
      <c r="G68" s="555">
        <f>AZ18</f>
        <v>1</v>
      </c>
      <c r="H68" s="555">
        <f>BN18</f>
        <v>1</v>
      </c>
      <c r="J68" s="553"/>
      <c r="K68" s="553"/>
      <c r="L68" s="553"/>
      <c r="M68" s="553"/>
      <c r="N68" s="553"/>
      <c r="O68" s="553"/>
      <c r="P68" s="618"/>
    </row>
    <row r="69" spans="2:58" x14ac:dyDescent="0.15">
      <c r="B69" s="598" t="s">
        <v>126</v>
      </c>
      <c r="C69" s="557">
        <v>0.89700000000000002</v>
      </c>
      <c r="D69" s="555">
        <f>K18</f>
        <v>0.65</v>
      </c>
      <c r="E69" s="555">
        <f>Y27</f>
        <v>0.66</v>
      </c>
      <c r="F69" s="556">
        <f>AM18</f>
        <v>0.85962499999999986</v>
      </c>
      <c r="G69" s="555">
        <f>BA18</f>
        <v>1</v>
      </c>
      <c r="H69" s="555">
        <f>BO18</f>
        <v>1</v>
      </c>
      <c r="J69" s="553"/>
      <c r="K69" s="553"/>
      <c r="L69" s="553"/>
      <c r="M69" s="553"/>
      <c r="N69" s="553"/>
      <c r="O69" s="553"/>
      <c r="P69" s="618"/>
    </row>
    <row r="70" spans="2:58" x14ac:dyDescent="0.15">
      <c r="B70" s="598" t="s">
        <v>127</v>
      </c>
      <c r="C70" s="557">
        <v>0.89</v>
      </c>
      <c r="D70" s="555">
        <f>L18</f>
        <v>0.5</v>
      </c>
      <c r="E70" s="555">
        <f>Z27</f>
        <v>0.55000000000000004</v>
      </c>
      <c r="F70" s="556">
        <f>AN18</f>
        <v>0.66124999999999989</v>
      </c>
      <c r="G70" s="555">
        <f>BB18</f>
        <v>0.8067249999999998</v>
      </c>
      <c r="H70" s="555">
        <f>BP18</f>
        <v>0.95193549999999971</v>
      </c>
      <c r="J70" s="553"/>
      <c r="K70" s="553"/>
      <c r="L70" s="553"/>
      <c r="M70" s="553"/>
      <c r="N70" s="553"/>
      <c r="O70" s="553"/>
      <c r="P70" s="618"/>
    </row>
    <row r="71" spans="2:58" x14ac:dyDescent="0.15">
      <c r="B71" s="598" t="s">
        <v>266</v>
      </c>
      <c r="C71" s="557">
        <v>0.751</v>
      </c>
      <c r="D71" s="555">
        <f>M18</f>
        <v>0.4</v>
      </c>
      <c r="E71" s="555">
        <f>AA27</f>
        <v>0.44000000000000006</v>
      </c>
      <c r="F71" s="556">
        <f>AO18</f>
        <v>0.52899999999999991</v>
      </c>
      <c r="G71" s="555">
        <f>BC18</f>
        <v>0.64537999999999984</v>
      </c>
      <c r="H71" s="555">
        <f>BQ18</f>
        <v>0.76154839999999979</v>
      </c>
      <c r="J71" s="553"/>
      <c r="K71" s="553"/>
      <c r="L71" s="553"/>
      <c r="M71" s="553"/>
      <c r="N71" s="553"/>
      <c r="O71" s="553"/>
      <c r="P71" s="618"/>
    </row>
    <row r="72" spans="2:58" x14ac:dyDescent="0.15">
      <c r="B72" s="598" t="s">
        <v>267</v>
      </c>
      <c r="C72" s="557">
        <v>0.627</v>
      </c>
      <c r="D72" s="555">
        <f>N18</f>
        <v>0.35</v>
      </c>
      <c r="E72" s="555">
        <f>AB18</f>
        <v>0.40249999999999997</v>
      </c>
      <c r="F72" s="556">
        <f>AP18</f>
        <v>0.46287499999999993</v>
      </c>
      <c r="G72" s="555">
        <f>BD18</f>
        <v>0.56470749999999992</v>
      </c>
      <c r="H72" s="555">
        <f>BR18</f>
        <v>0.66635484999999983</v>
      </c>
      <c r="J72" s="553"/>
      <c r="K72" s="553"/>
      <c r="L72" s="553"/>
      <c r="M72" s="553"/>
      <c r="N72" s="553"/>
      <c r="O72" s="553"/>
      <c r="P72" s="618"/>
    </row>
    <row r="73" spans="2:58" x14ac:dyDescent="0.15">
      <c r="B73" s="599" t="s">
        <v>498</v>
      </c>
      <c r="C73" s="559">
        <f>SUM(C61:C72)/12</f>
        <v>0.79191666666666671</v>
      </c>
      <c r="D73" s="560">
        <f>(C23+C32)/2*100%</f>
        <v>0.51458333333333339</v>
      </c>
      <c r="E73" s="560">
        <f>(Q23+Q32)/2*100%</f>
        <v>0.5792708333333334</v>
      </c>
      <c r="F73" s="560">
        <f>(AE23+AE32)/2*100%</f>
        <v>0.66032812500000004</v>
      </c>
      <c r="G73" s="560">
        <f>(AS23+AS32)/2*100%</f>
        <v>0.75223374999999981</v>
      </c>
      <c r="H73" s="560">
        <f>(BG23+BG32)/2*100%</f>
        <v>0.82996534791666665</v>
      </c>
      <c r="J73" s="561">
        <f>(D73+E73+F73+G73+H73)/5</f>
        <v>0.66727627791666666</v>
      </c>
      <c r="K73" s="553"/>
      <c r="L73" s="553"/>
      <c r="M73" s="553"/>
      <c r="N73" s="553"/>
      <c r="O73" s="553"/>
      <c r="P73" s="618"/>
    </row>
    <row r="74" spans="2:58" x14ac:dyDescent="0.15">
      <c r="B74" s="600" t="s">
        <v>413</v>
      </c>
      <c r="C74" s="506"/>
      <c r="D74" s="506">
        <v>40</v>
      </c>
      <c r="E74" s="506" t="s">
        <v>128</v>
      </c>
      <c r="F74" s="515" t="s">
        <v>129</v>
      </c>
      <c r="G74" s="126" t="s">
        <v>130</v>
      </c>
      <c r="H74" s="548" t="s">
        <v>131</v>
      </c>
      <c r="J74" s="553"/>
      <c r="K74" s="553"/>
      <c r="L74" s="553"/>
      <c r="M74" s="553"/>
      <c r="N74" s="553"/>
      <c r="O74" s="553"/>
      <c r="P74" s="618"/>
    </row>
    <row r="75" spans="2:58" ht="64" x14ac:dyDescent="0.15">
      <c r="B75" s="601" t="s">
        <v>132</v>
      </c>
      <c r="C75" s="562"/>
      <c r="D75" s="562"/>
      <c r="E75" s="562"/>
      <c r="F75" s="563"/>
      <c r="G75" s="564">
        <f>(E73-D73)/D73</f>
        <v>0.12570850202429151</v>
      </c>
      <c r="H75" s="564">
        <f t="shared" ref="H75:J75" si="179">(F73-E73)/E73</f>
        <v>0.13992986872864588</v>
      </c>
      <c r="I75" s="564">
        <f t="shared" si="179"/>
        <v>0.13918175149665141</v>
      </c>
      <c r="J75" s="564">
        <f t="shared" si="179"/>
        <v>0.10333436636772395</v>
      </c>
      <c r="K75" s="564"/>
      <c r="L75" s="553"/>
      <c r="M75" s="553"/>
      <c r="N75" s="553"/>
      <c r="O75" s="553"/>
      <c r="P75" s="618"/>
    </row>
    <row r="76" spans="2:58" x14ac:dyDescent="0.15">
      <c r="L76" s="552"/>
    </row>
    <row r="78" spans="2:58" x14ac:dyDescent="0.15">
      <c r="C78" s="308"/>
      <c r="D78" s="101" t="s">
        <v>376</v>
      </c>
      <c r="E78" s="565"/>
      <c r="F78" s="101" t="s">
        <v>377</v>
      </c>
      <c r="G78" s="565"/>
      <c r="H78" s="101" t="s">
        <v>378</v>
      </c>
      <c r="I78" s="565"/>
      <c r="J78" s="101" t="s">
        <v>379</v>
      </c>
      <c r="K78" s="566"/>
      <c r="L78" s="567" t="s">
        <v>380</v>
      </c>
    </row>
    <row r="79" spans="2:58" s="568" customFormat="1" hidden="1" x14ac:dyDescent="0.15">
      <c r="B79" s="602" t="s">
        <v>224</v>
      </c>
      <c r="C79" s="565"/>
      <c r="D79" s="555">
        <f>D73</f>
        <v>0.51458333333333339</v>
      </c>
      <c r="E79" s="555"/>
      <c r="F79" s="555">
        <f>E73</f>
        <v>0.5792708333333334</v>
      </c>
      <c r="G79" s="555"/>
      <c r="H79" s="555">
        <f>F73</f>
        <v>0.66032812500000004</v>
      </c>
      <c r="I79" s="555"/>
      <c r="J79" s="555">
        <f>G73</f>
        <v>0.75223374999999981</v>
      </c>
      <c r="K79" s="556"/>
      <c r="L79" s="556">
        <f>H73</f>
        <v>0.82996534791666665</v>
      </c>
      <c r="P79" s="619"/>
      <c r="AD79" s="619"/>
      <c r="AR79" s="619"/>
      <c r="BF79" s="619"/>
    </row>
    <row r="80" spans="2:58" s="568" customFormat="1" x14ac:dyDescent="0.15">
      <c r="B80" s="470" t="s">
        <v>459</v>
      </c>
      <c r="C80" s="175"/>
      <c r="D80" s="569">
        <f>C31+C22</f>
        <v>1310145</v>
      </c>
      <c r="E80" s="569"/>
      <c r="F80" s="569">
        <f>Q22+Q31</f>
        <v>1501151.085</v>
      </c>
      <c r="G80" s="569"/>
      <c r="H80" s="569">
        <f>AE31+AE22</f>
        <v>1749340.4855849999</v>
      </c>
      <c r="I80" s="569"/>
      <c r="J80" s="569">
        <f>AS22+AS31</f>
        <v>1988125.4232932217</v>
      </c>
      <c r="K80" s="570"/>
      <c r="L80" s="570">
        <f>BG22+BG31</f>
        <v>2204133.315925038</v>
      </c>
      <c r="P80" s="619"/>
      <c r="AD80" s="619"/>
      <c r="AR80" s="619"/>
      <c r="BF80" s="619"/>
    </row>
    <row r="81" spans="2:58" s="568" customFormat="1" x14ac:dyDescent="0.15">
      <c r="B81" s="470" t="s">
        <v>460</v>
      </c>
      <c r="C81" s="175"/>
      <c r="D81" s="569">
        <f>-GASTOS!D13</f>
        <v>-196521.75</v>
      </c>
      <c r="E81" s="175"/>
      <c r="F81" s="569">
        <f>-GASTOS!E13</f>
        <v>-225172.66274999999</v>
      </c>
      <c r="G81" s="175"/>
      <c r="H81" s="569">
        <f>-GASTOS!F13</f>
        <v>-227414.26312604998</v>
      </c>
      <c r="I81" s="175"/>
      <c r="J81" s="569">
        <f>-GASTOS!G13</f>
        <v>-241339.53656562394</v>
      </c>
      <c r="K81" s="571"/>
      <c r="L81" s="570">
        <f>-GASTOS!H13</f>
        <v>-270226.74453240965</v>
      </c>
      <c r="P81" s="619"/>
      <c r="AD81" s="619"/>
      <c r="AR81" s="619"/>
      <c r="BF81" s="619"/>
    </row>
    <row r="82" spans="2:58" s="568" customFormat="1" x14ac:dyDescent="0.15">
      <c r="B82" s="603" t="s">
        <v>503</v>
      </c>
      <c r="C82" s="572">
        <f>D82/$D$85</f>
        <v>0.9305603864552644</v>
      </c>
      <c r="D82" s="573">
        <f>D80+D81</f>
        <v>1113623.25</v>
      </c>
      <c r="E82" s="572">
        <f>F82/$F$85</f>
        <v>0.92523543446558276</v>
      </c>
      <c r="F82" s="573">
        <f t="shared" ref="F82:L82" si="180">F80+F81</f>
        <v>1275978.4222500001</v>
      </c>
      <c r="G82" s="572">
        <f>H82/$H$85</f>
        <v>0.92000934628803466</v>
      </c>
      <c r="H82" s="573">
        <f t="shared" si="180"/>
        <v>1521926.22245895</v>
      </c>
      <c r="I82" s="572">
        <f>J82/$J$85</f>
        <v>0.91387567532074798</v>
      </c>
      <c r="J82" s="573">
        <f>J80+J81</f>
        <v>1746785.8867275978</v>
      </c>
      <c r="K82" s="574">
        <f>L82/$L$85</f>
        <v>0.91021201036754262</v>
      </c>
      <c r="L82" s="575">
        <f t="shared" si="180"/>
        <v>1933906.5713926284</v>
      </c>
      <c r="P82" s="619"/>
      <c r="AD82" s="619"/>
      <c r="AR82" s="619"/>
      <c r="BF82" s="619"/>
    </row>
    <row r="83" spans="2:58" s="568" customFormat="1" x14ac:dyDescent="0.15">
      <c r="B83" s="470" t="s">
        <v>466</v>
      </c>
      <c r="C83" s="572">
        <f>D83/$D$85</f>
        <v>5.1139643188180726E-2</v>
      </c>
      <c r="D83" s="569">
        <f>C40</f>
        <v>61200</v>
      </c>
      <c r="E83" s="572">
        <f>F83/$F$85</f>
        <v>5.613721644222458E-2</v>
      </c>
      <c r="F83" s="569">
        <f>Q40</f>
        <v>77418</v>
      </c>
      <c r="G83" s="572">
        <f>H83/$H$85</f>
        <v>6.1775250945950239E-2</v>
      </c>
      <c r="H83" s="569">
        <f>AE40</f>
        <v>102191.76</v>
      </c>
      <c r="I83" s="572">
        <f>J83/$J$85</f>
        <v>6.7632251872221674E-2</v>
      </c>
      <c r="J83" s="569">
        <f>AS40</f>
        <v>129272.57639999999</v>
      </c>
      <c r="K83" s="574">
        <f>L83/$L$85</f>
        <v>7.0274127337179249E-2</v>
      </c>
      <c r="L83" s="570">
        <f>BG40</f>
        <v>149309.82574200002</v>
      </c>
      <c r="P83" s="619"/>
      <c r="AD83" s="619"/>
      <c r="AR83" s="619"/>
      <c r="BF83" s="619"/>
    </row>
    <row r="84" spans="2:58" s="568" customFormat="1" x14ac:dyDescent="0.15">
      <c r="B84" s="470" t="s">
        <v>454</v>
      </c>
      <c r="C84" s="572">
        <f>D84/$D$85</f>
        <v>1.8299970356554868E-2</v>
      </c>
      <c r="D84" s="569">
        <f>C49</f>
        <v>21900</v>
      </c>
      <c r="E84" s="572">
        <f>F84/$F$85</f>
        <v>1.8627349092192699E-2</v>
      </c>
      <c r="F84" s="569">
        <f>Q49</f>
        <v>25688.699999999993</v>
      </c>
      <c r="G84" s="572">
        <f>H84/$H$85</f>
        <v>1.8215402766015056E-2</v>
      </c>
      <c r="H84" s="569">
        <f>AE49</f>
        <v>30132.845099999991</v>
      </c>
      <c r="I84" s="572">
        <f>J84/$J$85</f>
        <v>1.8492072807030423E-2</v>
      </c>
      <c r="J84" s="569">
        <f>AS49</f>
        <v>35345.827302299993</v>
      </c>
      <c r="K84" s="574">
        <f>L84/$L$85</f>
        <v>1.9513862295278243E-2</v>
      </c>
      <c r="L84" s="570">
        <f>BG49</f>
        <v>41460.655425597906</v>
      </c>
      <c r="P84" s="619"/>
      <c r="AD84" s="619"/>
      <c r="AR84" s="619"/>
      <c r="BF84" s="619"/>
    </row>
    <row r="85" spans="2:58" s="568" customFormat="1" x14ac:dyDescent="0.15">
      <c r="B85" s="604" t="s">
        <v>133</v>
      </c>
      <c r="C85" s="576">
        <f>D85/$D$85</f>
        <v>1</v>
      </c>
      <c r="D85" s="577">
        <f>D82+D83+D84</f>
        <v>1196723.25</v>
      </c>
      <c r="E85" s="576">
        <f>F85/$F$85</f>
        <v>1</v>
      </c>
      <c r="F85" s="577">
        <f>F82+F83+F84</f>
        <v>1379085.12225</v>
      </c>
      <c r="G85" s="576">
        <f>H85/$H$85</f>
        <v>1</v>
      </c>
      <c r="H85" s="577">
        <f t="shared" ref="H85" si="181">H82+H83+H84</f>
        <v>1654250.8275589501</v>
      </c>
      <c r="I85" s="576">
        <f>J85/$J$85</f>
        <v>1</v>
      </c>
      <c r="J85" s="577">
        <f t="shared" ref="J85" si="182">J82+J83+J84</f>
        <v>1911404.2904298976</v>
      </c>
      <c r="K85" s="578">
        <f>L85/$L$85</f>
        <v>1</v>
      </c>
      <c r="L85" s="577">
        <f t="shared" ref="L85" si="183">L82+L83+L84</f>
        <v>2124677.0525602261</v>
      </c>
      <c r="P85" s="619"/>
      <c r="AD85" s="619"/>
      <c r="AR85" s="619"/>
      <c r="BF85" s="619"/>
    </row>
    <row r="86" spans="2:58" ht="17" thickBot="1" x14ac:dyDescent="0.2"/>
    <row r="87" spans="2:58" x14ac:dyDescent="0.15">
      <c r="B87" s="605"/>
      <c r="C87" s="513"/>
      <c r="D87" s="513"/>
      <c r="E87" s="513"/>
      <c r="F87" s="513"/>
      <c r="G87" s="513"/>
      <c r="H87" s="514"/>
    </row>
    <row r="88" spans="2:58" x14ac:dyDescent="0.15">
      <c r="B88" s="584" t="s">
        <v>134</v>
      </c>
      <c r="C88" s="506"/>
      <c r="D88" s="506"/>
      <c r="E88" s="506"/>
      <c r="F88" s="506"/>
      <c r="G88" s="506"/>
      <c r="H88" s="515"/>
    </row>
    <row r="89" spans="2:58" x14ac:dyDescent="0.15">
      <c r="B89" s="584"/>
      <c r="C89" s="506"/>
      <c r="D89" s="506"/>
      <c r="E89" s="506"/>
      <c r="F89" s="506"/>
      <c r="G89" s="506"/>
      <c r="H89" s="515"/>
    </row>
    <row r="90" spans="2:58" x14ac:dyDescent="0.15">
      <c r="B90" s="584" t="s">
        <v>499</v>
      </c>
      <c r="C90" s="506"/>
      <c r="D90" s="506"/>
      <c r="E90" s="506"/>
      <c r="F90" s="506"/>
      <c r="G90" s="506"/>
      <c r="H90" s="515"/>
    </row>
    <row r="91" spans="2:58" x14ac:dyDescent="0.15">
      <c r="B91" s="584"/>
      <c r="C91" s="506"/>
      <c r="D91" s="506"/>
      <c r="E91" s="506"/>
      <c r="F91" s="506"/>
      <c r="G91" s="506"/>
      <c r="H91" s="515"/>
    </row>
    <row r="92" spans="2:58" x14ac:dyDescent="0.15">
      <c r="B92" s="598" t="s">
        <v>135</v>
      </c>
      <c r="C92" s="481"/>
      <c r="D92" s="481" t="s">
        <v>136</v>
      </c>
      <c r="E92" s="481" t="s">
        <v>137</v>
      </c>
      <c r="F92" s="481" t="s">
        <v>138</v>
      </c>
      <c r="G92" s="481" t="s">
        <v>139</v>
      </c>
      <c r="H92" s="490" t="s">
        <v>140</v>
      </c>
    </row>
    <row r="93" spans="2:58" x14ac:dyDescent="0.15">
      <c r="B93" s="598"/>
      <c r="C93" s="481"/>
      <c r="D93" s="481"/>
      <c r="E93" s="481"/>
      <c r="F93" s="481"/>
      <c r="G93" s="481"/>
      <c r="H93" s="490"/>
    </row>
    <row r="94" spans="2:58" x14ac:dyDescent="0.15">
      <c r="B94" s="598" t="s">
        <v>135</v>
      </c>
      <c r="C94" s="481"/>
      <c r="D94" s="481"/>
      <c r="E94" s="481"/>
      <c r="F94" s="481"/>
      <c r="G94" s="481"/>
      <c r="H94" s="490"/>
    </row>
    <row r="95" spans="2:58" x14ac:dyDescent="0.15">
      <c r="B95" s="598" t="s">
        <v>500</v>
      </c>
      <c r="C95" s="481"/>
      <c r="D95" s="481" t="s">
        <v>141</v>
      </c>
      <c r="E95" s="481" t="s">
        <v>141</v>
      </c>
      <c r="F95" s="481" t="s">
        <v>142</v>
      </c>
      <c r="G95" s="481" t="s">
        <v>142</v>
      </c>
      <c r="H95" s="490" t="s">
        <v>141</v>
      </c>
    </row>
    <row r="96" spans="2:58" x14ac:dyDescent="0.15">
      <c r="B96" s="598" t="s">
        <v>414</v>
      </c>
      <c r="C96" s="481"/>
      <c r="D96" s="481" t="s">
        <v>143</v>
      </c>
      <c r="E96" s="481" t="s">
        <v>144</v>
      </c>
      <c r="F96" s="481" t="s">
        <v>145</v>
      </c>
      <c r="G96" s="481" t="s">
        <v>146</v>
      </c>
      <c r="H96" s="490" t="s">
        <v>147</v>
      </c>
    </row>
    <row r="97" spans="2:8" x14ac:dyDescent="0.15">
      <c r="B97" s="598" t="s">
        <v>415</v>
      </c>
      <c r="C97" s="481"/>
      <c r="D97" s="481" t="s">
        <v>148</v>
      </c>
      <c r="E97" s="481" t="s">
        <v>149</v>
      </c>
      <c r="F97" s="481" t="s">
        <v>150</v>
      </c>
      <c r="G97" s="481" t="s">
        <v>151</v>
      </c>
      <c r="H97" s="490" t="s">
        <v>152</v>
      </c>
    </row>
    <row r="98" spans="2:8" x14ac:dyDescent="0.15">
      <c r="B98" s="584"/>
      <c r="C98" s="506"/>
      <c r="D98" s="506"/>
      <c r="E98" s="506"/>
      <c r="F98" s="506"/>
      <c r="G98" s="506"/>
      <c r="H98" s="515"/>
    </row>
    <row r="99" spans="2:8" x14ac:dyDescent="0.15">
      <c r="B99" s="584"/>
      <c r="C99" s="506"/>
      <c r="D99" s="506"/>
      <c r="E99" s="506"/>
      <c r="F99" s="506"/>
      <c r="G99" s="506"/>
      <c r="H99" s="515"/>
    </row>
    <row r="100" spans="2:8" x14ac:dyDescent="0.15">
      <c r="B100" s="584" t="s">
        <v>153</v>
      </c>
      <c r="C100" s="506"/>
      <c r="D100" s="506"/>
      <c r="E100" s="506"/>
      <c r="F100" s="506"/>
      <c r="G100" s="506"/>
      <c r="H100" s="515"/>
    </row>
    <row r="101" spans="2:8" ht="17" thickBot="1" x14ac:dyDescent="0.2">
      <c r="B101" s="606" t="s">
        <v>154</v>
      </c>
      <c r="C101" s="562"/>
      <c r="D101" s="562"/>
      <c r="E101" s="562"/>
      <c r="F101" s="562"/>
      <c r="G101" s="562"/>
      <c r="H101" s="563"/>
    </row>
  </sheetData>
  <phoneticPr fontId="3" type="noConversion"/>
  <pageMargins left="0.75" right="0.75" top="1" bottom="1" header="0.5" footer="0.5"/>
  <colBreaks count="1" manualBreakCount="1">
    <brk id="14" max="1048575" man="1"/>
  </colBreaks>
  <ignoredErrors>
    <ignoredError sqref="E82 G82 I82 K82 E85 G85 I85 K85 E10" formula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7"/>
  <sheetViews>
    <sheetView zoomScale="130" zoomScaleNormal="130" zoomScalePageLayoutView="130" workbookViewId="0">
      <selection activeCell="A17" sqref="A17:XFD17"/>
    </sheetView>
  </sheetViews>
  <sheetFormatPr baseColWidth="10" defaultColWidth="7.83203125" defaultRowHeight="16" x14ac:dyDescent="0.2"/>
  <cols>
    <col min="1" max="1" width="28.5" style="7" customWidth="1"/>
    <col min="2" max="2" width="14.83203125" style="8" customWidth="1"/>
    <col min="3" max="3" width="7.1640625" style="391" customWidth="1"/>
    <col min="4" max="4" width="14.83203125" style="7" customWidth="1"/>
    <col min="5" max="5" width="7.1640625" style="391" customWidth="1"/>
    <col min="6" max="6" width="14.83203125" style="7" customWidth="1"/>
    <col min="7" max="7" width="7.1640625" style="391" customWidth="1"/>
    <col min="8" max="8" width="14.83203125" style="7" customWidth="1"/>
    <col min="9" max="9" width="7.1640625" style="391" customWidth="1"/>
    <col min="10" max="10" width="15.83203125" style="7" customWidth="1"/>
    <col min="11" max="11" width="7.1640625" style="391" customWidth="1"/>
    <col min="12" max="12" width="7.83203125" style="7"/>
    <col min="13" max="13" width="9.83203125" style="7" bestFit="1" customWidth="1"/>
    <col min="14" max="14" width="7.83203125" style="7"/>
    <col min="15" max="15" width="48.83203125" style="7" customWidth="1"/>
    <col min="16" max="16384" width="7.83203125" style="7"/>
  </cols>
  <sheetData>
    <row r="2" spans="1:15" x14ac:dyDescent="0.2">
      <c r="C2" s="399"/>
      <c r="D2" s="55">
        <f>D8-B8</f>
        <v>47943.000144750054</v>
      </c>
      <c r="E2" s="399"/>
      <c r="F2" s="55">
        <f t="shared" ref="F2" si="0">F8-D8</f>
        <v>53696.160162120068</v>
      </c>
      <c r="G2" s="399"/>
      <c r="H2" s="55">
        <f t="shared" ref="H2" si="1">H8-F8</f>
        <v>60139.699381574464</v>
      </c>
      <c r="I2" s="399"/>
      <c r="J2" s="55">
        <f t="shared" ref="J2" si="2">J8-H8</f>
        <v>67356.463307363447</v>
      </c>
    </row>
    <row r="4" spans="1:15" x14ac:dyDescent="0.2">
      <c r="A4" s="132"/>
      <c r="B4" s="10" t="s">
        <v>155</v>
      </c>
      <c r="C4" s="400"/>
      <c r="D4" s="11" t="s">
        <v>156</v>
      </c>
      <c r="E4" s="400"/>
      <c r="F4" s="11" t="s">
        <v>157</v>
      </c>
      <c r="G4" s="408"/>
      <c r="H4" s="11" t="s">
        <v>158</v>
      </c>
      <c r="I4" s="408"/>
      <c r="J4" s="11" t="s">
        <v>159</v>
      </c>
      <c r="K4" s="408"/>
    </row>
    <row r="5" spans="1:15" x14ac:dyDescent="0.2">
      <c r="A5" s="9" t="s">
        <v>160</v>
      </c>
      <c r="B5" s="55">
        <f>'Previsión de Ventas'!D85</f>
        <v>1196723.25</v>
      </c>
      <c r="C5" s="17">
        <f>(B5/$B$6)</f>
        <v>1</v>
      </c>
      <c r="D5" s="55">
        <f>'Previsión de Ventas'!F85</f>
        <v>1379085.12225</v>
      </c>
      <c r="E5" s="17">
        <f>(D5/$D$6)</f>
        <v>1</v>
      </c>
      <c r="F5" s="55">
        <f>'Previsión de Ventas'!H85</f>
        <v>1654250.8275589501</v>
      </c>
      <c r="G5" s="17">
        <f>(F5/$F$6)</f>
        <v>1</v>
      </c>
      <c r="H5" s="55">
        <f>'Previsión de Ventas'!J85</f>
        <v>1911404.2904298976</v>
      </c>
      <c r="I5" s="17">
        <f>(H5/H5)</f>
        <v>1</v>
      </c>
      <c r="J5" s="55">
        <f>'Previsión de Ventas'!L85</f>
        <v>2124677.0525602261</v>
      </c>
      <c r="K5" s="17">
        <f>(J5/J6)</f>
        <v>1</v>
      </c>
    </row>
    <row r="6" spans="1:15" x14ac:dyDescent="0.2">
      <c r="A6" s="12" t="s">
        <v>280</v>
      </c>
      <c r="B6" s="160">
        <f>B5</f>
        <v>1196723.25</v>
      </c>
      <c r="C6" s="17">
        <f>(B6/$B$6)</f>
        <v>1</v>
      </c>
      <c r="D6" s="160">
        <f>D5</f>
        <v>1379085.12225</v>
      </c>
      <c r="E6" s="17">
        <f>(D6/$D$6)</f>
        <v>1</v>
      </c>
      <c r="F6" s="160">
        <f>F5</f>
        <v>1654250.8275589501</v>
      </c>
      <c r="G6" s="17">
        <f>(F6/$F$6)</f>
        <v>1</v>
      </c>
      <c r="H6" s="160">
        <f>H5</f>
        <v>1911404.2904298976</v>
      </c>
      <c r="I6" s="17">
        <f>(H6/H6)</f>
        <v>1</v>
      </c>
      <c r="J6" s="160">
        <f>J5</f>
        <v>2124677.0525602261</v>
      </c>
      <c r="K6" s="17">
        <f>(J6/J6)</f>
        <v>1</v>
      </c>
    </row>
    <row r="7" spans="1:15" x14ac:dyDescent="0.2">
      <c r="A7" s="9" t="s">
        <v>407</v>
      </c>
      <c r="B7" s="55">
        <f>GASTOS!B42</f>
        <v>42895.82837301588</v>
      </c>
      <c r="C7" s="17">
        <f>(B7/$B$6)</f>
        <v>3.5844401262376979E-2</v>
      </c>
      <c r="D7" s="55">
        <f>GASTOS!C42</f>
        <v>46904.980406746035</v>
      </c>
      <c r="E7" s="17">
        <f>(D7/$D$6)</f>
        <v>3.4011664436071787E-2</v>
      </c>
      <c r="F7" s="55">
        <f>GASTOS!D42</f>
        <v>51300.948975694453</v>
      </c>
      <c r="G7" s="17">
        <f t="shared" ref="G7:G15" si="3">(F7/$F$6)</f>
        <v>3.1011590335061397E-2</v>
      </c>
      <c r="H7" s="55">
        <f>GASTOS!E42</f>
        <v>56559.033408134914</v>
      </c>
      <c r="I7" s="17">
        <f>(H7/$H$6)</f>
        <v>2.9590303679507862E-2</v>
      </c>
      <c r="J7" s="55">
        <f>GASTOS!F42</f>
        <v>60777.893791000337</v>
      </c>
      <c r="K7" s="17">
        <f t="shared" ref="K7:K17" si="4">(J7/$J$6)</f>
        <v>2.8605709144250067E-2</v>
      </c>
      <c r="O7" s="160">
        <v>1056233.1408246683</v>
      </c>
    </row>
    <row r="8" spans="1:15" x14ac:dyDescent="0.2">
      <c r="A8" s="9" t="s">
        <v>161</v>
      </c>
      <c r="B8" s="55">
        <f>GASTOS!B45+GASTOS!B47+GASTOS!B48</f>
        <v>399525.00120624999</v>
      </c>
      <c r="C8" s="17">
        <f>(B8/$B$6)</f>
        <v>0.33384911775237092</v>
      </c>
      <c r="D8" s="55">
        <f>B8*(1+0.12)</f>
        <v>447468.00135100004</v>
      </c>
      <c r="E8" s="17">
        <f>(D8/$D$6)</f>
        <v>0.32446728206374142</v>
      </c>
      <c r="F8" s="55">
        <f>D8*(1+0.12)</f>
        <v>501164.16151312011</v>
      </c>
      <c r="G8" s="17">
        <f t="shared" si="3"/>
        <v>0.30295536394118011</v>
      </c>
      <c r="H8" s="55">
        <f>F8*(1+0.12)</f>
        <v>561303.86089469458</v>
      </c>
      <c r="I8" s="17">
        <f t="shared" ref="I8:I17" si="5">(H8/$H$6)</f>
        <v>0.29366045880772335</v>
      </c>
      <c r="J8" s="55">
        <f>H8*(1+0.12)</f>
        <v>628660.32420205802</v>
      </c>
      <c r="K8" s="17">
        <f t="shared" si="4"/>
        <v>0.29588511978539289</v>
      </c>
      <c r="M8" s="392"/>
    </row>
    <row r="9" spans="1:15" x14ac:dyDescent="0.2">
      <c r="A9" s="9" t="s">
        <v>162</v>
      </c>
      <c r="B9" s="55">
        <f>GASTOS!D28</f>
        <v>40372.959999999999</v>
      </c>
      <c r="C9" s="17">
        <f t="shared" ref="C9:C15" si="6">(B9/$B$6)</f>
        <v>3.3736254392985179E-2</v>
      </c>
      <c r="D9" s="55">
        <f>GASTOS!E28</f>
        <v>41584.148800000003</v>
      </c>
      <c r="E9" s="17">
        <f t="shared" ref="E9:E15" si="7">(D9/$D$6)</f>
        <v>3.0153431524338963E-2</v>
      </c>
      <c r="F9" s="55">
        <f>GASTOS!F28</f>
        <v>42831.673263999997</v>
      </c>
      <c r="G9" s="17">
        <f t="shared" si="3"/>
        <v>2.5891885650257393E-2</v>
      </c>
      <c r="H9" s="55">
        <f>GASTOS!G28</f>
        <v>44116.623461919997</v>
      </c>
      <c r="I9" s="17">
        <f t="shared" si="5"/>
        <v>2.3080738953451675E-2</v>
      </c>
      <c r="J9" s="55">
        <f>GASTOS!H28</f>
        <v>45440.122165777604</v>
      </c>
      <c r="K9" s="17">
        <f t="shared" si="4"/>
        <v>2.1386837171805693E-2</v>
      </c>
    </row>
    <row r="10" spans="1:15" x14ac:dyDescent="0.2">
      <c r="A10" s="9" t="s">
        <v>163</v>
      </c>
      <c r="B10" s="55">
        <f>GASTOS!C32</f>
        <v>7920</v>
      </c>
      <c r="C10" s="17">
        <f t="shared" si="6"/>
        <v>6.618071471411623E-3</v>
      </c>
      <c r="D10" s="55">
        <f>GASTOS!D32*(1+0.02)</f>
        <v>8078.4000000000005</v>
      </c>
      <c r="E10" s="17">
        <f t="shared" si="7"/>
        <v>5.8577964983190876E-3</v>
      </c>
      <c r="F10" s="55">
        <f>D10*(1+0.02)</f>
        <v>8239.9680000000008</v>
      </c>
      <c r="G10" s="397">
        <f t="shared" si="3"/>
        <v>4.9810874280529051E-3</v>
      </c>
      <c r="H10" s="55">
        <f>F10*(1+0.02)</f>
        <v>8404.7673600000016</v>
      </c>
      <c r="I10" s="397">
        <f t="shared" si="5"/>
        <v>4.3971688261250415E-3</v>
      </c>
      <c r="J10" s="55">
        <f>H10*(1+0.02)</f>
        <v>8572.8627072000018</v>
      </c>
      <c r="K10" s="397">
        <f t="shared" si="4"/>
        <v>4.0349015380336233E-3</v>
      </c>
    </row>
    <row r="11" spans="1:15" x14ac:dyDescent="0.2">
      <c r="A11" s="9" t="s">
        <v>164</v>
      </c>
      <c r="B11" s="55">
        <f>CONSUMOS!B28</f>
        <v>24764.69885428972</v>
      </c>
      <c r="C11" s="17">
        <f t="shared" si="6"/>
        <v>2.069375593253471E-2</v>
      </c>
      <c r="D11" s="55">
        <f>CONSUMOS!C28</f>
        <v>27877.832050345169</v>
      </c>
      <c r="E11" s="17">
        <f t="shared" si="7"/>
        <v>2.0214729026198201E-2</v>
      </c>
      <c r="F11" s="55">
        <f>CONSUMOS!D28</f>
        <v>31778.773429589208</v>
      </c>
      <c r="G11" s="17">
        <f t="shared" si="3"/>
        <v>1.9210371788952154E-2</v>
      </c>
      <c r="H11" s="55">
        <f>CONSUMOS!E28</f>
        <v>36201.79877593468</v>
      </c>
      <c r="I11" s="17">
        <f t="shared" si="5"/>
        <v>1.8939896157600684E-2</v>
      </c>
      <c r="J11" s="55">
        <f>CONSUMOS!F28</f>
        <v>39942.688713817734</v>
      </c>
      <c r="K11" s="17">
        <f t="shared" si="4"/>
        <v>1.8799416441047819E-2</v>
      </c>
    </row>
    <row r="12" spans="1:15" x14ac:dyDescent="0.2">
      <c r="A12" s="9" t="s">
        <v>165</v>
      </c>
      <c r="B12" s="396">
        <f>GASTOS!C2</f>
        <v>1140</v>
      </c>
      <c r="C12" s="397">
        <f t="shared" si="6"/>
        <v>9.5260119664258218E-4</v>
      </c>
      <c r="D12" s="55">
        <f>GASTOS!C2*(1+0.02)</f>
        <v>1162.8</v>
      </c>
      <c r="E12" s="397">
        <f t="shared" si="7"/>
        <v>8.4316767778835336E-4</v>
      </c>
      <c r="F12" s="55">
        <f>D12*(1+0.02)</f>
        <v>1186.056</v>
      </c>
      <c r="G12" s="397">
        <f t="shared" si="3"/>
        <v>7.1697470555306963E-4</v>
      </c>
      <c r="H12" s="55">
        <f>F12*(1+0.02)</f>
        <v>1209.77712</v>
      </c>
      <c r="I12" s="397">
        <f t="shared" si="5"/>
        <v>6.3292581588163472E-4</v>
      </c>
      <c r="J12" s="55">
        <f>H12*(1+0.02)</f>
        <v>1233.9726624</v>
      </c>
      <c r="K12" s="397">
        <f t="shared" si="4"/>
        <v>5.8078128198968805E-4</v>
      </c>
    </row>
    <row r="13" spans="1:15" x14ac:dyDescent="0.2">
      <c r="A13" s="9" t="s">
        <v>404</v>
      </c>
      <c r="B13" s="396">
        <f>GASTOS!B49</f>
        <v>23934.465</v>
      </c>
      <c r="C13" s="17">
        <f t="shared" si="6"/>
        <v>0.02</v>
      </c>
      <c r="D13" s="396">
        <f>GASTOS!C49</f>
        <v>27581.702445000003</v>
      </c>
      <c r="E13" s="17">
        <f t="shared" si="7"/>
        <v>0.02</v>
      </c>
      <c r="F13" s="396">
        <f>GASTOS!D49</f>
        <v>33085.016551179004</v>
      </c>
      <c r="G13" s="17">
        <f t="shared" si="3"/>
        <v>0.02</v>
      </c>
      <c r="H13" s="396">
        <f>GASTOS!E49</f>
        <v>38228.085808597956</v>
      </c>
      <c r="I13" s="17">
        <f t="shared" si="5"/>
        <v>0.02</v>
      </c>
      <c r="J13" s="396">
        <f>GASTOS!F49</f>
        <v>42493.54105120452</v>
      </c>
      <c r="K13" s="17">
        <f t="shared" si="4"/>
        <v>0.02</v>
      </c>
    </row>
    <row r="14" spans="1:15" x14ac:dyDescent="0.2">
      <c r="A14" s="9" t="s">
        <v>166</v>
      </c>
      <c r="B14" s="55">
        <f>GASTOS!B50</f>
        <v>59836.162500000006</v>
      </c>
      <c r="C14" s="17">
        <f t="shared" si="6"/>
        <v>0.05</v>
      </c>
      <c r="D14" s="55">
        <f>GASTOS!C50</f>
        <v>68954.256112500007</v>
      </c>
      <c r="E14" s="17">
        <f t="shared" si="7"/>
        <v>0.05</v>
      </c>
      <c r="F14" s="55">
        <f>GASTOS!D50</f>
        <v>82712.541377947506</v>
      </c>
      <c r="G14" s="17">
        <f t="shared" si="3"/>
        <v>0.05</v>
      </c>
      <c r="H14" s="55">
        <f>GASTOS!E50</f>
        <v>95570.214521494883</v>
      </c>
      <c r="I14" s="17">
        <f t="shared" si="5"/>
        <v>0.05</v>
      </c>
      <c r="J14" s="55">
        <f>GASTOS!F50</f>
        <v>106233.85262801131</v>
      </c>
      <c r="K14" s="17">
        <f t="shared" si="4"/>
        <v>0.05</v>
      </c>
    </row>
    <row r="15" spans="1:15" x14ac:dyDescent="0.2">
      <c r="A15" s="9" t="s">
        <v>167</v>
      </c>
      <c r="B15" s="55">
        <f>0.02*B6</f>
        <v>23934.465</v>
      </c>
      <c r="C15" s="17">
        <f t="shared" si="6"/>
        <v>0.02</v>
      </c>
      <c r="D15" s="55">
        <f>0.02*D6</f>
        <v>27581.702445000003</v>
      </c>
      <c r="E15" s="17">
        <f t="shared" si="7"/>
        <v>0.02</v>
      </c>
      <c r="F15" s="55">
        <f>0.02*F6</f>
        <v>33085.016551179004</v>
      </c>
      <c r="G15" s="17">
        <f t="shared" si="3"/>
        <v>0.02</v>
      </c>
      <c r="H15" s="55">
        <f>0.02*H6</f>
        <v>38228.085808597956</v>
      </c>
      <c r="I15" s="17">
        <f t="shared" si="5"/>
        <v>0.02</v>
      </c>
      <c r="J15" s="55">
        <f>0.02*J6</f>
        <v>42493.54105120452</v>
      </c>
      <c r="K15" s="17">
        <f t="shared" si="4"/>
        <v>0.02</v>
      </c>
      <c r="M15" s="7" t="s">
        <v>168</v>
      </c>
    </row>
    <row r="16" spans="1:15" x14ac:dyDescent="0.2">
      <c r="A16" s="12" t="s">
        <v>169</v>
      </c>
      <c r="B16" s="398">
        <f>-SUM(B7:B15)</f>
        <v>-624323.58093355549</v>
      </c>
      <c r="C16" s="17">
        <f>-(B16/$B$6)</f>
        <v>0.52169420200832184</v>
      </c>
      <c r="D16" s="398">
        <f>-SUM(D7:D15)</f>
        <v>-697193.82361059124</v>
      </c>
      <c r="E16" s="17">
        <f>-(D16/$D$6)</f>
        <v>0.50554807122645773</v>
      </c>
      <c r="F16" s="398">
        <f>-SUM(F7:F15)</f>
        <v>-785384.15566270927</v>
      </c>
      <c r="G16" s="17">
        <f>-(F16/$F$6)</f>
        <v>0.47476727384905704</v>
      </c>
      <c r="H16" s="398">
        <f>-SUM(H7:H15)</f>
        <v>-879822.24715937511</v>
      </c>
      <c r="I16" s="17">
        <f>-(H16/$H$6)</f>
        <v>0.46030149224029032</v>
      </c>
      <c r="J16" s="398">
        <f>-SUM(J7:J15)</f>
        <v>-975848.79897267418</v>
      </c>
      <c r="K16" s="17">
        <f>-(J16/$J$6)</f>
        <v>0.45929276536251984</v>
      </c>
      <c r="M16" s="7" t="s">
        <v>170</v>
      </c>
    </row>
    <row r="17" spans="1:16" x14ac:dyDescent="0.2">
      <c r="A17" s="12" t="s">
        <v>171</v>
      </c>
      <c r="B17" s="160">
        <f>B6+B16</f>
        <v>572399.66906644451</v>
      </c>
      <c r="C17" s="17">
        <f>(B17/$B$6)</f>
        <v>0.47830579799167811</v>
      </c>
      <c r="D17" s="160">
        <f>D6+D16</f>
        <v>681891.29863940878</v>
      </c>
      <c r="E17" s="17">
        <f>(D17/$D$6)</f>
        <v>0.49445192877354222</v>
      </c>
      <c r="F17" s="160">
        <f>F6+F16</f>
        <v>868866.67189624079</v>
      </c>
      <c r="G17" s="17">
        <f>(F17/$F$6)</f>
        <v>0.52523272615094296</v>
      </c>
      <c r="H17" s="160">
        <f>H6+H16</f>
        <v>1031582.0432705225</v>
      </c>
      <c r="I17" s="17">
        <f t="shared" si="5"/>
        <v>0.53969850775970973</v>
      </c>
      <c r="J17" s="160">
        <f>J6+J16</f>
        <v>1148828.2535875519</v>
      </c>
      <c r="K17" s="17">
        <f t="shared" si="4"/>
        <v>0.54070723463748016</v>
      </c>
    </row>
    <row r="18" spans="1:16" x14ac:dyDescent="0.2">
      <c r="A18" s="9" t="s">
        <v>172</v>
      </c>
      <c r="B18" s="41">
        <f>-'Previsión de Ventas'!G4</f>
        <v>-315000</v>
      </c>
      <c r="C18" s="17">
        <f>-(B18/$B$6)</f>
        <v>0.26321875170387138</v>
      </c>
      <c r="D18" s="41">
        <f>B18*(1+2%)</f>
        <v>-321300</v>
      </c>
      <c r="E18" s="17">
        <f>-(D18/$D$6)</f>
        <v>0.23298054254678185</v>
      </c>
      <c r="F18" s="41">
        <f>D18*(1+2%)</f>
        <v>-327726</v>
      </c>
      <c r="G18" s="17">
        <f>-(F18/$F$6)</f>
        <v>0.19811143179755872</v>
      </c>
      <c r="H18" s="41">
        <f>F18*(1+2%)</f>
        <v>-334280.52</v>
      </c>
      <c r="I18" s="17">
        <f>-(H18/$H$6)</f>
        <v>0.1748873964936096</v>
      </c>
      <c r="J18" s="41">
        <f>H18*(1+2%)</f>
        <v>-340966.13040000002</v>
      </c>
      <c r="K18" s="17">
        <f>-(J18/$J$6)</f>
        <v>0.16047903844451908</v>
      </c>
      <c r="M18" s="7" t="s">
        <v>173</v>
      </c>
    </row>
    <row r="19" spans="1:16" x14ac:dyDescent="0.2">
      <c r="A19" s="12" t="s">
        <v>174</v>
      </c>
      <c r="B19" s="160">
        <f>B17+B18</f>
        <v>257399.66906644451</v>
      </c>
      <c r="C19" s="17">
        <f>(B19/$B$6)</f>
        <v>0.21508704628780673</v>
      </c>
      <c r="D19" s="160">
        <f>D17+D18</f>
        <v>360591.29863940878</v>
      </c>
      <c r="E19" s="17">
        <f>(D19/$D$6)</f>
        <v>0.26147138622676036</v>
      </c>
      <c r="F19" s="160">
        <f>F17+F18</f>
        <v>541140.67189624079</v>
      </c>
      <c r="G19" s="17">
        <f>(F19/$F$6)</f>
        <v>0.32712129435338427</v>
      </c>
      <c r="H19" s="160">
        <f>H17+H18</f>
        <v>697301.52327052248</v>
      </c>
      <c r="I19" s="17">
        <f t="shared" ref="I19:I23" si="8">(H19/$H$6)</f>
        <v>0.36481111126610011</v>
      </c>
      <c r="J19" s="160">
        <f>J17+J18</f>
        <v>807862.12318755186</v>
      </c>
      <c r="K19" s="17">
        <f t="shared" ref="K19" si="9">(J19/$J$6)</f>
        <v>0.38022819619296105</v>
      </c>
      <c r="M19" s="7" t="s">
        <v>175</v>
      </c>
    </row>
    <row r="20" spans="1:16" x14ac:dyDescent="0.2">
      <c r="A20" s="9" t="s">
        <v>176</v>
      </c>
      <c r="B20" s="41">
        <f>-Operaciones!C39*0.05</f>
        <v>-119719.36207461945</v>
      </c>
      <c r="C20" s="17">
        <f>-(B20/$B$6)</f>
        <v>0.10003930488909567</v>
      </c>
      <c r="D20" s="41">
        <f>B20</f>
        <v>-119719.36207461945</v>
      </c>
      <c r="E20" s="17">
        <f>-(D20/$D$6)</f>
        <v>8.6810712510113477E-2</v>
      </c>
      <c r="F20" s="41">
        <f>D20</f>
        <v>-119719.36207461945</v>
      </c>
      <c r="G20" s="17">
        <f>-(F20/$F$6)</f>
        <v>7.2370743348081051E-2</v>
      </c>
      <c r="H20" s="41">
        <f>B20</f>
        <v>-119719.36207461945</v>
      </c>
      <c r="I20" s="17">
        <f>-(H20/$H$6)</f>
        <v>6.2634243667881034E-2</v>
      </c>
      <c r="J20" s="41">
        <f>B20</f>
        <v>-119719.36207461945</v>
      </c>
      <c r="K20" s="17">
        <f>-(J20/$J$6)</f>
        <v>5.6347086692708506E-2</v>
      </c>
    </row>
    <row r="21" spans="1:16" x14ac:dyDescent="0.2">
      <c r="A21" s="12" t="s">
        <v>177</v>
      </c>
      <c r="B21" s="398">
        <f>B19+B20</f>
        <v>137680.30699182505</v>
      </c>
      <c r="C21" s="17"/>
      <c r="D21" s="160">
        <f>D19+D20</f>
        <v>240871.93656478933</v>
      </c>
      <c r="E21" s="17"/>
      <c r="F21" s="160">
        <f>F19+F20</f>
        <v>421421.30982162134</v>
      </c>
      <c r="G21" s="17"/>
      <c r="H21" s="160">
        <f>H19+H20</f>
        <v>577582.16119590309</v>
      </c>
      <c r="I21" s="17"/>
      <c r="J21" s="160">
        <f>J19+J20</f>
        <v>688142.76111293235</v>
      </c>
      <c r="K21" s="17"/>
      <c r="N21" s="7" t="s">
        <v>178</v>
      </c>
    </row>
    <row r="22" spans="1:16" x14ac:dyDescent="0.2">
      <c r="A22" s="9" t="s">
        <v>179</v>
      </c>
      <c r="B22" s="41">
        <f>-B21*0.25</f>
        <v>-34420.076747956264</v>
      </c>
      <c r="C22" s="17">
        <f>-(B22/$B$6)</f>
        <v>2.8761935349677768E-2</v>
      </c>
      <c r="D22" s="41">
        <f>-D21*0.25</f>
        <v>-60217.984141197332</v>
      </c>
      <c r="E22" s="17">
        <f>-(D22/$D$6)</f>
        <v>4.3665168429161717E-2</v>
      </c>
      <c r="F22" s="41">
        <f>-F21*0.25</f>
        <v>-105355.32745540534</v>
      </c>
      <c r="G22" s="17">
        <f>-(F22/$F$6)</f>
        <v>6.3687637751325799E-2</v>
      </c>
      <c r="H22" s="41">
        <f>-H21*0.25</f>
        <v>-144395.54029897577</v>
      </c>
      <c r="I22" s="17">
        <f>-(H22/$H$6)</f>
        <v>7.5544216899554775E-2</v>
      </c>
      <c r="J22" s="41">
        <f>-J21*0.25</f>
        <v>-172035.69027823309</v>
      </c>
      <c r="K22" s="17">
        <f>-(J22/$J$6)</f>
        <v>8.0970277375063127E-2</v>
      </c>
      <c r="N22" s="7" t="s">
        <v>58</v>
      </c>
    </row>
    <row r="23" spans="1:16" x14ac:dyDescent="0.2">
      <c r="A23" s="13" t="s">
        <v>431</v>
      </c>
      <c r="B23" s="247">
        <f>B21+B22</f>
        <v>103260.23024386879</v>
      </c>
      <c r="C23" s="18">
        <f>(B23/$B$6)</f>
        <v>8.6285806049033298E-2</v>
      </c>
      <c r="D23" s="161">
        <f>D21+D22</f>
        <v>180653.95242359198</v>
      </c>
      <c r="E23" s="18">
        <f>(D23/$D$6)</f>
        <v>0.13099550528748516</v>
      </c>
      <c r="F23" s="161">
        <f>F21+F22</f>
        <v>316065.98236621602</v>
      </c>
      <c r="G23" s="18">
        <f>(F23/$F$6)</f>
        <v>0.19106291325397742</v>
      </c>
      <c r="H23" s="161">
        <f>H21+H22</f>
        <v>433186.62089692731</v>
      </c>
      <c r="I23" s="18">
        <f t="shared" si="8"/>
        <v>0.22663265069866431</v>
      </c>
      <c r="J23" s="161">
        <f>J21+J22</f>
        <v>516107.07083469926</v>
      </c>
      <c r="K23" s="18">
        <f>(J23/$J$6)</f>
        <v>0.24291083212518938</v>
      </c>
    </row>
    <row r="24" spans="1:16" x14ac:dyDescent="0.2">
      <c r="C24" s="401"/>
      <c r="D24" s="14"/>
      <c r="E24" s="401"/>
      <c r="F24" s="14"/>
      <c r="H24" s="55"/>
    </row>
    <row r="26" spans="1:16" x14ac:dyDescent="0.2">
      <c r="A26" s="15" t="s">
        <v>59</v>
      </c>
      <c r="D26" s="20">
        <f>(D5-B5)/B5</f>
        <v>0.15238433133976464</v>
      </c>
      <c r="E26" s="406"/>
      <c r="F26" s="152">
        <f>(F5-D5)/D5</f>
        <v>0.19952771650528189</v>
      </c>
      <c r="G26" s="406"/>
      <c r="H26" s="152">
        <f>(H5-F5)/F5</f>
        <v>0.1554501038094743</v>
      </c>
      <c r="I26" s="406"/>
      <c r="J26" s="152">
        <f>(J5-H5)/H5</f>
        <v>0.11157909564091271</v>
      </c>
      <c r="M26" s="20"/>
    </row>
    <row r="27" spans="1:16" x14ac:dyDescent="0.2">
      <c r="A27" s="15" t="s">
        <v>60</v>
      </c>
      <c r="C27" s="402"/>
      <c r="D27" s="16">
        <f>D7/D5</f>
        <v>3.4011664436071787E-2</v>
      </c>
      <c r="E27" s="402"/>
      <c r="F27" s="16">
        <f>F7/F5</f>
        <v>3.1011590335061397E-2</v>
      </c>
    </row>
    <row r="28" spans="1:16" ht="32" x14ac:dyDescent="0.2">
      <c r="J28" s="418" t="s">
        <v>406</v>
      </c>
      <c r="K28" s="417">
        <f>(D26+F26+H26+J26)/4</f>
        <v>0.15473531182385838</v>
      </c>
      <c r="O28" s="48"/>
      <c r="P28" s="48"/>
    </row>
    <row r="29" spans="1:16" x14ac:dyDescent="0.2">
      <c r="A29" s="419" t="s">
        <v>418</v>
      </c>
      <c r="B29" s="420"/>
      <c r="C29" s="421">
        <f>B23/B6</f>
        <v>8.6285806049033298E-2</v>
      </c>
      <c r="D29" s="421"/>
      <c r="E29" s="421">
        <f>D23/D6</f>
        <v>0.13099550528748516</v>
      </c>
      <c r="F29" s="421"/>
      <c r="G29" s="421">
        <f>F23/F6</f>
        <v>0.19106291325397742</v>
      </c>
      <c r="H29" s="421"/>
      <c r="I29" s="421">
        <f>H23/H6</f>
        <v>0.22663265069866431</v>
      </c>
      <c r="J29" s="421"/>
      <c r="K29" s="421">
        <f t="shared" ref="K29" si="10">J23/J6</f>
        <v>0.24291083212518938</v>
      </c>
      <c r="L29" s="420"/>
      <c r="O29" s="44" t="s">
        <v>489</v>
      </c>
      <c r="P29" s="153">
        <v>0.15</v>
      </c>
    </row>
    <row r="30" spans="1:16" x14ac:dyDescent="0.2">
      <c r="A30" s="419" t="s">
        <v>419</v>
      </c>
      <c r="B30" s="420"/>
      <c r="C30" s="421">
        <f>B23/Balance!C18</f>
        <v>4.0499384314046476E-2</v>
      </c>
      <c r="D30" s="421"/>
      <c r="E30" s="421">
        <f>D23/Balance!D18</f>
        <v>6.6018824582957186E-2</v>
      </c>
      <c r="F30" s="421"/>
      <c r="G30" s="421">
        <f>F23/Balance!E18</f>
        <v>0.10329575456803439</v>
      </c>
      <c r="H30" s="421"/>
      <c r="I30" s="421">
        <f>H23/Balance!F18</f>
        <v>0.12373676817318192</v>
      </c>
      <c r="J30" s="421"/>
      <c r="K30" s="421">
        <f>J23/Balance!G18</f>
        <v>0.12822594927594475</v>
      </c>
      <c r="L30" s="420"/>
      <c r="O30" s="44" t="s">
        <v>490</v>
      </c>
      <c r="P30" s="48"/>
    </row>
    <row r="31" spans="1:16" x14ac:dyDescent="0.2">
      <c r="A31" s="419" t="s">
        <v>420</v>
      </c>
      <c r="B31" s="420"/>
      <c r="C31" s="421">
        <f>((B19+B20)*0.75)/Operaciones!C39</f>
        <v>4.3125952416747805E-2</v>
      </c>
      <c r="D31" s="421"/>
      <c r="E31" s="421">
        <f>((D19+D20)*0.75)/Operaciones!$C$39</f>
        <v>7.5448928766840923E-2</v>
      </c>
      <c r="F31" s="421"/>
      <c r="G31" s="421">
        <f>((F19+F20)*0.75)/Operaciones!$C$39</f>
        <v>0.13200286774382261</v>
      </c>
      <c r="H31" s="421"/>
      <c r="I31" s="421">
        <f>((H19+H20)*0.75)/Operaciones!$C$39</f>
        <v>0.18091752803816646</v>
      </c>
      <c r="J31" s="421"/>
      <c r="K31" s="421">
        <f>((J19+J20)*0.75)/Operaciones!$C$39</f>
        <v>0.21554870569432905</v>
      </c>
      <c r="O31" s="44" t="s">
        <v>491</v>
      </c>
      <c r="P31" s="48"/>
    </row>
    <row r="32" spans="1:16" x14ac:dyDescent="0.2">
      <c r="A32" s="419" t="s">
        <v>69</v>
      </c>
      <c r="B32" s="420"/>
      <c r="C32" s="421">
        <f>((B19+B20)*0.75)/Balance!C18</f>
        <v>4.0499384314046476E-2</v>
      </c>
      <c r="D32" s="420"/>
      <c r="E32" s="421">
        <f>((D19+D20)*0.75)/Balance!D18</f>
        <v>6.6018824582957186E-2</v>
      </c>
      <c r="F32" s="420"/>
      <c r="G32" s="421">
        <f>((F19+F20)*0.75)/Balance!E18</f>
        <v>0.10329575456803439</v>
      </c>
      <c r="H32" s="420"/>
      <c r="I32" s="421">
        <f>((H19+H20)*0.75)/Balance!F18</f>
        <v>0.12373676817318192</v>
      </c>
      <c r="J32" s="420"/>
      <c r="K32" s="421">
        <f>((J19+J20)*0.75)/Balance!G18</f>
        <v>0.12822594927594475</v>
      </c>
      <c r="O32" s="44" t="s">
        <v>492</v>
      </c>
      <c r="P32" s="48"/>
    </row>
    <row r="35" spans="2:9" x14ac:dyDescent="0.2">
      <c r="B35" s="143"/>
      <c r="C35" s="403"/>
      <c r="D35" s="144"/>
      <c r="E35" s="403"/>
      <c r="F35" s="144"/>
    </row>
    <row r="36" spans="2:9" x14ac:dyDescent="0.2">
      <c r="B36" s="145" t="s">
        <v>62</v>
      </c>
      <c r="C36" s="404"/>
      <c r="D36" s="1"/>
      <c r="E36" s="404"/>
      <c r="F36" s="1"/>
    </row>
    <row r="37" spans="2:9" x14ac:dyDescent="0.2">
      <c r="B37" s="145" t="s">
        <v>63</v>
      </c>
      <c r="C37" s="404"/>
      <c r="D37" s="1"/>
      <c r="E37" s="404"/>
      <c r="F37" s="1"/>
    </row>
    <row r="38" spans="2:9" x14ac:dyDescent="0.2">
      <c r="B38" s="145" t="s">
        <v>64</v>
      </c>
      <c r="C38" s="404"/>
      <c r="D38" s="1"/>
      <c r="E38" s="404"/>
      <c r="F38" s="1"/>
    </row>
    <row r="39" spans="2:9" x14ac:dyDescent="0.2">
      <c r="B39" s="145" t="s">
        <v>65</v>
      </c>
      <c r="C39" s="404"/>
      <c r="D39" s="1"/>
      <c r="E39" s="404"/>
      <c r="F39" s="1"/>
    </row>
    <row r="40" spans="2:9" x14ac:dyDescent="0.2">
      <c r="B40" s="146" t="s">
        <v>66</v>
      </c>
      <c r="C40" s="404"/>
      <c r="D40" s="1"/>
      <c r="E40" s="404"/>
      <c r="F40" s="1"/>
    </row>
    <row r="41" spans="2:9" x14ac:dyDescent="0.2">
      <c r="B41" s="146" t="e">
        <f>1 - ROE=ROA - INDIFERENTE</f>
        <v>#NAME?</v>
      </c>
      <c r="C41" s="404"/>
      <c r="D41" s="1"/>
      <c r="E41" s="404"/>
      <c r="F41" s="1"/>
    </row>
    <row r="42" spans="2:9" x14ac:dyDescent="0.2">
      <c r="B42" s="146" t="s">
        <v>67</v>
      </c>
      <c r="C42" s="404"/>
      <c r="D42" s="1"/>
      <c r="E42" s="404"/>
      <c r="F42" s="1"/>
      <c r="G42" s="403"/>
      <c r="H42" s="144"/>
      <c r="I42" s="120"/>
    </row>
    <row r="43" spans="2:9" ht="17" thickBot="1" x14ac:dyDescent="0.25">
      <c r="B43" s="145"/>
      <c r="C43" s="404"/>
      <c r="D43" s="1"/>
      <c r="E43" s="404"/>
      <c r="F43" s="1"/>
      <c r="G43" s="119"/>
      <c r="H43" s="111"/>
      <c r="I43" s="409"/>
    </row>
    <row r="44" spans="2:9" ht="17" thickBot="1" x14ac:dyDescent="0.25">
      <c r="B44" s="92"/>
      <c r="C44" s="404"/>
      <c r="D44" s="150" t="s">
        <v>320</v>
      </c>
      <c r="E44" s="407" t="s">
        <v>321</v>
      </c>
      <c r="F44" s="151" t="s">
        <v>322</v>
      </c>
      <c r="G44" s="119"/>
      <c r="H44" s="111"/>
      <c r="I44" s="409"/>
    </row>
    <row r="45" spans="2:9" ht="17" thickBot="1" x14ac:dyDescent="0.25">
      <c r="B45" s="674" t="s">
        <v>68</v>
      </c>
      <c r="C45" s="675"/>
      <c r="D45" s="142">
        <f>B23/Balance!B24</f>
        <v>4.3125952416747805E-2</v>
      </c>
      <c r="E45" s="142">
        <f>D23/Balance!C24</f>
        <v>7.2329643982146571E-2</v>
      </c>
      <c r="F45" s="142">
        <f>F23/Balance!D24</f>
        <v>0.1180098623385387</v>
      </c>
      <c r="G45" s="119"/>
      <c r="H45" s="111"/>
      <c r="I45" s="409"/>
    </row>
    <row r="46" spans="2:9" ht="17" thickBot="1" x14ac:dyDescent="0.25">
      <c r="B46" s="674" t="s">
        <v>69</v>
      </c>
      <c r="C46" s="675"/>
      <c r="D46" s="142">
        <f>B21/Balance!B18</f>
        <v>5.7501273775495389E-2</v>
      </c>
      <c r="E46" s="142">
        <f>D21/Balance!C18</f>
        <v>9.4471657736645925E-2</v>
      </c>
      <c r="F46" s="142">
        <f>F21/Balance!D18</f>
        <v>0.15400570624327159</v>
      </c>
      <c r="G46" s="119"/>
      <c r="H46" s="111"/>
      <c r="I46" s="409"/>
    </row>
    <row r="47" spans="2:9" ht="17" thickBot="1" x14ac:dyDescent="0.25">
      <c r="B47" s="674" t="s">
        <v>70</v>
      </c>
      <c r="C47" s="675"/>
      <c r="D47" s="142">
        <f>D45/D46</f>
        <v>0.74999994930766667</v>
      </c>
      <c r="E47" s="142">
        <f t="shared" ref="E47:H54" si="11">E45/E46</f>
        <v>0.76562268213580442</v>
      </c>
      <c r="F47" s="142">
        <f t="shared" si="11"/>
        <v>0.76626941440810725</v>
      </c>
      <c r="G47" s="119"/>
      <c r="H47" s="111"/>
      <c r="I47" s="409"/>
    </row>
    <row r="48" spans="2:9" x14ac:dyDescent="0.2">
      <c r="B48" s="147"/>
      <c r="C48" s="119"/>
      <c r="D48" s="111"/>
      <c r="E48" s="119"/>
      <c r="F48" s="111"/>
      <c r="G48" s="119"/>
      <c r="H48" s="111"/>
      <c r="I48" s="409"/>
    </row>
    <row r="49" spans="2:9" x14ac:dyDescent="0.2">
      <c r="B49" s="147"/>
      <c r="C49" s="119"/>
      <c r="D49" s="111"/>
      <c r="E49" s="119"/>
      <c r="F49" s="111"/>
      <c r="G49" s="119"/>
      <c r="H49" s="111"/>
      <c r="I49" s="409"/>
    </row>
    <row r="50" spans="2:9" ht="17" thickBot="1" x14ac:dyDescent="0.25">
      <c r="B50" s="148"/>
      <c r="C50" s="405"/>
      <c r="D50" s="149"/>
      <c r="E50" s="405"/>
      <c r="F50" s="149"/>
      <c r="G50" s="119"/>
      <c r="H50" s="111"/>
      <c r="I50" s="409"/>
    </row>
    <row r="51" spans="2:9" ht="17" thickBot="1" x14ac:dyDescent="0.25">
      <c r="G51" s="407" t="s">
        <v>292</v>
      </c>
      <c r="H51" s="151" t="s">
        <v>293</v>
      </c>
      <c r="I51" s="409"/>
    </row>
    <row r="52" spans="2:9" ht="17" thickBot="1" x14ac:dyDescent="0.25">
      <c r="G52" s="142">
        <f>H23/Balance!E24</f>
        <v>0.14466715739452013</v>
      </c>
      <c r="H52" s="142">
        <f>J23/Balance!F24</f>
        <v>0.15057591119073752</v>
      </c>
      <c r="I52" s="409"/>
    </row>
    <row r="53" spans="2:9" ht="17" thickBot="1" x14ac:dyDescent="0.25">
      <c r="G53" s="142">
        <f>H21/Balance!E18</f>
        <v>0.18876370281645366</v>
      </c>
      <c r="H53" s="142">
        <f>J21/Balance!F18</f>
        <v>0.19656322978207705</v>
      </c>
      <c r="I53" s="409"/>
    </row>
    <row r="54" spans="2:9" ht="17" thickBot="1" x14ac:dyDescent="0.25">
      <c r="G54" s="142">
        <f t="shared" si="11"/>
        <v>0.76639287763489539</v>
      </c>
      <c r="H54" s="142">
        <f t="shared" si="11"/>
        <v>0.76604312697586363</v>
      </c>
      <c r="I54" s="409"/>
    </row>
    <row r="55" spans="2:9" x14ac:dyDescent="0.2">
      <c r="G55" s="119"/>
      <c r="H55" s="111"/>
      <c r="I55" s="409"/>
    </row>
    <row r="56" spans="2:9" x14ac:dyDescent="0.2">
      <c r="G56" s="119"/>
      <c r="H56" s="111"/>
      <c r="I56" s="409"/>
    </row>
    <row r="57" spans="2:9" x14ac:dyDescent="0.2">
      <c r="G57" s="405"/>
      <c r="H57" s="149"/>
      <c r="I57" s="410"/>
    </row>
  </sheetData>
  <mergeCells count="3">
    <mergeCell ref="B45:C45"/>
    <mergeCell ref="B46:C46"/>
    <mergeCell ref="B47:C47"/>
  </mergeCells>
  <phoneticPr fontId="3" type="noConversion"/>
  <pageMargins left="0.75" right="0.75" top="1" bottom="1" header="0.5" footer="0.5"/>
  <ignoredErrors>
    <ignoredError sqref="H11 E15:E20 I22:I23 C6 E6 G6 I6:J6 E8 G8 I8 G10 I10 J11 G12 I12 C15:C16 G15:G19 I15:I18 K16:K18 C19 D20 F20 H20 J20 C22:E22 F22:G22 H22 J22 E23 G23 I19 K19 B22 C23 B20 F11 C17:C18" formula="1"/>
    <ignoredError sqref="B41" evalError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="140" zoomScaleNormal="140" zoomScalePageLayoutView="140" workbookViewId="0">
      <selection activeCell="I33" sqref="I33"/>
    </sheetView>
  </sheetViews>
  <sheetFormatPr baseColWidth="10" defaultColWidth="10.5" defaultRowHeight="16" x14ac:dyDescent="0.2"/>
  <cols>
    <col min="1" max="1" width="30.83203125" style="7" customWidth="1"/>
    <col min="2" max="7" width="17" style="7" customWidth="1"/>
    <col min="8" max="8" width="13.83203125" style="7" customWidth="1"/>
    <col min="9" max="9" width="10.5" style="7"/>
    <col min="10" max="10" width="13.83203125" style="7" customWidth="1"/>
    <col min="11" max="11" width="10.5" style="7"/>
    <col min="12" max="12" width="13.83203125" style="7" customWidth="1"/>
    <col min="13" max="16384" width="10.5" style="7"/>
  </cols>
  <sheetData>
    <row r="1" spans="1:16" x14ac:dyDescent="0.2">
      <c r="A1" s="19" t="s">
        <v>477</v>
      </c>
      <c r="B1" s="19">
        <v>60</v>
      </c>
      <c r="C1" s="19"/>
      <c r="D1" s="19"/>
      <c r="E1" s="19"/>
      <c r="F1" s="19"/>
      <c r="G1" s="19"/>
      <c r="H1" s="2"/>
      <c r="I1" s="3"/>
      <c r="J1" s="2"/>
      <c r="K1" s="3"/>
      <c r="L1" s="2"/>
      <c r="M1" s="3"/>
    </row>
    <row r="2" spans="1:16" x14ac:dyDescent="0.2">
      <c r="A2" s="19" t="s">
        <v>478</v>
      </c>
      <c r="B2" s="19">
        <v>30</v>
      </c>
      <c r="C2" s="19"/>
      <c r="D2" s="19"/>
      <c r="E2" s="19"/>
      <c r="F2" s="19"/>
      <c r="G2" s="19"/>
    </row>
    <row r="3" spans="1:16" x14ac:dyDescent="0.2">
      <c r="A3" s="19" t="s">
        <v>479</v>
      </c>
      <c r="B3" s="19">
        <v>15</v>
      </c>
      <c r="C3" s="19"/>
      <c r="D3" s="19"/>
      <c r="E3" s="19"/>
      <c r="F3" s="19"/>
      <c r="G3" s="19"/>
      <c r="H3" s="8"/>
      <c r="I3" s="20"/>
      <c r="J3" s="8"/>
      <c r="K3" s="20"/>
      <c r="L3" s="8"/>
      <c r="M3" s="21"/>
    </row>
    <row r="4" spans="1:16" x14ac:dyDescent="0.2">
      <c r="A4" s="19"/>
      <c r="B4" s="19"/>
      <c r="C4" s="19"/>
      <c r="D4" s="19"/>
      <c r="E4" s="19"/>
      <c r="F4" s="19"/>
      <c r="G4" s="19"/>
      <c r="H4" s="8"/>
      <c r="I4" s="20"/>
      <c r="J4" s="8"/>
      <c r="K4" s="20"/>
      <c r="L4" s="8"/>
      <c r="M4" s="21"/>
    </row>
    <row r="5" spans="1:16" x14ac:dyDescent="0.2">
      <c r="A5" s="19"/>
      <c r="B5" s="19"/>
      <c r="C5" s="19"/>
      <c r="D5" s="19"/>
      <c r="E5" s="19"/>
      <c r="F5" s="19"/>
      <c r="G5" s="19"/>
      <c r="H5" s="8"/>
      <c r="I5" s="20"/>
      <c r="J5" s="8"/>
      <c r="K5" s="20"/>
      <c r="L5" s="8"/>
      <c r="M5" s="21"/>
    </row>
    <row r="6" spans="1:16" x14ac:dyDescent="0.2">
      <c r="A6" s="459"/>
      <c r="B6" s="36" t="s">
        <v>71</v>
      </c>
      <c r="C6" s="34" t="s">
        <v>289</v>
      </c>
      <c r="D6" s="34" t="s">
        <v>290</v>
      </c>
      <c r="E6" s="34" t="s">
        <v>291</v>
      </c>
      <c r="F6" s="34" t="s">
        <v>292</v>
      </c>
      <c r="G6" s="36" t="s">
        <v>293</v>
      </c>
      <c r="H6" s="8"/>
      <c r="I6" s="20"/>
      <c r="J6" s="8"/>
      <c r="K6" s="20"/>
      <c r="L6" s="8"/>
      <c r="M6" s="21"/>
    </row>
    <row r="7" spans="1:16" x14ac:dyDescent="0.2">
      <c r="A7" s="460" t="s">
        <v>72</v>
      </c>
      <c r="B7" s="23"/>
      <c r="C7" s="23"/>
      <c r="D7" s="23"/>
      <c r="E7" s="23"/>
      <c r="F7" s="23"/>
      <c r="G7" s="22"/>
      <c r="H7" s="5"/>
      <c r="I7" s="24"/>
      <c r="J7" s="5"/>
      <c r="K7" s="24"/>
      <c r="L7" s="5"/>
      <c r="M7" s="6"/>
    </row>
    <row r="8" spans="1:16" x14ac:dyDescent="0.2">
      <c r="A8" s="25" t="s">
        <v>73</v>
      </c>
      <c r="B8" s="26"/>
      <c r="C8" s="23"/>
      <c r="D8" s="23"/>
      <c r="E8" s="23"/>
      <c r="F8" s="23"/>
      <c r="G8" s="22"/>
      <c r="I8" s="20"/>
      <c r="K8" s="20"/>
      <c r="M8" s="21"/>
    </row>
    <row r="9" spans="1:16" x14ac:dyDescent="0.2">
      <c r="A9" s="27" t="s">
        <v>74</v>
      </c>
      <c r="B9" s="28">
        <f>Operaciones!C23+Operaciones!C24+Operaciones!C31+Operaciones!C38</f>
        <v>2219902.0796562871</v>
      </c>
      <c r="C9" s="28">
        <f>B9</f>
        <v>2219902.0796562871</v>
      </c>
      <c r="D9" s="28">
        <f>C9</f>
        <v>2219902.0796562871</v>
      </c>
      <c r="E9" s="28">
        <f>D9</f>
        <v>2219902.0796562871</v>
      </c>
      <c r="F9" s="28">
        <f>E9</f>
        <v>2219902.0796562871</v>
      </c>
      <c r="G9" s="37">
        <f>F9</f>
        <v>2219902.0796562871</v>
      </c>
      <c r="H9" s="8"/>
      <c r="I9" s="20"/>
      <c r="J9" s="8"/>
      <c r="K9" s="20"/>
      <c r="L9" s="8"/>
      <c r="M9" s="21"/>
    </row>
    <row r="10" spans="1:16" x14ac:dyDescent="0.2">
      <c r="A10" s="27" t="s">
        <v>75</v>
      </c>
      <c r="B10" s="29">
        <v>0</v>
      </c>
      <c r="C10" s="35">
        <f>'Perdidas&amp;Ganancias'!B20</f>
        <v>-119719.36207461945</v>
      </c>
      <c r="D10" s="35">
        <f>C10+'Perdidas&amp;Ganancias'!D20</f>
        <v>-239438.7241492389</v>
      </c>
      <c r="E10" s="35">
        <f>D10+'Perdidas&amp;Ganancias'!F20</f>
        <v>-359158.08622385835</v>
      </c>
      <c r="F10" s="35">
        <f>E10+'Perdidas&amp;Ganancias'!H20</f>
        <v>-478877.4482984778</v>
      </c>
      <c r="G10" s="38">
        <f>F10+'Perdidas&amp;Ganancias'!J20</f>
        <v>-598596.81037309719</v>
      </c>
      <c r="H10" s="8"/>
      <c r="I10" s="20"/>
      <c r="J10" s="8"/>
      <c r="K10" s="20"/>
      <c r="L10" s="8"/>
      <c r="M10" s="21"/>
    </row>
    <row r="11" spans="1:16" x14ac:dyDescent="0.2">
      <c r="A11" s="30" t="s">
        <v>76</v>
      </c>
      <c r="B11" s="31">
        <f>SUM(B9:B10)</f>
        <v>2219902.0796562871</v>
      </c>
      <c r="C11" s="31">
        <f>C9+C10</f>
        <v>2100182.7175816675</v>
      </c>
      <c r="D11" s="31">
        <f>D9+D10</f>
        <v>1980463.3555070483</v>
      </c>
      <c r="E11" s="31">
        <f>E9+E10</f>
        <v>1860743.9934324287</v>
      </c>
      <c r="F11" s="31">
        <f>F9+F10</f>
        <v>1741024.6313578093</v>
      </c>
      <c r="G11" s="39">
        <f>G9+G10</f>
        <v>1621305.2692831899</v>
      </c>
      <c r="H11" s="8"/>
      <c r="I11" s="20"/>
      <c r="J11" s="8"/>
      <c r="K11" s="20"/>
      <c r="L11" s="8"/>
      <c r="M11" s="21"/>
    </row>
    <row r="12" spans="1:16" x14ac:dyDescent="0.2">
      <c r="A12" s="27"/>
      <c r="B12" s="23"/>
      <c r="C12" s="23"/>
      <c r="D12" s="23"/>
      <c r="E12" s="23"/>
      <c r="F12" s="23"/>
      <c r="G12" s="22"/>
      <c r="H12" s="5"/>
      <c r="I12" s="24"/>
      <c r="J12" s="5"/>
      <c r="K12" s="24"/>
      <c r="L12" s="5"/>
      <c r="M12" s="6"/>
    </row>
    <row r="13" spans="1:16" x14ac:dyDescent="0.2">
      <c r="A13" s="25" t="s">
        <v>77</v>
      </c>
      <c r="B13" s="23"/>
      <c r="C13" s="23"/>
      <c r="D13" s="23"/>
      <c r="E13" s="23"/>
      <c r="F13" s="23"/>
      <c r="G13" s="22"/>
      <c r="H13" s="5"/>
      <c r="I13" s="24"/>
      <c r="J13" s="5"/>
      <c r="K13" s="24"/>
      <c r="L13" s="5"/>
      <c r="M13" s="6"/>
      <c r="P13" s="7" t="s">
        <v>78</v>
      </c>
    </row>
    <row r="14" spans="1:16" x14ac:dyDescent="0.2">
      <c r="A14" s="27" t="s">
        <v>79</v>
      </c>
      <c r="B14" s="28">
        <v>174485</v>
      </c>
      <c r="C14" s="28">
        <v>224024</v>
      </c>
      <c r="D14" s="28">
        <v>497040</v>
      </c>
      <c r="E14" s="28">
        <v>890639</v>
      </c>
      <c r="F14" s="28">
        <v>1404621</v>
      </c>
      <c r="G14" s="37">
        <v>2008903</v>
      </c>
      <c r="I14" s="20"/>
      <c r="K14" s="20"/>
    </row>
    <row r="15" spans="1:16" x14ac:dyDescent="0.2">
      <c r="A15" s="27" t="s">
        <v>80</v>
      </c>
      <c r="B15" s="28">
        <v>0</v>
      </c>
      <c r="C15" s="28">
        <f>(-'Perdidas&amp;Ganancias'!B16/360)*Operaciones!$C$46</f>
        <v>26013.482538898144</v>
      </c>
      <c r="D15" s="28">
        <f>(-'Perdidas&amp;Ganancias'!D16/360*Operaciones!$C$46)</f>
        <v>29049.742650441302</v>
      </c>
      <c r="E15" s="28">
        <f>(-'Perdidas&amp;Ganancias'!F16/360*Operaciones!$C$46)</f>
        <v>32724.33981927955</v>
      </c>
      <c r="F15" s="28">
        <f>(-'Perdidas&amp;Ganancias'!H16/360*Operaciones!$C$46)</f>
        <v>36659.260298307294</v>
      </c>
      <c r="G15" s="37">
        <f>(-'Perdidas&amp;Ganancias'!J16/360*Operaciones!$C$46)</f>
        <v>40660.366623861424</v>
      </c>
      <c r="H15" s="8"/>
      <c r="I15" s="20"/>
      <c r="J15" s="8"/>
      <c r="K15" s="20"/>
      <c r="L15" s="8"/>
      <c r="M15" s="21"/>
    </row>
    <row r="16" spans="1:16" x14ac:dyDescent="0.2">
      <c r="A16" s="27" t="s">
        <v>81</v>
      </c>
      <c r="B16" s="29">
        <v>0</v>
      </c>
      <c r="C16" s="28">
        <f>('Perdidas&amp;Ganancias'!B6/360)*Operaciones!$C$45</f>
        <v>199453.875</v>
      </c>
      <c r="D16" s="28">
        <f>('Perdidas&amp;Ganancias'!D6/360)*Operaciones!$C$45</f>
        <v>229847.52037500002</v>
      </c>
      <c r="E16" s="28">
        <f>('Perdidas&amp;Ganancias'!F6/360)*Operaciones!$C$45</f>
        <v>275708.47125982505</v>
      </c>
      <c r="F16" s="28">
        <f>('Perdidas&amp;Ganancias'!H6/360)*Operaciones!$C$45</f>
        <v>318567.38173831627</v>
      </c>
      <c r="G16" s="37">
        <f>('Perdidas&amp;Ganancias'!J6/360)*Operaciones!$C$45</f>
        <v>354112.84209337097</v>
      </c>
      <c r="H16" s="8"/>
      <c r="I16" s="20"/>
      <c r="J16" s="8"/>
      <c r="K16" s="20"/>
      <c r="L16" s="8"/>
      <c r="M16" s="21"/>
    </row>
    <row r="17" spans="1:16" x14ac:dyDescent="0.2">
      <c r="A17" s="30" t="s">
        <v>82</v>
      </c>
      <c r="B17" s="31">
        <f>SUM(B14:B16)</f>
        <v>174485</v>
      </c>
      <c r="C17" s="31">
        <f>SUM(C14:C16)</f>
        <v>449491.35753889813</v>
      </c>
      <c r="D17" s="31">
        <f t="shared" ref="D17:G17" si="0">SUM(D14:D16)</f>
        <v>755937.26302544144</v>
      </c>
      <c r="E17" s="31">
        <f t="shared" si="0"/>
        <v>1199071.8110791044</v>
      </c>
      <c r="F17" s="31">
        <f t="shared" si="0"/>
        <v>1759847.6420366236</v>
      </c>
      <c r="G17" s="39">
        <f t="shared" si="0"/>
        <v>2403676.2087172326</v>
      </c>
      <c r="H17" s="8"/>
      <c r="I17" s="20"/>
      <c r="J17" s="8">
        <f>C18-C16-C15-C11</f>
        <v>224024</v>
      </c>
      <c r="K17" s="20"/>
      <c r="L17" s="8"/>
      <c r="M17" s="21"/>
    </row>
    <row r="18" spans="1:16" x14ac:dyDescent="0.2">
      <c r="A18" s="32" t="s">
        <v>83</v>
      </c>
      <c r="B18" s="33">
        <f>B11+B17</f>
        <v>2394387.0796562871</v>
      </c>
      <c r="C18" s="33">
        <f>C11+C17</f>
        <v>2549674.0751205655</v>
      </c>
      <c r="D18" s="33">
        <f>D17+D11</f>
        <v>2736400.61853249</v>
      </c>
      <c r="E18" s="33">
        <f t="shared" ref="E18:G18" si="1">E17+E11</f>
        <v>3059815.8045115331</v>
      </c>
      <c r="F18" s="33">
        <f t="shared" si="1"/>
        <v>3500872.2733944329</v>
      </c>
      <c r="G18" s="40">
        <f t="shared" si="1"/>
        <v>4024981.4780004225</v>
      </c>
      <c r="H18" s="5"/>
      <c r="I18" s="24"/>
      <c r="J18" s="5"/>
      <c r="K18" s="24"/>
      <c r="L18" s="5"/>
      <c r="M18" s="6"/>
    </row>
    <row r="19" spans="1:16" x14ac:dyDescent="0.2">
      <c r="A19" s="27"/>
      <c r="B19" s="23"/>
      <c r="C19" s="28"/>
      <c r="D19" s="28"/>
      <c r="E19" s="23"/>
      <c r="F19" s="23"/>
      <c r="G19" s="22"/>
      <c r="I19" s="20"/>
      <c r="K19" s="20"/>
      <c r="M19" s="21"/>
    </row>
    <row r="20" spans="1:16" x14ac:dyDescent="0.2">
      <c r="A20" s="30" t="s">
        <v>84</v>
      </c>
      <c r="B20" s="23"/>
      <c r="C20" s="23"/>
      <c r="D20" s="23"/>
      <c r="E20" s="23"/>
      <c r="F20" s="23"/>
      <c r="G20" s="22"/>
      <c r="H20" s="8"/>
      <c r="I20" s="20"/>
      <c r="J20" s="8"/>
      <c r="K20" s="20"/>
      <c r="L20" s="8"/>
      <c r="M20" s="21"/>
      <c r="P20" s="7" t="s">
        <v>85</v>
      </c>
    </row>
    <row r="21" spans="1:16" x14ac:dyDescent="0.2">
      <c r="A21" s="25" t="s">
        <v>86</v>
      </c>
      <c r="B21" s="28">
        <f>Operaciones!C39</f>
        <v>2394387.2414923888</v>
      </c>
      <c r="C21" s="28">
        <f>B21</f>
        <v>2394387.2414923888</v>
      </c>
      <c r="D21" s="28">
        <f>C21</f>
        <v>2394387.2414923888</v>
      </c>
      <c r="E21" s="28">
        <f>D21</f>
        <v>2394387.2414923888</v>
      </c>
      <c r="F21" s="28">
        <f>E21</f>
        <v>2394387.2414923888</v>
      </c>
      <c r="G21" s="37">
        <f>F21</f>
        <v>2394387.2414923888</v>
      </c>
      <c r="H21" s="5"/>
      <c r="I21" s="24"/>
      <c r="J21" s="5"/>
      <c r="K21" s="24"/>
      <c r="L21" s="5"/>
      <c r="M21" s="6"/>
      <c r="P21" s="7" t="s">
        <v>87</v>
      </c>
    </row>
    <row r="22" spans="1:16" x14ac:dyDescent="0.2">
      <c r="A22" s="27" t="s">
        <v>88</v>
      </c>
      <c r="B22" s="29">
        <v>0</v>
      </c>
      <c r="C22" s="29">
        <v>0</v>
      </c>
      <c r="D22" s="390">
        <f>C23+C22</f>
        <v>103260.23024386879</v>
      </c>
      <c r="E22" s="28">
        <f>D22+D23</f>
        <v>283914.18266746076</v>
      </c>
      <c r="F22" s="28">
        <f>E23+E22</f>
        <v>599980.16503367678</v>
      </c>
      <c r="G22" s="37">
        <f>F23+F22</f>
        <v>1033166.7859306041</v>
      </c>
      <c r="I22" s="20"/>
      <c r="K22" s="20"/>
      <c r="M22" s="21"/>
    </row>
    <row r="23" spans="1:16" x14ac:dyDescent="0.2">
      <c r="A23" s="27" t="s">
        <v>89</v>
      </c>
      <c r="B23" s="29">
        <v>0</v>
      </c>
      <c r="C23" s="28">
        <f>'Perdidas&amp;Ganancias'!B23</f>
        <v>103260.23024386879</v>
      </c>
      <c r="D23" s="28">
        <f>'Perdidas&amp;Ganancias'!D23</f>
        <v>180653.95242359198</v>
      </c>
      <c r="E23" s="28">
        <f>'Perdidas&amp;Ganancias'!F23</f>
        <v>316065.98236621602</v>
      </c>
      <c r="F23" s="28">
        <f>'Perdidas&amp;Ganancias'!H23</f>
        <v>433186.62089692731</v>
      </c>
      <c r="G23" s="28">
        <f>'Perdidas&amp;Ganancias'!J23</f>
        <v>516107.07083469926</v>
      </c>
      <c r="I23" s="20"/>
      <c r="K23" s="20"/>
      <c r="M23" s="21"/>
    </row>
    <row r="24" spans="1:16" x14ac:dyDescent="0.2">
      <c r="A24" s="30" t="s">
        <v>90</v>
      </c>
      <c r="B24" s="31">
        <f>SUM(B21:B23)</f>
        <v>2394387.2414923888</v>
      </c>
      <c r="C24" s="31">
        <f>SUM(C21:C23)</f>
        <v>2497647.4717362574</v>
      </c>
      <c r="D24" s="31">
        <f t="shared" ref="D24:G24" si="2">SUM(D21:D23)</f>
        <v>2678301.4241598495</v>
      </c>
      <c r="E24" s="31">
        <f t="shared" si="2"/>
        <v>2994367.4065260654</v>
      </c>
      <c r="F24" s="31">
        <f t="shared" si="2"/>
        <v>3427554.0274229925</v>
      </c>
      <c r="G24" s="39">
        <f t="shared" si="2"/>
        <v>3943661.0982576921</v>
      </c>
      <c r="H24" s="8"/>
      <c r="I24" s="20"/>
      <c r="J24" s="8"/>
      <c r="K24" s="20"/>
      <c r="L24" s="8"/>
      <c r="M24" s="21"/>
    </row>
    <row r="25" spans="1:16" x14ac:dyDescent="0.2">
      <c r="A25" s="27"/>
      <c r="B25" s="23"/>
      <c r="C25" s="23"/>
      <c r="D25" s="23"/>
      <c r="E25" s="23"/>
      <c r="F25" s="23"/>
      <c r="G25" s="22"/>
      <c r="H25" s="8"/>
      <c r="I25" s="20"/>
      <c r="J25" s="8"/>
      <c r="K25" s="20"/>
      <c r="L25" s="8"/>
      <c r="M25" s="21"/>
    </row>
    <row r="26" spans="1:16" x14ac:dyDescent="0.2">
      <c r="A26" s="25" t="s">
        <v>91</v>
      </c>
      <c r="B26" s="23"/>
      <c r="C26" s="23"/>
      <c r="D26" s="23"/>
      <c r="E26" s="23"/>
      <c r="F26" s="23"/>
      <c r="G26" s="22"/>
      <c r="H26" s="8"/>
      <c r="I26" s="20"/>
      <c r="J26" s="8"/>
      <c r="K26" s="20"/>
      <c r="L26" s="8"/>
      <c r="M26" s="21"/>
    </row>
    <row r="27" spans="1:16" x14ac:dyDescent="0.2">
      <c r="A27" s="27" t="s">
        <v>92</v>
      </c>
      <c r="B27" s="29">
        <v>0</v>
      </c>
      <c r="C27" s="28">
        <f>Operaciones!$C$47/360*-'Perdidas&amp;Ganancias'!B16/'Perdidas&amp;Ganancias'!B6*'Perdidas&amp;Ganancias'!B6</f>
        <v>52026.965077796289</v>
      </c>
      <c r="D27" s="28">
        <f>Operaciones!$C$47/360*-'Perdidas&amp;Ganancias'!D16/'Perdidas&amp;Ganancias'!D6*'Perdidas&amp;Ganancias'!D6</f>
        <v>58099.48530088261</v>
      </c>
      <c r="E27" s="28">
        <f>Operaciones!$C$47/360*-'Perdidas&amp;Ganancias'!F16/'Perdidas&amp;Ganancias'!F6*'Perdidas&amp;Ganancias'!F6</f>
        <v>65448.679638559101</v>
      </c>
      <c r="F27" s="28">
        <f>Operaciones!$C$47/360*-'Perdidas&amp;Ganancias'!H16/'Perdidas&amp;Ganancias'!H6*'Perdidas&amp;Ganancias'!H6</f>
        <v>73318.520596614588</v>
      </c>
      <c r="G27" s="37">
        <f>Operaciones!$C$47/360*-'Perdidas&amp;Ganancias'!J16/'Perdidas&amp;Ganancias'!J6*'Perdidas&amp;Ganancias'!J6</f>
        <v>81320.733247722848</v>
      </c>
      <c r="H27" s="8"/>
      <c r="I27" s="20"/>
      <c r="J27" s="8"/>
      <c r="K27" s="20"/>
      <c r="L27" s="8"/>
      <c r="M27" s="21"/>
    </row>
    <row r="28" spans="1:16" x14ac:dyDescent="0.2">
      <c r="A28" s="30" t="s">
        <v>93</v>
      </c>
      <c r="B28" s="31">
        <v>0</v>
      </c>
      <c r="C28" s="31">
        <f>C27</f>
        <v>52026.965077796289</v>
      </c>
      <c r="D28" s="31">
        <f t="shared" ref="D28:G28" si="3">D27</f>
        <v>58099.48530088261</v>
      </c>
      <c r="E28" s="31">
        <f t="shared" si="3"/>
        <v>65448.679638559101</v>
      </c>
      <c r="F28" s="31">
        <f t="shared" si="3"/>
        <v>73318.520596614588</v>
      </c>
      <c r="G28" s="39">
        <f t="shared" si="3"/>
        <v>81320.733247722848</v>
      </c>
      <c r="H28" s="5"/>
      <c r="I28" s="24"/>
      <c r="J28" s="5"/>
      <c r="K28" s="24"/>
      <c r="L28" s="5"/>
      <c r="M28" s="6"/>
    </row>
    <row r="29" spans="1:16" x14ac:dyDescent="0.2">
      <c r="A29" s="32" t="s">
        <v>94</v>
      </c>
      <c r="B29" s="33">
        <f>B28+B24</f>
        <v>2394387.2414923888</v>
      </c>
      <c r="C29" s="33">
        <f>C28+C24</f>
        <v>2549674.4368140539</v>
      </c>
      <c r="D29" s="33">
        <f t="shared" ref="D29:G29" si="4">D28+D24</f>
        <v>2736400.9094607322</v>
      </c>
      <c r="E29" s="33">
        <f t="shared" si="4"/>
        <v>3059816.0861646244</v>
      </c>
      <c r="F29" s="33">
        <f t="shared" si="4"/>
        <v>3500872.5480196071</v>
      </c>
      <c r="G29" s="40">
        <f t="shared" si="4"/>
        <v>4024981.831505415</v>
      </c>
      <c r="I29" s="20"/>
      <c r="K29" s="20"/>
      <c r="M29" s="21"/>
    </row>
    <row r="30" spans="1:16" x14ac:dyDescent="0.2">
      <c r="A30" s="4"/>
      <c r="B30" s="5"/>
      <c r="C30" s="24"/>
      <c r="D30" s="5"/>
      <c r="E30" s="24"/>
      <c r="F30" s="5"/>
      <c r="G30" s="24"/>
      <c r="H30" s="5"/>
      <c r="I30" s="24"/>
      <c r="J30" s="5"/>
      <c r="K30" s="24"/>
      <c r="L30" s="5"/>
      <c r="M30" s="6"/>
    </row>
    <row r="31" spans="1:16" x14ac:dyDescent="0.2">
      <c r="C31" s="41"/>
    </row>
    <row r="32" spans="1:16" x14ac:dyDescent="0.2">
      <c r="B32" s="41">
        <f>B29-B18</f>
        <v>0.16183610167354345</v>
      </c>
      <c r="C32" s="41">
        <f>C29-C18</f>
        <v>0.3616934884339571</v>
      </c>
      <c r="D32" s="41">
        <f>D29-D18</f>
        <v>0.29092824226245284</v>
      </c>
      <c r="E32" s="41">
        <f t="shared" ref="E32:G32" si="5">E29-E18</f>
        <v>0.28165309131145477</v>
      </c>
      <c r="F32" s="41">
        <f t="shared" si="5"/>
        <v>0.27462517423555255</v>
      </c>
      <c r="G32" s="41">
        <f t="shared" si="5"/>
        <v>0.3535049925558269</v>
      </c>
    </row>
    <row r="35" spans="3:3" x14ac:dyDescent="0.2">
      <c r="C35" s="41"/>
    </row>
  </sheetData>
  <phoneticPr fontId="3" type="noConversion"/>
  <pageMargins left="0.7" right="0.7" top="0.75" bottom="0.75" header="0.3" footer="0.3"/>
  <ignoredErrors>
    <ignoredError sqref="E22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zoomScale="180" zoomScaleNormal="180" zoomScalePageLayoutView="180" workbookViewId="0">
      <selection activeCell="F21" sqref="F21"/>
    </sheetView>
  </sheetViews>
  <sheetFormatPr baseColWidth="10" defaultColWidth="10.5" defaultRowHeight="16" x14ac:dyDescent="0.2"/>
  <cols>
    <col min="1" max="1" width="23.83203125" style="7" customWidth="1"/>
    <col min="2" max="2" width="6.83203125" style="7" customWidth="1"/>
    <col min="3" max="3" width="16.83203125" style="7" customWidth="1"/>
    <col min="4" max="6" width="14.5" style="7" customWidth="1"/>
    <col min="7" max="8" width="14.33203125" style="7" customWidth="1"/>
    <col min="9" max="9" width="25.5" style="7" customWidth="1"/>
    <col min="10" max="10" width="17.5" style="7" customWidth="1"/>
    <col min="11" max="16384" width="10.5" style="7"/>
  </cols>
  <sheetData>
    <row r="1" spans="1:10" x14ac:dyDescent="0.2">
      <c r="A1" s="44"/>
      <c r="B1" s="44"/>
      <c r="C1" s="45" t="s">
        <v>376</v>
      </c>
      <c r="D1" s="45" t="s">
        <v>377</v>
      </c>
      <c r="E1" s="45" t="s">
        <v>378</v>
      </c>
      <c r="F1" s="45" t="s">
        <v>379</v>
      </c>
      <c r="G1" s="45" t="s">
        <v>380</v>
      </c>
      <c r="H1"/>
    </row>
    <row r="2" spans="1:10" x14ac:dyDescent="0.2">
      <c r="A2" s="46" t="s">
        <v>174</v>
      </c>
      <c r="B2" s="46"/>
      <c r="C2" s="47">
        <f>'Perdidas&amp;Ganancias'!B19</f>
        <v>257399.66906644451</v>
      </c>
      <c r="D2" s="47">
        <f>'Perdidas&amp;Ganancias'!D19</f>
        <v>360591.29863940878</v>
      </c>
      <c r="E2" s="47">
        <f>'Perdidas&amp;Ganancias'!F19</f>
        <v>541140.67189624079</v>
      </c>
      <c r="F2" s="47">
        <f>'Perdidas&amp;Ganancias'!H19</f>
        <v>697301.52327052248</v>
      </c>
      <c r="G2" s="47">
        <f>'Perdidas&amp;Ganancias'!J19</f>
        <v>807862.12318755186</v>
      </c>
      <c r="H2"/>
    </row>
    <row r="3" spans="1:10" x14ac:dyDescent="0.2">
      <c r="A3" s="48" t="s">
        <v>176</v>
      </c>
      <c r="B3" s="48"/>
      <c r="C3" s="49">
        <f>'Perdidas&amp;Ganancias'!B20</f>
        <v>-119719.36207461945</v>
      </c>
      <c r="D3" s="49">
        <f>'Perdidas&amp;Ganancias'!D20</f>
        <v>-119719.36207461945</v>
      </c>
      <c r="E3" s="49">
        <f>'Perdidas&amp;Ganancias'!F20</f>
        <v>-119719.36207461945</v>
      </c>
      <c r="F3" s="49">
        <f>'Perdidas&amp;Ganancias'!H20</f>
        <v>-119719.36207461945</v>
      </c>
      <c r="G3" s="49">
        <f>'Perdidas&amp;Ganancias'!J20</f>
        <v>-119719.36207461945</v>
      </c>
      <c r="H3"/>
    </row>
    <row r="4" spans="1:10" x14ac:dyDescent="0.2">
      <c r="A4" s="46" t="s">
        <v>177</v>
      </c>
      <c r="B4" s="46"/>
      <c r="C4" s="47">
        <f>SUM(C2:C3)</f>
        <v>137680.30699182505</v>
      </c>
      <c r="D4" s="47">
        <f>SUM(D2:D3)</f>
        <v>240871.93656478933</v>
      </c>
      <c r="E4" s="47">
        <f>SUM(E2:E3)</f>
        <v>421421.30982162134</v>
      </c>
      <c r="F4" s="47">
        <f>SUM(F2:F3)</f>
        <v>577582.16119590309</v>
      </c>
      <c r="G4" s="47">
        <f>SUM(G2:G3)</f>
        <v>688142.76111293235</v>
      </c>
      <c r="H4"/>
    </row>
    <row r="5" spans="1:10" x14ac:dyDescent="0.2">
      <c r="A5" s="48" t="s">
        <v>95</v>
      </c>
      <c r="B5" s="48"/>
      <c r="C5" s="50">
        <f>-C4*0.25</f>
        <v>-34420.076747956264</v>
      </c>
      <c r="D5" s="50">
        <f>-D4*0.25</f>
        <v>-60217.984141197332</v>
      </c>
      <c r="E5" s="50">
        <f>-E4*0.25</f>
        <v>-105355.32745540534</v>
      </c>
      <c r="F5" s="50">
        <f>-F4*0.25</f>
        <v>-144395.54029897577</v>
      </c>
      <c r="G5" s="50">
        <f>-G4*0.25</f>
        <v>-172035.69027823309</v>
      </c>
      <c r="H5"/>
      <c r="I5" s="42" t="s">
        <v>96</v>
      </c>
      <c r="J5" s="43">
        <v>0.02</v>
      </c>
    </row>
    <row r="6" spans="1:10" x14ac:dyDescent="0.2">
      <c r="A6" s="46" t="s">
        <v>51</v>
      </c>
      <c r="B6" s="46"/>
      <c r="C6" s="47">
        <f>SUM(C4:C5)</f>
        <v>103260.23024386879</v>
      </c>
      <c r="D6" s="47">
        <f>SUM(D4:D5)</f>
        <v>180653.95242359198</v>
      </c>
      <c r="E6" s="47">
        <f>SUM(E4:E5)</f>
        <v>316065.98236621602</v>
      </c>
      <c r="F6" s="47">
        <f>SUM(F4:F5)</f>
        <v>433186.62089692731</v>
      </c>
      <c r="G6" s="47">
        <f>SUM(G4:G5)</f>
        <v>516107.07083469926</v>
      </c>
      <c r="H6"/>
      <c r="I6" s="42" t="s">
        <v>97</v>
      </c>
      <c r="J6" s="43">
        <v>0</v>
      </c>
    </row>
    <row r="7" spans="1:10" x14ac:dyDescent="0.2">
      <c r="A7" s="48" t="s">
        <v>176</v>
      </c>
      <c r="B7" s="48"/>
      <c r="C7" s="50">
        <f t="shared" ref="C7:G7" si="0">-C3</f>
        <v>119719.36207461945</v>
      </c>
      <c r="D7" s="50">
        <f t="shared" si="0"/>
        <v>119719.36207461945</v>
      </c>
      <c r="E7" s="50">
        <f t="shared" si="0"/>
        <v>119719.36207461945</v>
      </c>
      <c r="F7" s="50">
        <f t="shared" si="0"/>
        <v>119719.36207461945</v>
      </c>
      <c r="G7" s="50">
        <f t="shared" si="0"/>
        <v>119719.36207461945</v>
      </c>
      <c r="H7"/>
      <c r="I7" s="42" t="s">
        <v>98</v>
      </c>
      <c r="J7" s="43">
        <v>1</v>
      </c>
    </row>
    <row r="8" spans="1:10" x14ac:dyDescent="0.2">
      <c r="A8" s="46" t="s">
        <v>99</v>
      </c>
      <c r="B8" s="46"/>
      <c r="C8" s="47">
        <f>C6+C7</f>
        <v>222979.59231848823</v>
      </c>
      <c r="D8" s="47">
        <f t="shared" ref="D8:F8" si="1">D6+D7</f>
        <v>300373.31449821143</v>
      </c>
      <c r="E8" s="47">
        <f t="shared" si="1"/>
        <v>435785.34444083547</v>
      </c>
      <c r="F8" s="47">
        <f t="shared" si="1"/>
        <v>552905.98297154671</v>
      </c>
      <c r="G8" s="47">
        <f>G6+G7</f>
        <v>635826.43290931871</v>
      </c>
      <c r="H8"/>
      <c r="I8" s="42" t="s">
        <v>100</v>
      </c>
      <c r="J8" s="51">
        <v>0.13</v>
      </c>
    </row>
    <row r="9" spans="1:10" x14ac:dyDescent="0.2">
      <c r="A9" s="48" t="s">
        <v>101</v>
      </c>
      <c r="B9" s="48"/>
      <c r="C9" s="50">
        <f>-Operaciones!E48-0</f>
        <v>-174485.16183610185</v>
      </c>
      <c r="D9" s="50">
        <f>-(Operaciones!F48-Operaciones!E48)</f>
        <v>-29015.122244855331</v>
      </c>
      <c r="E9" s="50">
        <f>-(Operaciones!G48-Operaciones!F48)</f>
        <v>-44146.311038112821</v>
      </c>
      <c r="F9" s="50">
        <f>-(Operaciones!H48-Operaciones!G48)</f>
        <v>-41122.140287196933</v>
      </c>
      <c r="G9" s="50">
        <f>-(Operaciones!I48-Operaciones!H48)</f>
        <v>-33990.898061157903</v>
      </c>
      <c r="H9"/>
      <c r="I9" s="42" t="s">
        <v>102</v>
      </c>
      <c r="J9" s="51">
        <v>0</v>
      </c>
    </row>
    <row r="10" spans="1:10" x14ac:dyDescent="0.2">
      <c r="A10" s="48" t="s">
        <v>103</v>
      </c>
      <c r="B10" s="48"/>
      <c r="C10" s="50">
        <f>Balance!C11-Balance!B11-C3</f>
        <v>-1.7462298274040222E-10</v>
      </c>
      <c r="D10" s="50">
        <f>Balance!D11-Balance!C11-D3</f>
        <v>2.9103830456733704E-10</v>
      </c>
      <c r="E10" s="50">
        <f>Balance!E11-Balance!D11-E3</f>
        <v>-1.7462298274040222E-10</v>
      </c>
      <c r="F10" s="50">
        <f>Balance!F11-Balance!E11-F3</f>
        <v>0</v>
      </c>
      <c r="G10" s="50">
        <f>Balance!G11-Balance!F11-G3</f>
        <v>0</v>
      </c>
      <c r="H10"/>
      <c r="I10" s="42" t="s">
        <v>61</v>
      </c>
      <c r="J10" s="43">
        <v>0.25</v>
      </c>
    </row>
    <row r="11" spans="1:10" x14ac:dyDescent="0.2">
      <c r="A11" s="52" t="s">
        <v>104</v>
      </c>
      <c r="B11" s="53"/>
      <c r="C11" s="54">
        <f>C8+C9+C10</f>
        <v>48494.430482386204</v>
      </c>
      <c r="D11" s="54">
        <f t="shared" ref="D11:G11" si="2">D8+D9+D10</f>
        <v>271358.19225335639</v>
      </c>
      <c r="E11" s="54">
        <f t="shared" si="2"/>
        <v>391639.0334027225</v>
      </c>
      <c r="F11" s="54">
        <f t="shared" si="2"/>
        <v>511783.84268434974</v>
      </c>
      <c r="G11" s="54">
        <f t="shared" si="2"/>
        <v>601835.53484816081</v>
      </c>
      <c r="H11"/>
    </row>
    <row r="12" spans="1:10" x14ac:dyDescent="0.2">
      <c r="A12" s="52" t="s">
        <v>105</v>
      </c>
      <c r="B12" s="111"/>
      <c r="C12" s="111"/>
      <c r="D12" s="111"/>
      <c r="E12" s="111"/>
      <c r="F12" s="111"/>
      <c r="G12" s="57">
        <f>G11*(1+J5)/(C15-J5)</f>
        <v>5580656.7776829461</v>
      </c>
    </row>
    <row r="13" spans="1:10" x14ac:dyDescent="0.2">
      <c r="A13" s="52" t="s">
        <v>106</v>
      </c>
      <c r="B13" s="44"/>
      <c r="C13" s="56">
        <f>C11</f>
        <v>48494.430482386204</v>
      </c>
      <c r="D13" s="56">
        <f>D11</f>
        <v>271358.19225335639</v>
      </c>
      <c r="E13" s="56">
        <f>E11</f>
        <v>391639.0334027225</v>
      </c>
      <c r="F13" s="56">
        <f>F11</f>
        <v>511783.84268434974</v>
      </c>
      <c r="G13" s="56">
        <f>G11+G12</f>
        <v>6182492.3125311071</v>
      </c>
    </row>
    <row r="15" spans="1:10" x14ac:dyDescent="0.2">
      <c r="B15" s="58" t="s">
        <v>107</v>
      </c>
      <c r="C15" s="59">
        <f>(J8*J7)+(J9*J6*(1-J10))</f>
        <v>0.13</v>
      </c>
      <c r="D15" s="41"/>
    </row>
    <row r="16" spans="1:10" x14ac:dyDescent="0.2">
      <c r="B16" s="413" t="s">
        <v>108</v>
      </c>
      <c r="C16" s="416">
        <f>NPV(C15,C13:G13)</f>
        <v>4196349.9362377077</v>
      </c>
    </row>
    <row r="18" spans="2:9" x14ac:dyDescent="0.2">
      <c r="B18" s="413" t="s">
        <v>109</v>
      </c>
      <c r="C18" s="414">
        <f>-Operaciones!C39</f>
        <v>-2394387.2414923888</v>
      </c>
      <c r="D18" s="414">
        <f>C13</f>
        <v>48494.430482386204</v>
      </c>
      <c r="E18" s="414">
        <f>D13</f>
        <v>271358.19225335639</v>
      </c>
      <c r="F18" s="414">
        <f>E13</f>
        <v>391639.0334027225</v>
      </c>
      <c r="G18" s="414">
        <f>F13</f>
        <v>511783.84268434974</v>
      </c>
      <c r="H18" s="414">
        <f>G13</f>
        <v>6182492.3125311071</v>
      </c>
    </row>
    <row r="19" spans="2:9" x14ac:dyDescent="0.2">
      <c r="B19" s="413" t="s">
        <v>110</v>
      </c>
      <c r="C19" s="415">
        <f>IRR(C18:H18)</f>
        <v>0.2783139509831758</v>
      </c>
    </row>
    <row r="20" spans="2:9" x14ac:dyDescent="0.2">
      <c r="E20" s="41">
        <f>D13+E13+F13+G11</f>
        <v>1776616.6031885894</v>
      </c>
    </row>
    <row r="23" spans="2:9" x14ac:dyDescent="0.2">
      <c r="C23" s="41">
        <f>-C18*0.6</f>
        <v>1436632.3448954332</v>
      </c>
      <c r="D23" s="152">
        <v>0.6</v>
      </c>
      <c r="E23" s="7" t="s">
        <v>111</v>
      </c>
      <c r="I23" s="7" t="s">
        <v>480</v>
      </c>
    </row>
    <row r="24" spans="2:9" x14ac:dyDescent="0.2">
      <c r="C24" s="41">
        <f>-C18*0.4</f>
        <v>957754.8965969556</v>
      </c>
      <c r="D24" s="152">
        <v>0.4</v>
      </c>
      <c r="E24" s="7" t="s">
        <v>112</v>
      </c>
      <c r="I24" s="7" t="s">
        <v>0</v>
      </c>
    </row>
    <row r="25" spans="2:9" x14ac:dyDescent="0.2">
      <c r="C25" s="88">
        <f>C24*100/C16</f>
        <v>22.823523089107372</v>
      </c>
      <c r="D25" s="7" t="s">
        <v>1</v>
      </c>
      <c r="I25" s="7" t="s">
        <v>2</v>
      </c>
    </row>
    <row r="26" spans="2:9" x14ac:dyDescent="0.2">
      <c r="C26" s="7" t="s">
        <v>424</v>
      </c>
      <c r="D26" s="7" t="s">
        <v>3</v>
      </c>
      <c r="F26" s="7" t="s">
        <v>111</v>
      </c>
      <c r="G26" s="7" t="s">
        <v>425</v>
      </c>
      <c r="I26" s="7" t="s">
        <v>4</v>
      </c>
    </row>
    <row r="27" spans="2:9" x14ac:dyDescent="0.2">
      <c r="C27" s="7" t="s">
        <v>421</v>
      </c>
      <c r="D27" s="7" t="s">
        <v>422</v>
      </c>
      <c r="F27" s="152">
        <v>0.6</v>
      </c>
      <c r="G27" s="152">
        <v>0.4</v>
      </c>
    </row>
  </sheetData>
  <phoneticPr fontId="3" type="noConversion"/>
  <pageMargins left="0.7" right="0.7" top="0.75" bottom="0.75" header="0.3" footer="0.3"/>
  <pageSetup paperSize="9" orientation="portrait" horizontalDpi="0" verticalDpi="0"/>
  <ignoredErrors>
    <ignoredError sqref="C5:G5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RRHH</vt:lpstr>
      <vt:lpstr>CONSUMOS</vt:lpstr>
      <vt:lpstr>GASTOS</vt:lpstr>
      <vt:lpstr>GASTOS HSK</vt:lpstr>
      <vt:lpstr>Operaciones</vt:lpstr>
      <vt:lpstr>Previsión de Ventas</vt:lpstr>
      <vt:lpstr>Perdidas&amp;Ganancias</vt:lpstr>
      <vt:lpstr>Balance</vt:lpstr>
      <vt:lpstr>Flujo de Caja</vt:lpstr>
      <vt:lpstr>Ocupación</vt:lpstr>
      <vt:lpstr>Gastos 2</vt:lpstr>
      <vt:lpstr>Sheet1</vt:lpstr>
      <vt:lpstr>RENTABILIDAD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BEA</dc:creator>
  <cp:keywords/>
  <dc:description/>
  <cp:lastModifiedBy>Microsoft Office User</cp:lastModifiedBy>
  <cp:revision/>
  <dcterms:created xsi:type="dcterms:W3CDTF">2017-03-12T11:52:34Z</dcterms:created>
  <dcterms:modified xsi:type="dcterms:W3CDTF">2017-07-04T09:24:14Z</dcterms:modified>
  <cp:category/>
  <cp:contentStatus/>
</cp:coreProperties>
</file>