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B74B0BD2-4E1B-4F70-B5A8-5569BD8D053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风机基础数据" sheetId="1" r:id="rId1"/>
    <sheet name="箱变基础数据" sheetId="2" r:id="rId2"/>
    <sheet name="升压站基础数据" sheetId="3" r:id="rId3"/>
    <sheet name="道路基础数据1" sheetId="4" r:id="rId4"/>
    <sheet name="道路基础数据2" sheetId="5" r:id="rId5"/>
    <sheet name="道路基础数据3" sheetId="6" r:id="rId6"/>
    <sheet name="道路基础数据4" sheetId="7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H4" i="4" l="1"/>
  <c r="D6" i="4" l="1"/>
  <c r="J4" i="4"/>
  <c r="E11" i="7"/>
  <c r="C11" i="7"/>
  <c r="I11" i="7"/>
  <c r="H11" i="7"/>
  <c r="G11" i="7"/>
  <c r="E10" i="7"/>
  <c r="C10" i="7"/>
  <c r="I10" i="7"/>
  <c r="H10" i="7"/>
  <c r="G10" i="7"/>
  <c r="E9" i="7"/>
  <c r="C9" i="7"/>
  <c r="I9" i="7"/>
  <c r="H9" i="7"/>
  <c r="G9" i="7"/>
  <c r="E8" i="7"/>
  <c r="C8" i="7"/>
  <c r="I8" i="7"/>
  <c r="H8" i="7"/>
  <c r="G8" i="7"/>
  <c r="E7" i="7"/>
  <c r="C7" i="7"/>
  <c r="I7" i="7"/>
  <c r="H7" i="7"/>
  <c r="G7" i="7"/>
  <c r="E6" i="7"/>
  <c r="C6" i="7"/>
  <c r="I6" i="7"/>
  <c r="H6" i="7"/>
  <c r="G6" i="7"/>
  <c r="E5" i="7"/>
  <c r="C5" i="7"/>
  <c r="I5" i="7"/>
  <c r="H5" i="7"/>
  <c r="G5" i="7"/>
  <c r="E4" i="7"/>
  <c r="I4" i="7"/>
  <c r="H4" i="7"/>
  <c r="G4" i="7"/>
  <c r="J11" i="6"/>
  <c r="O11" i="6"/>
  <c r="E11" i="6"/>
  <c r="B11" i="6"/>
  <c r="N11" i="6"/>
  <c r="M11" i="6"/>
  <c r="L11" i="6"/>
  <c r="J10" i="6"/>
  <c r="O10" i="6"/>
  <c r="E10" i="6"/>
  <c r="B10" i="6"/>
  <c r="N10" i="6"/>
  <c r="M10" i="6"/>
  <c r="L10" i="6"/>
  <c r="J9" i="6"/>
  <c r="O9" i="6"/>
  <c r="E9" i="6"/>
  <c r="B9" i="6"/>
  <c r="N9" i="6"/>
  <c r="M9" i="6"/>
  <c r="L9" i="6"/>
  <c r="J8" i="6"/>
  <c r="O8" i="6"/>
  <c r="E8" i="6"/>
  <c r="B8" i="6"/>
  <c r="N8" i="6"/>
  <c r="M8" i="6"/>
  <c r="L8" i="6"/>
  <c r="J7" i="6"/>
  <c r="O7" i="6"/>
  <c r="E7" i="6"/>
  <c r="B7" i="6"/>
  <c r="N7" i="6"/>
  <c r="M7" i="6"/>
  <c r="L7" i="6"/>
  <c r="J6" i="6"/>
  <c r="O6" i="6"/>
  <c r="E6" i="6"/>
  <c r="B6" i="6"/>
  <c r="N6" i="6"/>
  <c r="M6" i="6"/>
  <c r="L6" i="6"/>
  <c r="J5" i="6"/>
  <c r="O5" i="6"/>
  <c r="G5" i="6"/>
  <c r="E5" i="6"/>
  <c r="B5" i="6"/>
  <c r="N5" i="6"/>
  <c r="M5" i="6"/>
  <c r="L5" i="6"/>
  <c r="J4" i="6"/>
  <c r="O4" i="6"/>
  <c r="G4" i="6"/>
  <c r="E4" i="6"/>
  <c r="D4" i="6"/>
  <c r="B4" i="6"/>
  <c r="N4" i="6"/>
  <c r="M4" i="6"/>
  <c r="E11" i="5"/>
  <c r="C11" i="5"/>
  <c r="B11" i="5"/>
  <c r="M11" i="5"/>
  <c r="L11" i="5"/>
  <c r="K11" i="5"/>
  <c r="E10" i="5"/>
  <c r="C10" i="5"/>
  <c r="B10" i="5"/>
  <c r="M10" i="5"/>
  <c r="L10" i="5"/>
  <c r="K10" i="5"/>
  <c r="E9" i="5"/>
  <c r="C9" i="5"/>
  <c r="B9" i="5"/>
  <c r="M9" i="5"/>
  <c r="L9" i="5"/>
  <c r="K9" i="5"/>
  <c r="E8" i="5"/>
  <c r="C8" i="5"/>
  <c r="B8" i="5"/>
  <c r="M8" i="5"/>
  <c r="L8" i="5"/>
  <c r="K8" i="5"/>
  <c r="E7" i="5"/>
  <c r="C7" i="5"/>
  <c r="B7" i="5"/>
  <c r="M7" i="5"/>
  <c r="L7" i="5"/>
  <c r="K7" i="5"/>
  <c r="E6" i="5"/>
  <c r="C6" i="5"/>
  <c r="B6" i="5"/>
  <c r="M6" i="5"/>
  <c r="L6" i="5"/>
  <c r="K6" i="5"/>
  <c r="G5" i="5"/>
  <c r="E5" i="5"/>
  <c r="C5" i="5"/>
  <c r="B5" i="5"/>
  <c r="M5" i="5"/>
  <c r="L5" i="5"/>
  <c r="K5" i="5"/>
  <c r="G4" i="5"/>
  <c r="E4" i="5"/>
  <c r="C4" i="5"/>
  <c r="B4" i="5"/>
  <c r="M4" i="5"/>
  <c r="L4" i="5"/>
  <c r="K4" i="5"/>
  <c r="J6" i="4"/>
  <c r="B7" i="4"/>
  <c r="B4" i="4"/>
  <c r="G5" i="3" l="1"/>
  <c r="I5" i="3" s="1"/>
  <c r="AC5" i="3"/>
  <c r="AA5" i="3" s="1"/>
  <c r="F5" i="3"/>
  <c r="G4" i="3"/>
  <c r="I4" i="3" s="1"/>
  <c r="AC4" i="3"/>
  <c r="AB4" i="3" s="1"/>
  <c r="F4" i="3"/>
  <c r="Z5" i="3" l="1"/>
  <c r="AB5" i="3"/>
  <c r="Z4" i="3"/>
  <c r="AA4" i="3"/>
  <c r="H4" i="3"/>
  <c r="H5" i="3"/>
  <c r="N7" i="2"/>
  <c r="U29" i="1" l="1"/>
  <c r="U3" i="1"/>
  <c r="F11" i="4"/>
  <c r="D11" i="4"/>
  <c r="B11" i="4"/>
  <c r="J11" i="4"/>
  <c r="I11" i="4"/>
  <c r="H11" i="4"/>
  <c r="F10" i="4"/>
  <c r="D10" i="4"/>
  <c r="B10" i="4"/>
  <c r="J10" i="4"/>
  <c r="I10" i="4"/>
  <c r="H10" i="4"/>
  <c r="F9" i="4"/>
  <c r="D9" i="4"/>
  <c r="B9" i="4"/>
  <c r="J9" i="4"/>
  <c r="I9" i="4"/>
  <c r="H9" i="4"/>
  <c r="F8" i="4"/>
  <c r="D8" i="4"/>
  <c r="B8" i="4"/>
  <c r="J8" i="4"/>
  <c r="I8" i="4"/>
  <c r="H8" i="4"/>
  <c r="F7" i="4"/>
  <c r="D7" i="4"/>
  <c r="J7" i="4"/>
  <c r="I7" i="4"/>
  <c r="H7" i="4"/>
  <c r="F6" i="4"/>
  <c r="B6" i="4"/>
  <c r="I6" i="4"/>
  <c r="H6" i="4"/>
  <c r="F5" i="4"/>
  <c r="D5" i="4"/>
  <c r="B5" i="4"/>
  <c r="J5" i="4"/>
  <c r="I5" i="4"/>
  <c r="H5" i="4"/>
  <c r="F4" i="4"/>
  <c r="D4" i="4"/>
  <c r="I4" i="4"/>
  <c r="L11" i="2"/>
  <c r="J11" i="2"/>
  <c r="I11" i="2"/>
  <c r="H11" i="2"/>
  <c r="K11" i="2" s="1"/>
  <c r="O11" i="2"/>
  <c r="N11" i="2"/>
  <c r="L10" i="2"/>
  <c r="J10" i="2"/>
  <c r="I10" i="2"/>
  <c r="H10" i="2"/>
  <c r="K10" i="2" s="1"/>
  <c r="O10" i="2"/>
  <c r="N10" i="2"/>
  <c r="L9" i="2"/>
  <c r="J9" i="2"/>
  <c r="I9" i="2"/>
  <c r="H9" i="2"/>
  <c r="K9" i="2" s="1"/>
  <c r="O9" i="2"/>
  <c r="N9" i="2"/>
  <c r="P9" i="2" s="1"/>
  <c r="L8" i="2"/>
  <c r="J8" i="2"/>
  <c r="I8" i="2"/>
  <c r="H8" i="2"/>
  <c r="K8" i="2" s="1"/>
  <c r="O8" i="2"/>
  <c r="N8" i="2"/>
  <c r="L7" i="2"/>
  <c r="J7" i="2"/>
  <c r="I7" i="2"/>
  <c r="H7" i="2"/>
  <c r="K7" i="2" s="1"/>
  <c r="O7" i="2"/>
  <c r="P7" i="2" s="1"/>
  <c r="L6" i="2"/>
  <c r="J6" i="2"/>
  <c r="I6" i="2"/>
  <c r="H6" i="2"/>
  <c r="K6" i="2" s="1"/>
  <c r="O6" i="2"/>
  <c r="N6" i="2"/>
  <c r="L5" i="2"/>
  <c r="J5" i="2"/>
  <c r="I5" i="2"/>
  <c r="H5" i="2"/>
  <c r="K5" i="2" s="1"/>
  <c r="O5" i="2"/>
  <c r="N5" i="2"/>
  <c r="P5" i="2" s="1"/>
  <c r="L4" i="2"/>
  <c r="J4" i="2"/>
  <c r="I4" i="2"/>
  <c r="H4" i="2"/>
  <c r="K4" i="2" s="1"/>
  <c r="P8" i="2" l="1"/>
  <c r="P11" i="2"/>
  <c r="P6" i="2"/>
  <c r="P10" i="2"/>
  <c r="R74" i="1"/>
  <c r="V74" i="1"/>
  <c r="U74" i="1"/>
  <c r="Q74" i="1"/>
  <c r="P74" i="1"/>
  <c r="O74" i="1"/>
  <c r="N74" i="1"/>
  <c r="R73" i="1"/>
  <c r="V73" i="1"/>
  <c r="U73" i="1"/>
  <c r="Q73" i="1"/>
  <c r="P73" i="1"/>
  <c r="O73" i="1"/>
  <c r="N73" i="1"/>
  <c r="R72" i="1"/>
  <c r="V72" i="1"/>
  <c r="U72" i="1"/>
  <c r="Q72" i="1"/>
  <c r="P72" i="1"/>
  <c r="O72" i="1"/>
  <c r="N72" i="1"/>
  <c r="R71" i="1"/>
  <c r="V71" i="1"/>
  <c r="U71" i="1"/>
  <c r="Q71" i="1"/>
  <c r="P71" i="1"/>
  <c r="O71" i="1"/>
  <c r="N71" i="1"/>
  <c r="R70" i="1"/>
  <c r="V70" i="1"/>
  <c r="U70" i="1"/>
  <c r="Q70" i="1"/>
  <c r="P70" i="1"/>
  <c r="O70" i="1"/>
  <c r="N70" i="1"/>
  <c r="R69" i="1"/>
  <c r="V69" i="1"/>
  <c r="U69" i="1"/>
  <c r="Q69" i="1"/>
  <c r="P69" i="1"/>
  <c r="O69" i="1"/>
  <c r="N69" i="1"/>
  <c r="R68" i="1"/>
  <c r="V68" i="1"/>
  <c r="U68" i="1"/>
  <c r="Q68" i="1"/>
  <c r="P68" i="1"/>
  <c r="O68" i="1"/>
  <c r="N68" i="1"/>
  <c r="R67" i="1"/>
  <c r="V67" i="1"/>
  <c r="U67" i="1"/>
  <c r="Q67" i="1"/>
  <c r="P67" i="1"/>
  <c r="O67" i="1"/>
  <c r="N67" i="1"/>
  <c r="R66" i="1"/>
  <c r="V66" i="1"/>
  <c r="U66" i="1"/>
  <c r="Q66" i="1"/>
  <c r="P66" i="1"/>
  <c r="O66" i="1"/>
  <c r="N66" i="1"/>
  <c r="R65" i="1"/>
  <c r="V65" i="1"/>
  <c r="U65" i="1"/>
  <c r="Q65" i="1"/>
  <c r="P65" i="1"/>
  <c r="O65" i="1"/>
  <c r="N65" i="1"/>
  <c r="R64" i="1"/>
  <c r="V64" i="1"/>
  <c r="U64" i="1"/>
  <c r="Q64" i="1"/>
  <c r="P64" i="1"/>
  <c r="O64" i="1"/>
  <c r="N64" i="1"/>
  <c r="R63" i="1"/>
  <c r="V63" i="1"/>
  <c r="U63" i="1"/>
  <c r="Q63" i="1"/>
  <c r="P63" i="1"/>
  <c r="O63" i="1"/>
  <c r="N63" i="1"/>
  <c r="R62" i="1"/>
  <c r="V62" i="1"/>
  <c r="U62" i="1"/>
  <c r="Q62" i="1"/>
  <c r="P62" i="1"/>
  <c r="O62" i="1"/>
  <c r="N62" i="1"/>
  <c r="R61" i="1"/>
  <c r="V61" i="1"/>
  <c r="U61" i="1"/>
  <c r="Q61" i="1"/>
  <c r="P61" i="1"/>
  <c r="O61" i="1"/>
  <c r="N61" i="1"/>
  <c r="R60" i="1"/>
  <c r="V60" i="1"/>
  <c r="U60" i="1"/>
  <c r="Q60" i="1"/>
  <c r="P60" i="1"/>
  <c r="O60" i="1"/>
  <c r="N60" i="1"/>
  <c r="R59" i="1"/>
  <c r="V59" i="1"/>
  <c r="U59" i="1"/>
  <c r="Q59" i="1"/>
  <c r="P59" i="1"/>
  <c r="O59" i="1"/>
  <c r="N59" i="1"/>
  <c r="R58" i="1"/>
  <c r="V58" i="1"/>
  <c r="U58" i="1"/>
  <c r="Q58" i="1"/>
  <c r="P58" i="1"/>
  <c r="O58" i="1"/>
  <c r="R57" i="1"/>
  <c r="V57" i="1"/>
  <c r="U57" i="1"/>
  <c r="Q57" i="1"/>
  <c r="P57" i="1"/>
  <c r="O57" i="1"/>
  <c r="R56" i="1"/>
  <c r="V56" i="1"/>
  <c r="U56" i="1"/>
  <c r="Q56" i="1"/>
  <c r="P56" i="1"/>
  <c r="O56" i="1"/>
  <c r="R55" i="1"/>
  <c r="V55" i="1"/>
  <c r="U55" i="1"/>
  <c r="Q55" i="1"/>
  <c r="P55" i="1"/>
  <c r="O55" i="1"/>
  <c r="R54" i="1"/>
  <c r="V54" i="1"/>
  <c r="U54" i="1"/>
  <c r="Q54" i="1"/>
  <c r="P54" i="1"/>
  <c r="O54" i="1"/>
  <c r="R53" i="1"/>
  <c r="V53" i="1"/>
  <c r="U53" i="1"/>
  <c r="Q53" i="1"/>
  <c r="P53" i="1"/>
  <c r="O53" i="1"/>
  <c r="R52" i="1"/>
  <c r="V52" i="1"/>
  <c r="U52" i="1"/>
  <c r="Q52" i="1"/>
  <c r="P52" i="1"/>
  <c r="O52" i="1"/>
  <c r="R51" i="1"/>
  <c r="V51" i="1"/>
  <c r="U51" i="1"/>
  <c r="Q51" i="1"/>
  <c r="P51" i="1"/>
  <c r="O51" i="1"/>
  <c r="R50" i="1"/>
  <c r="V50" i="1"/>
  <c r="U50" i="1"/>
  <c r="Q50" i="1"/>
  <c r="P50" i="1"/>
  <c r="O50" i="1"/>
  <c r="N50" i="1"/>
  <c r="R49" i="1"/>
  <c r="V49" i="1"/>
  <c r="U49" i="1"/>
  <c r="Q49" i="1"/>
  <c r="P49" i="1"/>
  <c r="O49" i="1"/>
  <c r="N49" i="1"/>
  <c r="R48" i="1"/>
  <c r="V48" i="1"/>
  <c r="U48" i="1"/>
  <c r="Q48" i="1"/>
  <c r="P48" i="1"/>
  <c r="O48" i="1"/>
  <c r="N48" i="1"/>
  <c r="R47" i="1"/>
  <c r="V47" i="1"/>
  <c r="U47" i="1"/>
  <c r="Q47" i="1"/>
  <c r="P47" i="1"/>
  <c r="O47" i="1"/>
  <c r="N47" i="1"/>
  <c r="R46" i="1"/>
  <c r="V46" i="1"/>
  <c r="U46" i="1"/>
  <c r="Q46" i="1"/>
  <c r="P46" i="1"/>
  <c r="O46" i="1"/>
  <c r="N46" i="1"/>
  <c r="R45" i="1"/>
  <c r="V45" i="1"/>
  <c r="U45" i="1"/>
  <c r="Q45" i="1"/>
  <c r="P45" i="1"/>
  <c r="O45" i="1"/>
  <c r="N45" i="1"/>
  <c r="R44" i="1"/>
  <c r="V44" i="1"/>
  <c r="U44" i="1"/>
  <c r="Q44" i="1"/>
  <c r="P44" i="1"/>
  <c r="O44" i="1"/>
  <c r="N44" i="1"/>
  <c r="R43" i="1"/>
  <c r="V43" i="1"/>
  <c r="U43" i="1"/>
  <c r="Q43" i="1"/>
  <c r="P43" i="1"/>
  <c r="O43" i="1"/>
  <c r="N43" i="1"/>
  <c r="R42" i="1"/>
  <c r="V42" i="1"/>
  <c r="U42" i="1"/>
  <c r="Q42" i="1"/>
  <c r="P42" i="1"/>
  <c r="O42" i="1"/>
  <c r="N42" i="1"/>
  <c r="R41" i="1"/>
  <c r="V41" i="1"/>
  <c r="U41" i="1"/>
  <c r="Q41" i="1"/>
  <c r="P41" i="1"/>
  <c r="O41" i="1"/>
  <c r="N41" i="1"/>
  <c r="R40" i="1"/>
  <c r="V40" i="1"/>
  <c r="U40" i="1"/>
  <c r="Q40" i="1"/>
  <c r="P40" i="1"/>
  <c r="O40" i="1"/>
  <c r="N40" i="1"/>
  <c r="R39" i="1"/>
  <c r="V39" i="1"/>
  <c r="U39" i="1"/>
  <c r="Q39" i="1"/>
  <c r="P39" i="1"/>
  <c r="O39" i="1"/>
  <c r="N39" i="1"/>
  <c r="R38" i="1"/>
  <c r="V38" i="1"/>
  <c r="U38" i="1"/>
  <c r="Q38" i="1"/>
  <c r="P38" i="1"/>
  <c r="O38" i="1"/>
  <c r="N38" i="1"/>
  <c r="R37" i="1"/>
  <c r="V37" i="1"/>
  <c r="U37" i="1"/>
  <c r="Q37" i="1"/>
  <c r="P37" i="1"/>
  <c r="O37" i="1"/>
  <c r="N37" i="1"/>
  <c r="R36" i="1"/>
  <c r="V36" i="1"/>
  <c r="U36" i="1"/>
  <c r="Q36" i="1"/>
  <c r="P36" i="1"/>
  <c r="O36" i="1"/>
  <c r="N36" i="1"/>
  <c r="R35" i="1"/>
  <c r="V35" i="1"/>
  <c r="U35" i="1"/>
  <c r="Q35" i="1"/>
  <c r="P35" i="1"/>
  <c r="O35" i="1"/>
  <c r="N35" i="1"/>
  <c r="R34" i="1"/>
  <c r="V34" i="1"/>
  <c r="U34" i="1"/>
  <c r="Q34" i="1"/>
  <c r="P34" i="1"/>
  <c r="O34" i="1"/>
  <c r="R33" i="1"/>
  <c r="V33" i="1"/>
  <c r="U33" i="1"/>
  <c r="Q33" i="1"/>
  <c r="P33" i="1"/>
  <c r="O33" i="1"/>
  <c r="R32" i="1"/>
  <c r="V32" i="1"/>
  <c r="U32" i="1"/>
  <c r="Q32" i="1"/>
  <c r="P32" i="1"/>
  <c r="O32" i="1"/>
  <c r="R31" i="1"/>
  <c r="V31" i="1"/>
  <c r="U31" i="1"/>
  <c r="Q31" i="1"/>
  <c r="P31" i="1"/>
  <c r="O31" i="1"/>
  <c r="R30" i="1"/>
  <c r="V30" i="1"/>
  <c r="U30" i="1"/>
  <c r="Q30" i="1"/>
  <c r="P30" i="1"/>
  <c r="O30" i="1"/>
  <c r="R29" i="1"/>
  <c r="V29" i="1"/>
  <c r="Q29" i="1"/>
  <c r="P29" i="1"/>
  <c r="O29" i="1"/>
  <c r="R28" i="1"/>
  <c r="V28" i="1"/>
  <c r="U28" i="1"/>
  <c r="Q28" i="1"/>
  <c r="P28" i="1"/>
  <c r="O28" i="1"/>
  <c r="R27" i="1"/>
  <c r="V27" i="1"/>
  <c r="U27" i="1"/>
  <c r="Q27" i="1"/>
  <c r="P27" i="1"/>
  <c r="O27" i="1"/>
  <c r="R26" i="1"/>
  <c r="V26" i="1"/>
  <c r="U26" i="1"/>
  <c r="Q26" i="1"/>
  <c r="P26" i="1"/>
  <c r="O26" i="1"/>
  <c r="N26" i="1"/>
  <c r="R25" i="1"/>
  <c r="V25" i="1"/>
  <c r="U25" i="1"/>
  <c r="Q25" i="1"/>
  <c r="P25" i="1"/>
  <c r="O25" i="1"/>
  <c r="N25" i="1"/>
  <c r="R24" i="1"/>
  <c r="V24" i="1"/>
  <c r="U24" i="1"/>
  <c r="Q24" i="1"/>
  <c r="P24" i="1"/>
  <c r="O24" i="1"/>
  <c r="N24" i="1"/>
  <c r="R23" i="1"/>
  <c r="V23" i="1"/>
  <c r="U23" i="1"/>
  <c r="Q23" i="1"/>
  <c r="P23" i="1"/>
  <c r="O23" i="1"/>
  <c r="N23" i="1"/>
  <c r="R22" i="1"/>
  <c r="V22" i="1"/>
  <c r="U22" i="1"/>
  <c r="Q22" i="1"/>
  <c r="P22" i="1"/>
  <c r="O22" i="1"/>
  <c r="N22" i="1"/>
  <c r="R21" i="1"/>
  <c r="V21" i="1"/>
  <c r="U21" i="1"/>
  <c r="Q21" i="1"/>
  <c r="P21" i="1"/>
  <c r="O21" i="1"/>
  <c r="N21" i="1"/>
  <c r="R20" i="1"/>
  <c r="V20" i="1"/>
  <c r="U20" i="1"/>
  <c r="Q20" i="1"/>
  <c r="P20" i="1"/>
  <c r="O20" i="1"/>
  <c r="N20" i="1"/>
  <c r="R19" i="1"/>
  <c r="V19" i="1"/>
  <c r="U19" i="1"/>
  <c r="Q19" i="1"/>
  <c r="P19" i="1"/>
  <c r="O19" i="1"/>
  <c r="N19" i="1"/>
  <c r="R18" i="1"/>
  <c r="V18" i="1"/>
  <c r="U18" i="1"/>
  <c r="Q18" i="1"/>
  <c r="P18" i="1"/>
  <c r="O18" i="1"/>
  <c r="N18" i="1"/>
  <c r="R17" i="1"/>
  <c r="V17" i="1"/>
  <c r="U17" i="1"/>
  <c r="Q17" i="1"/>
  <c r="P17" i="1"/>
  <c r="O17" i="1"/>
  <c r="N17" i="1"/>
  <c r="R16" i="1"/>
  <c r="V16" i="1"/>
  <c r="U16" i="1"/>
  <c r="Q16" i="1"/>
  <c r="P16" i="1"/>
  <c r="O16" i="1"/>
  <c r="N16" i="1"/>
  <c r="R15" i="1"/>
  <c r="V15" i="1"/>
  <c r="U15" i="1"/>
  <c r="Q15" i="1"/>
  <c r="P15" i="1"/>
  <c r="O15" i="1"/>
  <c r="N15" i="1"/>
  <c r="R14" i="1"/>
  <c r="V14" i="1"/>
  <c r="U14" i="1"/>
  <c r="Q14" i="1"/>
  <c r="P14" i="1"/>
  <c r="O14" i="1"/>
  <c r="N14" i="1"/>
  <c r="R13" i="1"/>
  <c r="V13" i="1"/>
  <c r="U13" i="1"/>
  <c r="Q13" i="1"/>
  <c r="P13" i="1"/>
  <c r="O13" i="1"/>
  <c r="N13" i="1"/>
  <c r="R12" i="1"/>
  <c r="V12" i="1"/>
  <c r="U12" i="1"/>
  <c r="Q12" i="1"/>
  <c r="P12" i="1"/>
  <c r="O12" i="1"/>
  <c r="N12" i="1"/>
  <c r="R11" i="1"/>
  <c r="V11" i="1"/>
  <c r="U11" i="1"/>
  <c r="Q11" i="1"/>
  <c r="P11" i="1"/>
  <c r="O11" i="1"/>
  <c r="N11" i="1"/>
  <c r="R10" i="1"/>
  <c r="V10" i="1"/>
  <c r="U10" i="1"/>
  <c r="Q10" i="1"/>
  <c r="P10" i="1"/>
  <c r="O10" i="1"/>
  <c r="R9" i="1"/>
  <c r="V9" i="1"/>
  <c r="U9" i="1"/>
  <c r="Q9" i="1"/>
  <c r="P9" i="1"/>
  <c r="O9" i="1"/>
  <c r="R8" i="1"/>
  <c r="V8" i="1"/>
  <c r="U8" i="1"/>
  <c r="Q8" i="1"/>
  <c r="P8" i="1"/>
  <c r="O8" i="1"/>
  <c r="R7" i="1"/>
  <c r="V7" i="1"/>
  <c r="U7" i="1"/>
  <c r="Q7" i="1"/>
  <c r="P7" i="1"/>
  <c r="O7" i="1"/>
  <c r="R6" i="1"/>
  <c r="V6" i="1"/>
  <c r="U6" i="1"/>
  <c r="Q6" i="1"/>
  <c r="P6" i="1"/>
  <c r="O6" i="1"/>
  <c r="R5" i="1"/>
  <c r="V5" i="1"/>
  <c r="U5" i="1"/>
  <c r="Q5" i="1"/>
  <c r="P5" i="1"/>
  <c r="O5" i="1"/>
  <c r="R4" i="1"/>
  <c r="V4" i="1"/>
  <c r="U4" i="1"/>
  <c r="Q4" i="1"/>
  <c r="P4" i="1"/>
  <c r="O4" i="1"/>
  <c r="R3" i="1"/>
  <c r="V3" i="1"/>
  <c r="Q3" i="1"/>
  <c r="P3" i="1"/>
  <c r="O3" i="1"/>
  <c r="W5" i="1" l="1"/>
  <c r="W9" i="1"/>
  <c r="W16" i="1"/>
  <c r="W24" i="1"/>
  <c r="W29" i="1"/>
  <c r="W10" i="1"/>
  <c r="W18" i="1"/>
  <c r="W26" i="1"/>
  <c r="W34" i="1"/>
  <c r="W50" i="1"/>
  <c r="W63" i="1"/>
  <c r="W38" i="1"/>
  <c r="W46" i="1"/>
  <c r="W52" i="1"/>
  <c r="W56" i="1"/>
  <c r="W62" i="1"/>
  <c r="W20" i="1"/>
  <c r="W31" i="1"/>
  <c r="W60" i="1"/>
  <c r="W7" i="1"/>
  <c r="W12" i="1"/>
  <c r="W35" i="1"/>
  <c r="W43" i="1"/>
  <c r="W59" i="1"/>
  <c r="W58" i="1"/>
  <c r="W66" i="1"/>
  <c r="W74" i="1"/>
  <c r="W6" i="1"/>
  <c r="W17" i="1"/>
  <c r="W25" i="1"/>
  <c r="W41" i="1"/>
  <c r="W49" i="1"/>
  <c r="W27" i="1"/>
  <c r="W32" i="1"/>
  <c r="W51" i="1"/>
  <c r="W13" i="1"/>
  <c r="W21" i="1"/>
  <c r="W37" i="1"/>
  <c r="W45" i="1"/>
  <c r="W69" i="1"/>
  <c r="W55" i="1"/>
  <c r="W42" i="1"/>
  <c r="W3" i="1"/>
  <c r="W11" i="1"/>
  <c r="W19" i="1"/>
  <c r="W36" i="1"/>
  <c r="W44" i="1"/>
  <c r="W61" i="1"/>
  <c r="W30" i="1"/>
  <c r="W67" i="1"/>
  <c r="W68" i="1"/>
  <c r="W73" i="1"/>
  <c r="W54" i="1"/>
  <c r="W72" i="1"/>
  <c r="W4" i="1"/>
  <c r="W15" i="1"/>
  <c r="W23" i="1"/>
  <c r="W33" i="1"/>
  <c r="W40" i="1"/>
  <c r="W48" i="1"/>
  <c r="W53" i="1"/>
  <c r="W65" i="1"/>
  <c r="W71" i="1"/>
  <c r="W8" i="1"/>
  <c r="W14" i="1"/>
  <c r="W22" i="1"/>
  <c r="W28" i="1"/>
  <c r="W39" i="1"/>
  <c r="W47" i="1"/>
  <c r="W57" i="1"/>
  <c r="W64" i="1"/>
  <c r="W70" i="1"/>
</calcChain>
</file>

<file path=xl/sharedStrings.xml><?xml version="1.0" encoding="utf-8"?>
<sst xmlns="http://schemas.openxmlformats.org/spreadsheetml/2006/main" count="340" uniqueCount="198">
  <si>
    <t>设防烈度</t>
    <phoneticPr fontId="6" type="noConversion"/>
  </si>
  <si>
    <t>承载力</t>
    <phoneticPr fontId="6" type="noConversion"/>
  </si>
  <si>
    <t>基础型式</t>
  </si>
  <si>
    <t>极限荷载</t>
    <phoneticPr fontId="6" type="noConversion"/>
  </si>
  <si>
    <t>底板半径R</t>
    <phoneticPr fontId="6" type="noConversion"/>
  </si>
  <si>
    <t>棱台顶面半径R1</t>
    <phoneticPr fontId="6" type="noConversion"/>
  </si>
  <si>
    <t>台柱半径R2</t>
    <phoneticPr fontId="6" type="noConversion"/>
  </si>
  <si>
    <t>底板外缘高度H1</t>
    <phoneticPr fontId="6" type="noConversion"/>
  </si>
  <si>
    <t>底板棱台高度H2</t>
    <phoneticPr fontId="6" type="noConversion"/>
  </si>
  <si>
    <t>台柱高度H3</t>
    <phoneticPr fontId="6" type="noConversion"/>
  </si>
  <si>
    <t>桩直径</t>
    <phoneticPr fontId="6" type="noConversion"/>
  </si>
  <si>
    <t>根数</t>
    <phoneticPr fontId="6" type="noConversion"/>
  </si>
  <si>
    <t>长度</t>
    <phoneticPr fontId="6" type="noConversion"/>
  </si>
  <si>
    <t>单台总桩长</t>
    <phoneticPr fontId="6" type="noConversion"/>
  </si>
  <si>
    <t>面积m2</t>
    <phoneticPr fontId="6" type="noConversion"/>
  </si>
  <si>
    <t>体积m3</t>
    <phoneticPr fontId="6" type="noConversion"/>
  </si>
  <si>
    <t>垫层</t>
    <phoneticPr fontId="6" type="noConversion"/>
  </si>
  <si>
    <t>土方开挖</t>
    <phoneticPr fontId="6" type="noConversion"/>
  </si>
  <si>
    <t>石方开挖</t>
    <phoneticPr fontId="6" type="noConversion"/>
  </si>
  <si>
    <t>土石方回填</t>
    <phoneticPr fontId="6" type="noConversion"/>
  </si>
  <si>
    <t>M48预应力
锚栓（m)</t>
    <phoneticPr fontId="6" type="noConversion"/>
  </si>
  <si>
    <r>
      <t>C</t>
    </r>
    <r>
      <rPr>
        <sz val="10.5"/>
        <rFont val="宋体"/>
        <family val="3"/>
        <charset val="134"/>
      </rPr>
      <t>80二次灌浆</t>
    </r>
    <phoneticPr fontId="6" type="noConversion"/>
  </si>
  <si>
    <t>扩展基础</t>
  </si>
  <si>
    <t>预制桩承台基础</t>
  </si>
  <si>
    <t>灌注桩承台基础</t>
  </si>
  <si>
    <t>风机容量</t>
    <phoneticPr fontId="6" type="noConversion"/>
  </si>
  <si>
    <t>箱变容量</t>
    <phoneticPr fontId="6" type="noConversion"/>
  </si>
  <si>
    <t>长</t>
    <phoneticPr fontId="6" type="noConversion"/>
  </si>
  <si>
    <t>宽</t>
    <phoneticPr fontId="6" type="noConversion"/>
  </si>
  <si>
    <t>高</t>
    <phoneticPr fontId="6" type="noConversion"/>
  </si>
  <si>
    <t>壁厚</t>
    <phoneticPr fontId="6" type="noConversion"/>
  </si>
  <si>
    <t>压顶高</t>
    <phoneticPr fontId="6" type="noConversion"/>
  </si>
  <si>
    <t>土石回填</t>
    <phoneticPr fontId="6" type="noConversion"/>
  </si>
  <si>
    <t>C35混凝土压顶</t>
    <phoneticPr fontId="6" type="noConversion"/>
  </si>
  <si>
    <t>C15垫层</t>
    <phoneticPr fontId="6" type="noConversion"/>
  </si>
  <si>
    <t>MU10砖</t>
    <phoneticPr fontId="6" type="noConversion"/>
  </si>
  <si>
    <t>钢筋</t>
    <phoneticPr fontId="6" type="noConversion"/>
  </si>
  <si>
    <t>面积</t>
    <phoneticPr fontId="6" type="noConversion"/>
  </si>
  <si>
    <t>状态</t>
    <phoneticPr fontId="6" type="noConversion"/>
  </si>
  <si>
    <t>等级</t>
    <phoneticPr fontId="6" type="noConversion"/>
  </si>
  <si>
    <t>容量</t>
    <phoneticPr fontId="6" type="noConversion"/>
  </si>
  <si>
    <t>围墙内面积</t>
    <phoneticPr fontId="6" type="noConversion"/>
  </si>
  <si>
    <t>放坡面积</t>
    <phoneticPr fontId="6" type="noConversion"/>
  </si>
  <si>
    <t>围墙长度</t>
  </si>
  <si>
    <t>土方开挖</t>
  </si>
  <si>
    <t>石方开挖</t>
  </si>
  <si>
    <t>土方回填</t>
  </si>
  <si>
    <t>浆砌石护脚</t>
  </si>
  <si>
    <t>浆砌石排水沟</t>
  </si>
  <si>
    <t>道路面积</t>
  </si>
  <si>
    <t>绿化面积</t>
  </si>
  <si>
    <t>综合楼</t>
  </si>
  <si>
    <t>设备楼</t>
  </si>
  <si>
    <t>附属楼</t>
  </si>
  <si>
    <r>
      <t>主变基础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</si>
  <si>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C15</t>
    </r>
    <r>
      <rPr>
        <sz val="10.5"/>
        <color theme="1"/>
        <rFont val="宋体"/>
        <family val="3"/>
        <charset val="134"/>
      </rPr>
      <t>混凝土垫层</t>
    </r>
  </si>
  <si>
    <t>主变压器基础钢筋</t>
  </si>
  <si>
    <r>
      <t>事故油池</t>
    </r>
    <r>
      <rPr>
        <sz val="10.5"/>
        <color theme="1"/>
        <rFont val="Times New Roman"/>
        <family val="1"/>
      </rPr>
      <t>C30</t>
    </r>
    <r>
      <rPr>
        <sz val="10.5"/>
        <color theme="1"/>
        <rFont val="宋体"/>
        <family val="3"/>
        <charset val="134"/>
      </rPr>
      <t>混凝土</t>
    </r>
  </si>
  <si>
    <r>
      <t>事故油池</t>
    </r>
    <r>
      <rPr>
        <sz val="10.5"/>
        <color theme="1"/>
        <rFont val="Times New Roman"/>
        <family val="1"/>
      </rPr>
      <t>C15</t>
    </r>
    <r>
      <rPr>
        <sz val="10.5"/>
        <color theme="1"/>
        <rFont val="宋体"/>
        <family val="3"/>
        <charset val="134"/>
      </rPr>
      <t>垫层</t>
    </r>
  </si>
  <si>
    <t>事故油池钢筋</t>
  </si>
  <si>
    <r>
      <t>设备及架构基础</t>
    </r>
    <r>
      <rPr>
        <sz val="10.5"/>
        <color theme="1"/>
        <rFont val="Times New Roman"/>
        <family val="1"/>
      </rPr>
      <t>C25</t>
    </r>
    <r>
      <rPr>
        <sz val="10.5"/>
        <color theme="1"/>
        <rFont val="宋体"/>
        <family val="3"/>
        <charset val="134"/>
      </rPr>
      <t>混凝土</t>
    </r>
  </si>
  <si>
    <t>室外架构（型钢）</t>
  </si>
  <si>
    <t>预制混凝土杆</t>
  </si>
  <si>
    <t>避雷针</t>
  </si>
  <si>
    <t>新建</t>
    <phoneticPr fontId="6" type="noConversion"/>
  </si>
  <si>
    <t>利用原有</t>
    <phoneticPr fontId="6" type="noConversion"/>
  </si>
  <si>
    <t>场外改扩建道路</t>
    <phoneticPr fontId="6" type="noConversion"/>
  </si>
  <si>
    <t>土石方回填</t>
  </si>
  <si>
    <r>
      <t>级配碎石路面</t>
    </r>
    <r>
      <rPr>
        <sz val="11"/>
        <color rgb="FF3F3F76"/>
        <rFont val="等线"/>
        <family val="3"/>
        <charset val="134"/>
        <scheme val="minor"/>
      </rPr>
      <t>(20cm厚)</t>
    </r>
    <phoneticPr fontId="6" type="noConversion"/>
  </si>
  <si>
    <r>
      <t>D1000mm</t>
    </r>
    <r>
      <rPr>
        <sz val="11"/>
        <color rgb="FF3F3F76"/>
        <rFont val="等线"/>
        <family val="3"/>
        <charset val="134"/>
        <scheme val="minor"/>
      </rPr>
      <t>圆管涵</t>
    </r>
    <phoneticPr fontId="6" type="noConversion"/>
  </si>
  <si>
    <t>浆砌石排水沟</t>
    <phoneticPr fontId="6" type="noConversion"/>
  </si>
  <si>
    <r>
      <t>M7.5</t>
    </r>
    <r>
      <rPr>
        <sz val="11"/>
        <color rgb="FF3F3F76"/>
        <rFont val="等线"/>
        <family val="3"/>
        <charset val="134"/>
        <scheme val="minor"/>
      </rPr>
      <t>浆砌片石挡墙</t>
    </r>
    <phoneticPr fontId="6" type="noConversion"/>
  </si>
  <si>
    <t>草皮护坡</t>
  </si>
  <si>
    <t>进站道路</t>
    <phoneticPr fontId="6" type="noConversion"/>
  </si>
  <si>
    <t>级配碎石基层(20cm厚)</t>
    <phoneticPr fontId="6" type="noConversion"/>
  </si>
  <si>
    <r>
      <t>C</t>
    </r>
    <r>
      <rPr>
        <sz val="11"/>
        <color rgb="FF3F3F76"/>
        <rFont val="等线"/>
        <family val="3"/>
        <charset val="134"/>
        <scheme val="minor"/>
      </rPr>
      <t>30混凝土路面(20cm厚)</t>
    </r>
    <phoneticPr fontId="6" type="noConversion"/>
  </si>
  <si>
    <t>标志标牌</t>
    <phoneticPr fontId="6" type="noConversion"/>
  </si>
  <si>
    <t>波形护栏</t>
    <phoneticPr fontId="6" type="noConversion"/>
  </si>
  <si>
    <t>施工检修道路工程</t>
    <phoneticPr fontId="6" type="noConversion"/>
  </si>
  <si>
    <t>山皮石路面(20cm厚)</t>
    <phoneticPr fontId="6" type="noConversion"/>
  </si>
  <si>
    <t>草皮护坡</t>
    <phoneticPr fontId="6" type="noConversion"/>
  </si>
  <si>
    <t>用地</t>
    <phoneticPr fontId="6" type="noConversion"/>
  </si>
  <si>
    <t>平原</t>
    <phoneticPr fontId="6" type="noConversion"/>
  </si>
  <si>
    <t>丘陵</t>
    <phoneticPr fontId="6" type="noConversion"/>
  </si>
  <si>
    <t>缓坡低山</t>
    <phoneticPr fontId="6" type="noConversion"/>
  </si>
  <si>
    <t>陡坡低山</t>
    <phoneticPr fontId="6" type="noConversion"/>
  </si>
  <si>
    <t>缓坡中山</t>
    <phoneticPr fontId="6" type="noConversion"/>
  </si>
  <si>
    <t>陡坡中山</t>
    <phoneticPr fontId="6" type="noConversion"/>
  </si>
  <si>
    <t>缓坡高山</t>
    <phoneticPr fontId="6" type="noConversion"/>
  </si>
  <si>
    <t>陡坡高山</t>
    <phoneticPr fontId="6" type="noConversion"/>
  </si>
  <si>
    <t>吊装平台工程</t>
  </si>
  <si>
    <t>一般场地平整</t>
  </si>
  <si>
    <r>
      <t>M7.5</t>
    </r>
    <r>
      <rPr>
        <sz val="11"/>
        <color rgb="FF3F3F76"/>
        <rFont val="等线"/>
        <family val="3"/>
        <charset val="134"/>
        <scheme val="minor"/>
      </rPr>
      <t>浆砌片石护坡</t>
    </r>
  </si>
  <si>
    <t>H1</t>
    <phoneticPr fontId="5" type="noConversion"/>
  </si>
  <si>
    <t>H2</t>
    <phoneticPr fontId="5" type="noConversion"/>
  </si>
  <si>
    <t>H3</t>
    <phoneticPr fontId="5" type="noConversion"/>
  </si>
  <si>
    <t>R1</t>
    <phoneticPr fontId="5" type="noConversion"/>
  </si>
  <si>
    <t>R2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</si>
  <si>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</si>
  <si>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</si>
  <si>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</si>
  <si>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扩展基础</t>
    <phoneticPr fontId="5" type="noConversion"/>
  </si>
  <si>
    <t>Earthexcavation</t>
    <phoneticPr fontId="5" type="noConversion"/>
  </si>
  <si>
    <t>Stoneexcavation</t>
    <phoneticPr fontId="5" type="noConversion"/>
  </si>
  <si>
    <t>Earthworkbackfill</t>
    <phoneticPr fontId="5" type="noConversion"/>
  </si>
  <si>
    <t>Turbinecapacity</t>
    <phoneticPr fontId="5" type="noConversion"/>
  </si>
  <si>
    <t>convertingstation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</si>
  <si>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</si>
  <si>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</si>
  <si>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</si>
  <si>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</si>
  <si>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</si>
  <si>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</si>
  <si>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</si>
  <si>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</si>
  <si>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</si>
  <si>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</si>
  <si>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capacity</t>
    <phoneticPr fontId="5" type="noConversion"/>
  </si>
  <si>
    <t>status</t>
    <phoneticPr fontId="5" type="noConversion"/>
  </si>
  <si>
    <t>grade</t>
    <phoneticPr fontId="5" type="noConversion"/>
  </si>
  <si>
    <t>long</t>
    <phoneticPr fontId="5" type="noConversion"/>
  </si>
  <si>
    <t>width</t>
    <phoneticPr fontId="5" type="noConversion"/>
  </si>
  <si>
    <t>Innerwallarea</t>
    <phoneticPr fontId="5" type="noConversion"/>
  </si>
  <si>
    <t>Walllength</t>
    <phoneticPr fontId="5" type="noConversion"/>
  </si>
  <si>
    <t>Stonemasonryfoot</t>
    <phoneticPr fontId="5" type="noConversion"/>
  </si>
  <si>
    <t>Stonemasonrydrainageditch</t>
    <phoneticPr fontId="5" type="noConversion"/>
  </si>
  <si>
    <t>Roadarea</t>
    <phoneticPr fontId="5" type="noConversion"/>
  </si>
  <si>
    <t>Greenarea</t>
    <phoneticPr fontId="5" type="noConversion"/>
  </si>
  <si>
    <t>Comprehensivebuilding</t>
    <phoneticPr fontId="5" type="noConversion"/>
  </si>
  <si>
    <t>Equipmentbuilding</t>
    <phoneticPr fontId="5" type="noConversion"/>
  </si>
  <si>
    <t>Affiliatedbuilding</t>
    <phoneticPr fontId="5" type="noConversion"/>
  </si>
  <si>
    <t>C30concrete</t>
    <phoneticPr fontId="5" type="noConversion"/>
  </si>
  <si>
    <t>C15concretecushion</t>
    <phoneticPr fontId="5" type="noConversion"/>
  </si>
  <si>
    <t>Maintransformerfoundation</t>
    <phoneticPr fontId="5" type="noConversion"/>
  </si>
  <si>
    <t>AccidentoilpoolC30concrete</t>
    <phoneticPr fontId="5" type="noConversion"/>
  </si>
  <si>
    <t>AccidentoilpoolC15cushion</t>
    <phoneticPr fontId="5" type="noConversion"/>
  </si>
  <si>
    <t>Accidentoilpoolreinforcement</t>
    <phoneticPr fontId="5" type="noConversion"/>
  </si>
  <si>
    <t>FoundationC25Concrete</t>
    <phoneticPr fontId="5" type="noConversion"/>
  </si>
  <si>
    <t>Outdoorstructure</t>
    <phoneticPr fontId="5" type="noConversion"/>
  </si>
  <si>
    <t>Precastconcretepole</t>
    <phoneticPr fontId="5" type="noConversion"/>
  </si>
  <si>
    <t>lightningrod</t>
    <phoneticPr fontId="5" type="noConversion"/>
  </si>
  <si>
    <t>Slopearea</t>
    <phoneticPr fontId="5" type="noConversion"/>
  </si>
  <si>
    <t>山地类型</t>
    <phoneticPr fontId="5" type="noConversion"/>
  </si>
  <si>
    <t>terrain_type</t>
    <phoneticPr fontId="6" type="noConversion"/>
  </si>
  <si>
    <t>Gradedgravelbase_2</t>
    <phoneticPr fontId="6" type="noConversion"/>
  </si>
  <si>
    <t>C30concretepavement_2</t>
    <phoneticPr fontId="6" type="noConversion"/>
  </si>
  <si>
    <t>roundtubeculvert_2</t>
    <phoneticPr fontId="6" type="noConversion"/>
  </si>
  <si>
    <t>Stonemasonrydrainageditch_2</t>
    <phoneticPr fontId="6" type="noConversion"/>
  </si>
  <si>
    <t>mortarstoneretainingwall_2</t>
    <phoneticPr fontId="6" type="noConversion"/>
  </si>
  <si>
    <t>Turfslopeprotection_2</t>
    <phoneticPr fontId="6" type="noConversion"/>
  </si>
  <si>
    <t>Signage_2</t>
    <phoneticPr fontId="6" type="noConversion"/>
  </si>
  <si>
    <t>Waveguardrail_2</t>
    <phoneticPr fontId="6" type="noConversion"/>
  </si>
  <si>
    <t>Gradedgravelpavement_1</t>
    <phoneticPr fontId="6" type="noConversion"/>
  </si>
  <si>
    <t>roundtubeculvert_1</t>
    <phoneticPr fontId="6" type="noConversion"/>
  </si>
  <si>
    <t>Stonemasonrydrainageditch_1</t>
    <phoneticPr fontId="6" type="noConversion"/>
  </si>
  <si>
    <t>mortarstoneretainingwall_1</t>
    <phoneticPr fontId="6" type="noConversion"/>
  </si>
  <si>
    <t>Turfslopeprotection_1</t>
    <phoneticPr fontId="6" type="noConversion"/>
  </si>
  <si>
    <t>桥梁</t>
  </si>
  <si>
    <t>Mountainpavement_3</t>
    <phoneticPr fontId="6" type="noConversion"/>
  </si>
  <si>
    <t>C30concretepavement_3</t>
    <phoneticPr fontId="6" type="noConversion"/>
  </si>
  <si>
    <t>roundtubeculvert_3</t>
    <phoneticPr fontId="6" type="noConversion"/>
  </si>
  <si>
    <t>Stonemasonrydrainageditch_3</t>
    <phoneticPr fontId="6" type="noConversion"/>
  </si>
  <si>
    <t>mortarstoneretainingwall_3</t>
    <phoneticPr fontId="6" type="noConversion"/>
  </si>
  <si>
    <t>Turfslopeprotection_3</t>
    <phoneticPr fontId="6" type="noConversion"/>
  </si>
  <si>
    <t>Signage_3</t>
    <phoneticPr fontId="6" type="noConversion"/>
  </si>
  <si>
    <t>Waveguardrail_3</t>
    <phoneticPr fontId="6" type="noConversion"/>
  </si>
  <si>
    <t>Landuse_3</t>
    <phoneticPr fontId="6" type="noConversion"/>
  </si>
  <si>
    <t>Earthexcavation_1</t>
    <phoneticPr fontId="6" type="noConversion"/>
  </si>
  <si>
    <t>Stoneexcavation_1</t>
    <phoneticPr fontId="6" type="noConversion"/>
  </si>
  <si>
    <t>Earthworkbackfill_1</t>
    <phoneticPr fontId="6" type="noConversion"/>
  </si>
  <si>
    <t>Earthexcavation_2</t>
    <phoneticPr fontId="6" type="noConversion"/>
  </si>
  <si>
    <t>Stoneexcavation_2</t>
    <phoneticPr fontId="6" type="noConversion"/>
  </si>
  <si>
    <t>Earthworkbackfill_2</t>
    <phoneticPr fontId="6" type="noConversion"/>
  </si>
  <si>
    <t>Earthexcavation_3</t>
    <phoneticPr fontId="6" type="noConversion"/>
  </si>
  <si>
    <t>Stoneexcavation_3</t>
    <phoneticPr fontId="6" type="noConversion"/>
  </si>
  <si>
    <t>Earthworkbackfill_3</t>
    <phoneticPr fontId="6" type="noConversion"/>
  </si>
  <si>
    <t>bridge_3</t>
    <phoneticPr fontId="6" type="noConversion"/>
  </si>
  <si>
    <t>Generalsiteleveling_4</t>
    <phoneticPr fontId="6" type="noConversion"/>
  </si>
  <si>
    <t>Stonemasonrydrainageditch_4</t>
    <phoneticPr fontId="6" type="noConversion"/>
  </si>
  <si>
    <t>mortarstoneprotectionslope_4</t>
    <phoneticPr fontId="6" type="noConversion"/>
  </si>
  <si>
    <t>Turfslopeprotection_4</t>
    <phoneticPr fontId="6" type="noConversion"/>
  </si>
  <si>
    <t>Earthexcavation_4</t>
    <phoneticPr fontId="6" type="noConversion"/>
  </si>
  <si>
    <t>Stoneexcavation_4</t>
    <phoneticPr fontId="6" type="noConversion"/>
  </si>
  <si>
    <t>Earthworkbackfill_4</t>
    <phoneticPr fontId="6" type="noConversion"/>
  </si>
  <si>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</si>
  <si>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</si>
  <si>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</si>
  <si>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</si>
  <si>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</si>
  <si>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</si>
  <si>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</si>
  <si>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</si>
  <si>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</si>
  <si>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M48PreStressedAnchor</t>
    <phoneticPr fontId="5" type="noConversion"/>
  </si>
  <si>
    <t>C80SecondaryGrouting</t>
    <phoneticPr fontId="5" type="noConversion"/>
  </si>
  <si>
    <t>EarthExcavation_Turbine</t>
    <phoneticPr fontId="5" type="noConversion"/>
  </si>
  <si>
    <t>StoneExcavation_Turbine</t>
    <phoneticPr fontId="5" type="noConversion"/>
  </si>
  <si>
    <t>EarthWorkBackFill_Turbine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</si>
</sst>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1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1"/>
      <color rgb="FF3F3F76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2"/>
      <color rgb="FF212121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3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" xfId="2" applyAlignment="1">
      <alignment horizontal="center" vertical="center" wrapText="1"/>
    </xf>
    <xf numFmtId="177" fontId="3" fillId="4" borderId="1" xfId="3" applyNumberFormat="1" applyAlignment="1">
      <alignment horizontal="center" vertical="center" wrapText="1"/>
    </xf>
    <xf numFmtId="0" fontId="2" fillId="3" borderId="1" xfId="2">
      <alignment vertical="center"/>
    </xf>
    <xf numFmtId="0" fontId="10" fillId="3" borderId="1" xfId="2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03;&#24314;&#24037;&#31243;&#37327;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PycharmProjects/wind_model/&#22303;&#2431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 refreshError="1"/>
      <sheetData sheetId="1" refreshError="1">
        <row r="2">
          <cell r="G2">
            <v>0.8</v>
          </cell>
          <cell r="H2">
            <v>0.19999999999999996</v>
          </cell>
        </row>
        <row r="5">
          <cell r="E5">
            <v>0.8</v>
          </cell>
          <cell r="F5">
            <v>0.19999999999999996</v>
          </cell>
          <cell r="G5" t="str">
            <v>无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条件输入"/>
      <sheetName val="风机基础数据"/>
      <sheetName val="升压站基础数据"/>
      <sheetName val="道路基础数据"/>
    </sheetNames>
    <sheetDataSet>
      <sheetData sheetId="0"/>
      <sheetData sheetId="1">
        <row r="2">
          <cell r="H2">
            <v>0.19999999999999996</v>
          </cell>
        </row>
        <row r="5">
          <cell r="A5" t="str">
            <v>丘陵</v>
          </cell>
          <cell r="E5">
            <v>0.8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E1" zoomScale="85" zoomScaleNormal="85" workbookViewId="0">
      <selection activeCell="W7" sqref="W7"/>
    </sheetView>
  </sheetViews>
  <sheetFormatPr defaultRowHeight="14.25"/>
  <cols>
    <col min="1" max="1" width="20.5" bestFit="1" customWidth="1"/>
    <col min="2" max="2" width="17" bestFit="1" customWidth="1"/>
    <col min="3" max="3" width="16.125" bestFit="1" customWidth="1"/>
    <col min="4" max="4" width="13.375" bestFit="1" customWidth="1"/>
    <col min="5" max="5" width="14.375" bestFit="1" customWidth="1"/>
    <col min="11" max="11" width="13.75" bestFit="1" customWidth="1"/>
    <col min="14" max="14" width="17.125" bestFit="1" customWidth="1"/>
    <col min="15" max="15" width="7.5" bestFit="1" customWidth="1"/>
    <col min="18" max="18" width="24.75" bestFit="1" customWidth="1"/>
    <col min="19" max="19" width="23.875" bestFit="1" customWidth="1"/>
    <col min="21" max="21" width="27.5" bestFit="1" customWidth="1"/>
    <col min="22" max="22" width="27.875" bestFit="1" customWidth="1"/>
    <col min="23" max="23" width="29.875" bestFit="1" customWidth="1"/>
  </cols>
  <sheetData>
    <row r="1" spans="1:23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20</v>
      </c>
      <c r="S1" s="2" t="s">
        <v>21</v>
      </c>
      <c r="U1" s="2" t="s">
        <v>17</v>
      </c>
      <c r="V1" s="2" t="s">
        <v>18</v>
      </c>
      <c r="W1" s="2" t="s">
        <v>19</v>
      </c>
    </row>
    <row r="2" spans="1:23" s="22" customFormat="1" ht="15">
      <c r="A2" s="22" t="s">
        <v>184</v>
      </c>
      <c r="B2" s="22" t="s">
        <v>185</v>
      </c>
      <c r="C2" s="22" t="s">
        <v>186</v>
      </c>
      <c r="D2" s="22" t="s">
        <v>187</v>
      </c>
      <c r="E2" s="22" t="s">
        <v>188</v>
      </c>
      <c r="F2" s="22" t="s">
        <v>96</v>
      </c>
      <c r="G2" s="22" t="s">
        <v>97</v>
      </c>
      <c r="H2" s="22" t="s">
        <v>93</v>
      </c>
      <c r="I2" s="22" t="s">
        <v>94</v>
      </c>
      <c r="J2" s="22" t="s">
        <v>95</v>
      </c>
      <c r="K2" s="22" t="s">
        <v>189</v>
      </c>
      <c r="L2" s="22" t="s">
        <v>190</v>
      </c>
      <c r="M2" s="22" t="s">
        <v>191</v>
      </c>
      <c r="N2" s="22" t="s">
        <v>192</v>
      </c>
      <c r="O2" s="22" t="s">
        <v>98</v>
      </c>
      <c r="P2" s="22" t="s">
        <v>99</v>
      </c>
      <c r="Q2" s="22" t="s">
        <v>100</v>
      </c>
      <c r="R2" s="22" t="s">
        <v>193</v>
      </c>
      <c r="S2" s="22" t="s">
        <v>194</v>
      </c>
      <c r="U2" s="22" t="s">
        <v>195</v>
      </c>
      <c r="V2" s="22" t="s">
        <v>196</v>
      </c>
      <c r="W2" s="22" t="s">
        <v>197</v>
      </c>
    </row>
    <row r="3" spans="1:23">
      <c r="A3" s="4">
        <v>6</v>
      </c>
      <c r="B3" s="4">
        <v>180</v>
      </c>
      <c r="C3" s="5" t="s">
        <v>22</v>
      </c>
      <c r="D3" s="1">
        <v>50000</v>
      </c>
      <c r="E3" s="6">
        <v>9.5</v>
      </c>
      <c r="F3" s="6">
        <v>3</v>
      </c>
      <c r="G3" s="6">
        <v>3</v>
      </c>
      <c r="H3" s="6">
        <v>1</v>
      </c>
      <c r="I3" s="6">
        <v>1.2</v>
      </c>
      <c r="J3" s="6">
        <v>0.8</v>
      </c>
      <c r="K3" s="6">
        <v>0</v>
      </c>
      <c r="L3" s="6">
        <v>0</v>
      </c>
      <c r="M3" s="6">
        <v>0</v>
      </c>
      <c r="N3" s="7">
        <v>0</v>
      </c>
      <c r="O3" s="8">
        <f>PI()*E3^2</f>
        <v>283.5287369864788</v>
      </c>
      <c r="P3" s="8">
        <f>PI()*E3^2*H3+PI()*G3^2*J3+PI()*(E3^2+F3^2+(E3^2*F3^2)^0.5)*I3/3</f>
        <v>466.68358869076371</v>
      </c>
      <c r="Q3" s="8">
        <f>PI()*(E3+0.1)^2*0.15</f>
        <v>43.429376843225299</v>
      </c>
      <c r="R3" s="8">
        <f t="shared" ref="R3:R34" si="0">120*(H3+I3+J3+1)</f>
        <v>480</v>
      </c>
      <c r="S3" s="9">
        <v>2</v>
      </c>
      <c r="U3" s="8">
        <f>PI()*(E3+1.3)^2*(H3+I3+J3+0.15)*[1]条件输入!$G$2</f>
        <v>923.41712512907804</v>
      </c>
      <c r="V3" s="8">
        <f>PI()*(E3+1.3)^2*(H3+I3+J3+0.15)*[1]条件输入!$H$2</f>
        <v>230.85428128226945</v>
      </c>
      <c r="W3" s="8">
        <f t="shared" ref="W3:W34" si="1">U3+V3-P3-Q3</f>
        <v>644.15844087735843</v>
      </c>
    </row>
    <row r="4" spans="1:23">
      <c r="A4" s="4">
        <v>6</v>
      </c>
      <c r="B4" s="4">
        <v>180</v>
      </c>
      <c r="C4" s="5" t="s">
        <v>22</v>
      </c>
      <c r="D4" s="1">
        <v>60000</v>
      </c>
      <c r="E4" s="6">
        <v>10</v>
      </c>
      <c r="F4" s="6">
        <v>3</v>
      </c>
      <c r="G4" s="6">
        <v>3</v>
      </c>
      <c r="H4" s="6">
        <v>1</v>
      </c>
      <c r="I4" s="6">
        <v>1.4</v>
      </c>
      <c r="J4" s="6">
        <v>0.8</v>
      </c>
      <c r="K4" s="6">
        <v>0</v>
      </c>
      <c r="L4" s="6">
        <v>0</v>
      </c>
      <c r="M4" s="6">
        <v>0</v>
      </c>
      <c r="N4" s="7">
        <v>0</v>
      </c>
      <c r="O4" s="8">
        <f>PI()*E4^2</f>
        <v>314.15926535897933</v>
      </c>
      <c r="P4" s="8">
        <f>PI()*E4^2*H4+PI()*G4^2*J4+PI()*(E4^2+F4^2+(E4^2*F4^2)^0.5)*I4/3</f>
        <v>540.56337592768375</v>
      </c>
      <c r="Q4" s="8">
        <f>PI()*(E4+0.1)^2*0.15</f>
        <v>48.071079988904216</v>
      </c>
      <c r="R4" s="8">
        <f t="shared" si="0"/>
        <v>504</v>
      </c>
      <c r="S4" s="9">
        <v>2</v>
      </c>
      <c r="U4" s="8">
        <f>PI()*(E4+1.3)^2*(H4+I4+J4+0.15)*[1]条件输入!$G$2</f>
        <v>1075.0819087108405</v>
      </c>
      <c r="V4" s="8">
        <f>PI()*(E4+1.3)^2*(H4+I4+J4+0.15)*[1]条件输入!$H$2</f>
        <v>268.77047717771006</v>
      </c>
      <c r="W4" s="8">
        <f t="shared" si="1"/>
        <v>755.21792997196258</v>
      </c>
    </row>
    <row r="5" spans="1:23">
      <c r="A5" s="4">
        <v>6</v>
      </c>
      <c r="B5" s="4">
        <v>180</v>
      </c>
      <c r="C5" s="5" t="s">
        <v>22</v>
      </c>
      <c r="D5" s="1">
        <v>70000</v>
      </c>
      <c r="E5" s="6">
        <v>10.25</v>
      </c>
      <c r="F5" s="6">
        <v>3</v>
      </c>
      <c r="G5" s="6">
        <v>3</v>
      </c>
      <c r="H5" s="6">
        <v>1</v>
      </c>
      <c r="I5" s="6">
        <v>1.6</v>
      </c>
      <c r="J5" s="6">
        <v>1</v>
      </c>
      <c r="K5" s="6">
        <v>0</v>
      </c>
      <c r="L5" s="6">
        <v>0</v>
      </c>
      <c r="M5" s="6">
        <v>0</v>
      </c>
      <c r="N5" s="7">
        <v>0</v>
      </c>
      <c r="O5" s="8">
        <f t="shared" ref="O5:O68" si="2">PI()*E5^2</f>
        <v>330.06357816777762</v>
      </c>
      <c r="P5" s="8">
        <f t="shared" ref="P5:P26" si="3">PI()*E5^2*H5+PI()*G5^2*J5+PI()*(E5^2+F5^2+(E5^2*F5^2)^0.5)*I5/3</f>
        <v>600.97358466233754</v>
      </c>
      <c r="Q5" s="8">
        <f t="shared" ref="Q5:Q26" si="4">PI()*(E5+0.1)^2*0.15</f>
        <v>50.480288855125885</v>
      </c>
      <c r="R5" s="8">
        <f t="shared" si="0"/>
        <v>552</v>
      </c>
      <c r="S5" s="9">
        <v>2</v>
      </c>
      <c r="U5" s="8">
        <f>PI()*(E5+1.3)^2*(H5+I5+J5+0.15)*[1]条件输入!$G$2</f>
        <v>1257.2889419115372</v>
      </c>
      <c r="V5" s="8">
        <f>PI()*(E5+1.3)^2*(H5+I5+J5+0.15)*[1]条件输入!$H$2</f>
        <v>314.32223547788419</v>
      </c>
      <c r="W5" s="8">
        <f t="shared" si="1"/>
        <v>920.15730387195788</v>
      </c>
    </row>
    <row r="6" spans="1:23">
      <c r="A6" s="4">
        <v>6</v>
      </c>
      <c r="B6" s="4">
        <v>180</v>
      </c>
      <c r="C6" s="5" t="s">
        <v>22</v>
      </c>
      <c r="D6" s="1">
        <v>80000</v>
      </c>
      <c r="E6" s="6">
        <v>10.25</v>
      </c>
      <c r="F6" s="6">
        <v>3</v>
      </c>
      <c r="G6" s="6">
        <v>3</v>
      </c>
      <c r="H6" s="6">
        <v>1</v>
      </c>
      <c r="I6" s="6">
        <v>1.7</v>
      </c>
      <c r="J6" s="6">
        <v>1</v>
      </c>
      <c r="K6" s="6">
        <v>0</v>
      </c>
      <c r="L6" s="6">
        <v>0</v>
      </c>
      <c r="M6" s="6">
        <v>0</v>
      </c>
      <c r="N6" s="7">
        <v>0</v>
      </c>
      <c r="O6" s="8">
        <f t="shared" si="2"/>
        <v>330.06357816777762</v>
      </c>
      <c r="P6" s="8">
        <f t="shared" si="3"/>
        <v>616.13831420060319</v>
      </c>
      <c r="Q6" s="8">
        <f t="shared" si="4"/>
        <v>50.480288855125885</v>
      </c>
      <c r="R6" s="8">
        <f t="shared" si="0"/>
        <v>564</v>
      </c>
      <c r="S6" s="9">
        <v>2</v>
      </c>
      <c r="U6" s="8">
        <f>PI()*(E6+1.3)^2*(H6+I6+J6+0.15)*[1]条件输入!$G$2</f>
        <v>1290.8166470291781</v>
      </c>
      <c r="V6" s="8">
        <f>PI()*(E6+1.3)^2*(H6+I6+J6+0.15)*[1]条件输入!$H$2</f>
        <v>322.70416175729446</v>
      </c>
      <c r="W6" s="8">
        <f t="shared" si="1"/>
        <v>946.9022057307435</v>
      </c>
    </row>
    <row r="7" spans="1:23">
      <c r="A7" s="4">
        <v>6</v>
      </c>
      <c r="B7" s="4">
        <v>180</v>
      </c>
      <c r="C7" s="5" t="s">
        <v>22</v>
      </c>
      <c r="D7" s="1">
        <v>90000</v>
      </c>
      <c r="E7" s="6">
        <v>10.75</v>
      </c>
      <c r="F7" s="6">
        <v>3</v>
      </c>
      <c r="G7" s="6">
        <v>3</v>
      </c>
      <c r="H7" s="6">
        <v>1</v>
      </c>
      <c r="I7" s="6">
        <v>1.7</v>
      </c>
      <c r="J7" s="6">
        <v>1</v>
      </c>
      <c r="K7" s="6">
        <v>0</v>
      </c>
      <c r="L7" s="6">
        <v>0</v>
      </c>
      <c r="M7" s="6">
        <v>0</v>
      </c>
      <c r="N7" s="7">
        <v>0</v>
      </c>
      <c r="O7" s="8">
        <f t="shared" si="2"/>
        <v>363.05030103047045</v>
      </c>
      <c r="P7" s="8">
        <f t="shared" si="3"/>
        <v>670.48786710770662</v>
      </c>
      <c r="Q7" s="8">
        <f t="shared" si="4"/>
        <v>55.475421174333661</v>
      </c>
      <c r="R7" s="8">
        <f t="shared" si="0"/>
        <v>564</v>
      </c>
      <c r="S7" s="9">
        <v>2</v>
      </c>
      <c r="U7" s="8">
        <f>PI()*(E7+1.3)^2*(H7+I7+J7+0.15)*[1]条件输入!$G$2</f>
        <v>1404.9946904312458</v>
      </c>
      <c r="V7" s="8">
        <f>PI()*(E7+1.3)^2*(H7+I7+J7+0.15)*[1]条件输入!$H$2</f>
        <v>351.24867260781133</v>
      </c>
      <c r="W7" s="8">
        <f t="shared" si="1"/>
        <v>1030.280074757017</v>
      </c>
    </row>
    <row r="8" spans="1:23">
      <c r="A8" s="4">
        <v>6</v>
      </c>
      <c r="B8" s="4">
        <v>180</v>
      </c>
      <c r="C8" s="5" t="s">
        <v>22</v>
      </c>
      <c r="D8" s="1">
        <v>100000</v>
      </c>
      <c r="E8" s="6">
        <v>11</v>
      </c>
      <c r="F8" s="6">
        <v>3</v>
      </c>
      <c r="G8" s="6">
        <v>3</v>
      </c>
      <c r="H8" s="6">
        <v>1</v>
      </c>
      <c r="I8" s="6">
        <v>1.8</v>
      </c>
      <c r="J8" s="6">
        <v>1</v>
      </c>
      <c r="K8" s="6">
        <v>0</v>
      </c>
      <c r="L8" s="6">
        <v>0</v>
      </c>
      <c r="M8" s="6">
        <v>0</v>
      </c>
      <c r="N8" s="7">
        <v>0</v>
      </c>
      <c r="O8" s="8">
        <f t="shared" si="2"/>
        <v>380.13271108436498</v>
      </c>
      <c r="P8" s="8">
        <f t="shared" si="3"/>
        <v>715.65480648775497</v>
      </c>
      <c r="Q8" s="8">
        <f t="shared" si="4"/>
        <v>58.061344627319755</v>
      </c>
      <c r="R8" s="8">
        <f t="shared" si="0"/>
        <v>576</v>
      </c>
      <c r="S8" s="9">
        <v>2</v>
      </c>
      <c r="U8" s="8">
        <f>PI()*(E8+1.3)^2*(H8+I8+J8+0.15)*[1]条件输入!$G$2</f>
        <v>1501.9213060946556</v>
      </c>
      <c r="V8" s="8">
        <f>PI()*(E8+1.3)^2*(H8+I8+J8+0.15)*[1]条件输入!$H$2</f>
        <v>375.48032652366379</v>
      </c>
      <c r="W8" s="8">
        <f t="shared" si="1"/>
        <v>1103.6854815032445</v>
      </c>
    </row>
    <row r="9" spans="1:23">
      <c r="A9" s="4">
        <v>6</v>
      </c>
      <c r="B9" s="4">
        <v>180</v>
      </c>
      <c r="C9" s="5" t="s">
        <v>22</v>
      </c>
      <c r="D9" s="1">
        <v>110000</v>
      </c>
      <c r="E9" s="6">
        <v>11.5</v>
      </c>
      <c r="F9" s="6">
        <v>3</v>
      </c>
      <c r="G9" s="6">
        <v>3</v>
      </c>
      <c r="H9" s="6">
        <v>1.1000000000000001</v>
      </c>
      <c r="I9" s="6">
        <v>1.8</v>
      </c>
      <c r="J9" s="6">
        <v>1</v>
      </c>
      <c r="K9" s="6">
        <v>0</v>
      </c>
      <c r="L9" s="6">
        <v>0</v>
      </c>
      <c r="M9" s="6">
        <v>0</v>
      </c>
      <c r="N9" s="7">
        <v>0</v>
      </c>
      <c r="O9" s="8">
        <f t="shared" si="2"/>
        <v>415.47562843725012</v>
      </c>
      <c r="P9" s="8">
        <f t="shared" si="3"/>
        <v>816.578470484327</v>
      </c>
      <c r="Q9" s="8">
        <f t="shared" si="4"/>
        <v>63.409906120056384</v>
      </c>
      <c r="R9" s="8">
        <f t="shared" si="0"/>
        <v>588</v>
      </c>
      <c r="S9" s="9">
        <v>2</v>
      </c>
      <c r="U9" s="8">
        <f>PI()*(E9+1.3)^2*(H9+I9+J9+0.15)*[1]条件输入!$G$2</f>
        <v>1667.6880707798518</v>
      </c>
      <c r="V9" s="8">
        <f>PI()*(E9+1.3)^2*(H9+I9+J9+0.15)*[1]条件输入!$H$2</f>
        <v>416.92201769496285</v>
      </c>
      <c r="W9" s="8">
        <f t="shared" si="1"/>
        <v>1204.6217118704315</v>
      </c>
    </row>
    <row r="10" spans="1:23">
      <c r="A10" s="4">
        <v>6</v>
      </c>
      <c r="B10" s="4">
        <v>180</v>
      </c>
      <c r="C10" s="5" t="s">
        <v>22</v>
      </c>
      <c r="D10" s="1">
        <v>120000</v>
      </c>
      <c r="E10" s="6">
        <v>12</v>
      </c>
      <c r="F10" s="6">
        <v>3</v>
      </c>
      <c r="G10" s="6">
        <v>3</v>
      </c>
      <c r="H10" s="6">
        <v>1.2</v>
      </c>
      <c r="I10" s="6">
        <v>1.8</v>
      </c>
      <c r="J10" s="6">
        <v>1</v>
      </c>
      <c r="K10" s="6">
        <v>0</v>
      </c>
      <c r="L10" s="6">
        <v>0</v>
      </c>
      <c r="M10" s="6">
        <v>0</v>
      </c>
      <c r="N10" s="7">
        <v>0</v>
      </c>
      <c r="O10" s="8">
        <f t="shared" si="2"/>
        <v>452.38934211693021</v>
      </c>
      <c r="P10" s="8">
        <f t="shared" si="3"/>
        <v>927.39815133970694</v>
      </c>
      <c r="Q10" s="8">
        <f t="shared" si="4"/>
        <v>68.994087061812237</v>
      </c>
      <c r="R10" s="8">
        <f t="shared" si="0"/>
        <v>600</v>
      </c>
      <c r="S10" s="9">
        <v>2</v>
      </c>
      <c r="U10" s="8">
        <f>PI()*(E10+1.3)^2*(H10+I10+J10+0.15)*[1]条件输入!$G$2</f>
        <v>1844.9781973184154</v>
      </c>
      <c r="V10" s="8">
        <f>PI()*(E10+1.3)^2*(H10+I10+J10+0.15)*[1]条件输入!$H$2</f>
        <v>461.24454932960367</v>
      </c>
      <c r="W10" s="8">
        <f t="shared" si="1"/>
        <v>1309.8305082464997</v>
      </c>
    </row>
    <row r="11" spans="1:23">
      <c r="A11" s="4">
        <v>6</v>
      </c>
      <c r="B11" s="4">
        <v>180</v>
      </c>
      <c r="C11" s="5" t="s">
        <v>23</v>
      </c>
      <c r="D11" s="1">
        <v>50000</v>
      </c>
      <c r="E11" s="6">
        <v>9</v>
      </c>
      <c r="F11" s="6">
        <v>3</v>
      </c>
      <c r="G11" s="6">
        <v>3</v>
      </c>
      <c r="H11" s="6">
        <v>1</v>
      </c>
      <c r="I11" s="6">
        <v>1.2</v>
      </c>
      <c r="J11" s="6">
        <v>0.8</v>
      </c>
      <c r="K11" s="6">
        <v>0.6</v>
      </c>
      <c r="L11" s="6">
        <v>20</v>
      </c>
      <c r="M11" s="6">
        <v>20</v>
      </c>
      <c r="N11" s="7">
        <f t="shared" ref="N11:N26" si="5">L11*M11</f>
        <v>400</v>
      </c>
      <c r="O11" s="8">
        <f t="shared" si="2"/>
        <v>254.46900494077323</v>
      </c>
      <c r="P11" s="8">
        <f t="shared" si="3"/>
        <v>424.11500823462211</v>
      </c>
      <c r="Q11" s="8">
        <f t="shared" si="4"/>
        <v>39.023293146565614</v>
      </c>
      <c r="R11" s="8">
        <f t="shared" si="0"/>
        <v>480</v>
      </c>
      <c r="S11" s="9">
        <v>2</v>
      </c>
      <c r="U11" s="8">
        <f>PI()*(E11+1.3)^2*(H11+I11+J11+0.15)*[1]条件输入!$G$2</f>
        <v>839.89474284073992</v>
      </c>
      <c r="V11" s="8">
        <f>PI()*(E11+1.3)^2*(H11+I11+J11+0.15)*[1]条件输入!$H$2</f>
        <v>209.97368571018492</v>
      </c>
      <c r="W11" s="8">
        <f t="shared" si="1"/>
        <v>586.7301271697371</v>
      </c>
    </row>
    <row r="12" spans="1:23">
      <c r="A12" s="4">
        <v>6</v>
      </c>
      <c r="B12" s="4">
        <v>180</v>
      </c>
      <c r="C12" s="5" t="s">
        <v>23</v>
      </c>
      <c r="D12" s="1">
        <v>60000</v>
      </c>
      <c r="E12" s="6">
        <v>9.5</v>
      </c>
      <c r="F12" s="6">
        <v>3</v>
      </c>
      <c r="G12" s="6">
        <v>3</v>
      </c>
      <c r="H12" s="6">
        <v>1</v>
      </c>
      <c r="I12" s="6">
        <v>1.2</v>
      </c>
      <c r="J12" s="6">
        <v>0.8</v>
      </c>
      <c r="K12" s="6">
        <v>0.6</v>
      </c>
      <c r="L12" s="6">
        <v>22</v>
      </c>
      <c r="M12" s="6">
        <v>20</v>
      </c>
      <c r="N12" s="7">
        <f t="shared" si="5"/>
        <v>440</v>
      </c>
      <c r="O12" s="8">
        <f t="shared" si="2"/>
        <v>283.5287369864788</v>
      </c>
      <c r="P12" s="8">
        <f t="shared" si="3"/>
        <v>466.68358869076371</v>
      </c>
      <c r="Q12" s="8">
        <f>PI()*(E12+0.1)^2*0.15</f>
        <v>43.429376843225299</v>
      </c>
      <c r="R12" s="8">
        <f t="shared" si="0"/>
        <v>480</v>
      </c>
      <c r="S12" s="9">
        <v>2</v>
      </c>
      <c r="U12" s="8">
        <f>PI()*(E12+1.3)^2*(H12+I12+J12+0.15)*[1]条件输入!$G$2</f>
        <v>923.41712512907804</v>
      </c>
      <c r="V12" s="8">
        <f>PI()*(E12+1.3)^2*(H12+I12+J12+0.15)*[1]条件输入!$H$2</f>
        <v>230.85428128226945</v>
      </c>
      <c r="W12" s="8">
        <f t="shared" si="1"/>
        <v>644.15844087735843</v>
      </c>
    </row>
    <row r="13" spans="1:23">
      <c r="A13" s="4">
        <v>6</v>
      </c>
      <c r="B13" s="4">
        <v>180</v>
      </c>
      <c r="C13" s="5" t="s">
        <v>23</v>
      </c>
      <c r="D13" s="1">
        <v>70000</v>
      </c>
      <c r="E13" s="6">
        <v>9.5</v>
      </c>
      <c r="F13" s="6">
        <v>3</v>
      </c>
      <c r="G13" s="6">
        <v>3</v>
      </c>
      <c r="H13" s="6">
        <v>1</v>
      </c>
      <c r="I13" s="6">
        <v>1.2</v>
      </c>
      <c r="J13" s="6">
        <v>0.8</v>
      </c>
      <c r="K13" s="6">
        <v>0.6</v>
      </c>
      <c r="L13" s="6">
        <v>24</v>
      </c>
      <c r="M13" s="6">
        <v>20</v>
      </c>
      <c r="N13" s="7">
        <f t="shared" si="5"/>
        <v>480</v>
      </c>
      <c r="O13" s="8">
        <f t="shared" si="2"/>
        <v>283.5287369864788</v>
      </c>
      <c r="P13" s="8">
        <f t="shared" si="3"/>
        <v>466.68358869076371</v>
      </c>
      <c r="Q13" s="8">
        <f t="shared" si="4"/>
        <v>43.429376843225299</v>
      </c>
      <c r="R13" s="8">
        <f t="shared" si="0"/>
        <v>480</v>
      </c>
      <c r="S13" s="9">
        <v>2</v>
      </c>
      <c r="U13" s="8">
        <f>PI()*(E13+1.3)^2*(H13+I13+J13+0.15)*[1]条件输入!$G$2</f>
        <v>923.41712512907804</v>
      </c>
      <c r="V13" s="8">
        <f>PI()*(E13+1.3)^2*(H13+I13+J13+0.15)*[1]条件输入!$H$2</f>
        <v>230.85428128226945</v>
      </c>
      <c r="W13" s="8">
        <f t="shared" si="1"/>
        <v>644.15844087735843</v>
      </c>
    </row>
    <row r="14" spans="1:23">
      <c r="A14" s="4">
        <v>6</v>
      </c>
      <c r="B14" s="4">
        <v>180</v>
      </c>
      <c r="C14" s="5" t="s">
        <v>23</v>
      </c>
      <c r="D14" s="1">
        <v>80000</v>
      </c>
      <c r="E14" s="6">
        <v>10</v>
      </c>
      <c r="F14" s="6">
        <v>3</v>
      </c>
      <c r="G14" s="6">
        <v>3</v>
      </c>
      <c r="H14" s="6">
        <v>1</v>
      </c>
      <c r="I14" s="6">
        <v>1.4</v>
      </c>
      <c r="J14" s="6">
        <v>1</v>
      </c>
      <c r="K14" s="6">
        <v>0.6</v>
      </c>
      <c r="L14" s="6">
        <v>26</v>
      </c>
      <c r="M14" s="6">
        <v>20</v>
      </c>
      <c r="N14" s="7">
        <f t="shared" si="5"/>
        <v>520</v>
      </c>
      <c r="O14" s="8">
        <f t="shared" si="2"/>
        <v>314.15926535897933</v>
      </c>
      <c r="P14" s="8">
        <f t="shared" si="3"/>
        <v>546.21824270414538</v>
      </c>
      <c r="Q14" s="8">
        <f t="shared" si="4"/>
        <v>48.071079988904216</v>
      </c>
      <c r="R14" s="8">
        <f t="shared" si="0"/>
        <v>528</v>
      </c>
      <c r="S14" s="9">
        <v>2</v>
      </c>
      <c r="U14" s="8">
        <f>PI()*(E14+1.3)^2*(H14+I14+J14+0.15)*[1]条件输入!$G$2</f>
        <v>1139.2659032607414</v>
      </c>
      <c r="V14" s="8">
        <f>PI()*(E14+1.3)^2*(H14+I14+J14+0.15)*[1]条件输入!$H$2</f>
        <v>284.81647581518524</v>
      </c>
      <c r="W14" s="8">
        <f t="shared" si="1"/>
        <v>829.79305638287701</v>
      </c>
    </row>
    <row r="15" spans="1:23">
      <c r="A15" s="4">
        <v>6</v>
      </c>
      <c r="B15" s="4">
        <v>180</v>
      </c>
      <c r="C15" s="5" t="s">
        <v>23</v>
      </c>
      <c r="D15" s="1">
        <v>90000</v>
      </c>
      <c r="E15" s="6">
        <v>10</v>
      </c>
      <c r="F15" s="6">
        <v>3</v>
      </c>
      <c r="G15" s="6">
        <v>3</v>
      </c>
      <c r="H15" s="6">
        <v>1</v>
      </c>
      <c r="I15" s="6">
        <v>1.4</v>
      </c>
      <c r="J15" s="6">
        <v>1</v>
      </c>
      <c r="K15" s="6">
        <v>0.6</v>
      </c>
      <c r="L15" s="6">
        <v>28</v>
      </c>
      <c r="M15" s="6">
        <v>20</v>
      </c>
      <c r="N15" s="7">
        <f t="shared" si="5"/>
        <v>560</v>
      </c>
      <c r="O15" s="8">
        <f t="shared" si="2"/>
        <v>314.15926535897933</v>
      </c>
      <c r="P15" s="8">
        <f t="shared" si="3"/>
        <v>546.21824270414538</v>
      </c>
      <c r="Q15" s="8">
        <f t="shared" si="4"/>
        <v>48.071079988904216</v>
      </c>
      <c r="R15" s="8">
        <f t="shared" si="0"/>
        <v>528</v>
      </c>
      <c r="S15" s="9">
        <v>2</v>
      </c>
      <c r="U15" s="8">
        <f>PI()*(E15+1.3)^2*(H15+I15+J15+0.15)*[1]条件输入!$G$2</f>
        <v>1139.2659032607414</v>
      </c>
      <c r="V15" s="8">
        <f>PI()*(E15+1.3)^2*(H15+I15+J15+0.15)*[1]条件输入!$H$2</f>
        <v>284.81647581518524</v>
      </c>
      <c r="W15" s="8">
        <f t="shared" si="1"/>
        <v>829.79305638287701</v>
      </c>
    </row>
    <row r="16" spans="1:23">
      <c r="A16" s="4">
        <v>6</v>
      </c>
      <c r="B16" s="4">
        <v>180</v>
      </c>
      <c r="C16" s="5" t="s">
        <v>23</v>
      </c>
      <c r="D16" s="1">
        <v>100000</v>
      </c>
      <c r="E16" s="6">
        <v>10.25</v>
      </c>
      <c r="F16" s="6">
        <v>3</v>
      </c>
      <c r="G16" s="6">
        <v>3</v>
      </c>
      <c r="H16" s="6">
        <v>1.1000000000000001</v>
      </c>
      <c r="I16" s="6">
        <v>1.4</v>
      </c>
      <c r="J16" s="6">
        <v>1</v>
      </c>
      <c r="K16" s="6">
        <v>0.6</v>
      </c>
      <c r="L16" s="6">
        <v>30</v>
      </c>
      <c r="M16" s="6">
        <v>20</v>
      </c>
      <c r="N16" s="7">
        <f t="shared" si="5"/>
        <v>600</v>
      </c>
      <c r="O16" s="8">
        <f t="shared" si="2"/>
        <v>330.06357816777762</v>
      </c>
      <c r="P16" s="8">
        <f t="shared" si="3"/>
        <v>603.65048340258375</v>
      </c>
      <c r="Q16" s="8">
        <f t="shared" si="4"/>
        <v>50.480288855125885</v>
      </c>
      <c r="R16" s="8">
        <f t="shared" si="0"/>
        <v>540</v>
      </c>
      <c r="S16" s="9">
        <v>2</v>
      </c>
      <c r="U16" s="8">
        <f>PI()*(E16+1.3)^2*(H16+I16+J16+0.15)*[1]条件输入!$G$2</f>
        <v>1223.7612367938962</v>
      </c>
      <c r="V16" s="8">
        <f>PI()*(E16+1.3)^2*(H16+I16+J16+0.15)*[1]条件输入!$H$2</f>
        <v>305.94030919847393</v>
      </c>
      <c r="W16" s="8">
        <f t="shared" si="1"/>
        <v>875.57077373466041</v>
      </c>
    </row>
    <row r="17" spans="1:23">
      <c r="A17" s="4">
        <v>6</v>
      </c>
      <c r="B17" s="4">
        <v>180</v>
      </c>
      <c r="C17" s="5" t="s">
        <v>23</v>
      </c>
      <c r="D17" s="1">
        <v>110000</v>
      </c>
      <c r="E17" s="6">
        <v>10.25</v>
      </c>
      <c r="F17" s="6">
        <v>3</v>
      </c>
      <c r="G17" s="6">
        <v>3</v>
      </c>
      <c r="H17" s="6">
        <v>1.1000000000000001</v>
      </c>
      <c r="I17" s="6">
        <v>1.4</v>
      </c>
      <c r="J17" s="6">
        <v>1</v>
      </c>
      <c r="K17" s="6">
        <v>0.6</v>
      </c>
      <c r="L17" s="6">
        <v>32</v>
      </c>
      <c r="M17" s="6">
        <v>20</v>
      </c>
      <c r="N17" s="7">
        <f t="shared" si="5"/>
        <v>640</v>
      </c>
      <c r="O17" s="8">
        <f t="shared" si="2"/>
        <v>330.06357816777762</v>
      </c>
      <c r="P17" s="8">
        <f t="shared" si="3"/>
        <v>603.65048340258375</v>
      </c>
      <c r="Q17" s="8">
        <f t="shared" si="4"/>
        <v>50.480288855125885</v>
      </c>
      <c r="R17" s="8">
        <f t="shared" si="0"/>
        <v>540</v>
      </c>
      <c r="S17" s="9">
        <v>2</v>
      </c>
      <c r="U17" s="8">
        <f>PI()*(E17+1.3)^2*(H17+I17+J17+0.15)*[1]条件输入!$G$2</f>
        <v>1223.7612367938962</v>
      </c>
      <c r="V17" s="8">
        <f>PI()*(E17+1.3)^2*(H17+I17+J17+0.15)*[1]条件输入!$H$2</f>
        <v>305.94030919847393</v>
      </c>
      <c r="W17" s="8">
        <f t="shared" si="1"/>
        <v>875.57077373466041</v>
      </c>
    </row>
    <row r="18" spans="1:23">
      <c r="A18" s="4">
        <v>6</v>
      </c>
      <c r="B18" s="4">
        <v>180</v>
      </c>
      <c r="C18" s="5" t="s">
        <v>23</v>
      </c>
      <c r="D18" s="1">
        <v>120000</v>
      </c>
      <c r="E18" s="6">
        <v>10.5</v>
      </c>
      <c r="F18" s="6">
        <v>3</v>
      </c>
      <c r="G18" s="6">
        <v>3</v>
      </c>
      <c r="H18" s="6">
        <v>1.2</v>
      </c>
      <c r="I18" s="6">
        <v>1.4</v>
      </c>
      <c r="J18" s="6">
        <v>1</v>
      </c>
      <c r="K18" s="6">
        <v>0.6</v>
      </c>
      <c r="L18" s="6">
        <v>34</v>
      </c>
      <c r="M18" s="6">
        <v>20</v>
      </c>
      <c r="N18" s="7">
        <f t="shared" si="5"/>
        <v>680</v>
      </c>
      <c r="O18" s="8">
        <f t="shared" si="2"/>
        <v>346.36059005827468</v>
      </c>
      <c r="P18" s="8">
        <f t="shared" si="3"/>
        <v>664.91808513227966</v>
      </c>
      <c r="Q18" s="8">
        <f t="shared" si="4"/>
        <v>52.948402583602373</v>
      </c>
      <c r="R18" s="8">
        <f t="shared" si="0"/>
        <v>552</v>
      </c>
      <c r="S18" s="9">
        <v>2</v>
      </c>
      <c r="U18" s="8">
        <f>PI()*(E18+1.3)^2*(H18+I18+J18+0.15)*[1]条件输入!$G$2</f>
        <v>1312.3060832575284</v>
      </c>
      <c r="V18" s="8">
        <f>PI()*(E18+1.3)^2*(H18+I18+J18+0.15)*[1]条件输入!$H$2</f>
        <v>328.07652081438204</v>
      </c>
      <c r="W18" s="8">
        <f t="shared" si="1"/>
        <v>922.51611635602842</v>
      </c>
    </row>
    <row r="19" spans="1:23">
      <c r="A19" s="4">
        <v>6</v>
      </c>
      <c r="B19" s="4">
        <v>180</v>
      </c>
      <c r="C19" s="5" t="s">
        <v>24</v>
      </c>
      <c r="D19" s="1">
        <v>50000</v>
      </c>
      <c r="E19" s="6">
        <v>9</v>
      </c>
      <c r="F19" s="6">
        <v>3</v>
      </c>
      <c r="G19" s="6">
        <v>3</v>
      </c>
      <c r="H19" s="6">
        <v>1</v>
      </c>
      <c r="I19" s="6">
        <v>1.2</v>
      </c>
      <c r="J19" s="6">
        <v>0.8</v>
      </c>
      <c r="K19" s="6">
        <v>1</v>
      </c>
      <c r="L19" s="6">
        <v>18</v>
      </c>
      <c r="M19" s="6">
        <v>20</v>
      </c>
      <c r="N19" s="7">
        <f t="shared" si="5"/>
        <v>360</v>
      </c>
      <c r="O19" s="8">
        <f t="shared" si="2"/>
        <v>254.46900494077323</v>
      </c>
      <c r="P19" s="8">
        <f t="shared" si="3"/>
        <v>424.11500823462211</v>
      </c>
      <c r="Q19" s="8">
        <f t="shared" si="4"/>
        <v>39.023293146565614</v>
      </c>
      <c r="R19" s="8">
        <f t="shared" si="0"/>
        <v>480</v>
      </c>
      <c r="S19" s="9">
        <v>2</v>
      </c>
      <c r="U19" s="8">
        <f>PI()*(E19+1.3)^2*(H19+I19+J19+0.15)*[1]条件输入!$G$2</f>
        <v>839.89474284073992</v>
      </c>
      <c r="V19" s="8">
        <f>PI()*(E19+1.3)^2*(H19+I19+J19+0.15)*[1]条件输入!$H$2</f>
        <v>209.97368571018492</v>
      </c>
      <c r="W19" s="8">
        <f t="shared" si="1"/>
        <v>586.7301271697371</v>
      </c>
    </row>
    <row r="20" spans="1:23">
      <c r="A20" s="4">
        <v>6</v>
      </c>
      <c r="B20" s="4">
        <v>180</v>
      </c>
      <c r="C20" s="5" t="s">
        <v>24</v>
      </c>
      <c r="D20" s="1">
        <v>60000</v>
      </c>
      <c r="E20" s="6">
        <v>9.5</v>
      </c>
      <c r="F20" s="6">
        <v>3</v>
      </c>
      <c r="G20" s="6">
        <v>3</v>
      </c>
      <c r="H20" s="6">
        <v>1</v>
      </c>
      <c r="I20" s="6">
        <v>1.2</v>
      </c>
      <c r="J20" s="6">
        <v>0.8</v>
      </c>
      <c r="K20" s="6">
        <v>1</v>
      </c>
      <c r="L20" s="6">
        <v>20</v>
      </c>
      <c r="M20" s="6">
        <v>20</v>
      </c>
      <c r="N20" s="7">
        <f t="shared" si="5"/>
        <v>400</v>
      </c>
      <c r="O20" s="8">
        <f t="shared" si="2"/>
        <v>283.5287369864788</v>
      </c>
      <c r="P20" s="8">
        <f t="shared" si="3"/>
        <v>466.68358869076371</v>
      </c>
      <c r="Q20" s="8">
        <f t="shared" si="4"/>
        <v>43.429376843225299</v>
      </c>
      <c r="R20" s="8">
        <f t="shared" si="0"/>
        <v>480</v>
      </c>
      <c r="S20" s="9">
        <v>2</v>
      </c>
      <c r="U20" s="8">
        <f>PI()*(E20+1.3)^2*(H20+I20+J20+0.15)*[1]条件输入!$G$2</f>
        <v>923.41712512907804</v>
      </c>
      <c r="V20" s="8">
        <f>PI()*(E20+1.3)^2*(H20+I20+J20+0.15)*[1]条件输入!$H$2</f>
        <v>230.85428128226945</v>
      </c>
      <c r="W20" s="8">
        <f t="shared" si="1"/>
        <v>644.15844087735843</v>
      </c>
    </row>
    <row r="21" spans="1:23">
      <c r="A21" s="4">
        <v>6</v>
      </c>
      <c r="B21" s="4">
        <v>180</v>
      </c>
      <c r="C21" s="5" t="s">
        <v>24</v>
      </c>
      <c r="D21" s="1">
        <v>70000</v>
      </c>
      <c r="E21" s="6">
        <v>9.5</v>
      </c>
      <c r="F21" s="6">
        <v>3</v>
      </c>
      <c r="G21" s="6">
        <v>3</v>
      </c>
      <c r="H21" s="6">
        <v>1</v>
      </c>
      <c r="I21" s="6">
        <v>1.2</v>
      </c>
      <c r="J21" s="6">
        <v>0.8</v>
      </c>
      <c r="K21" s="6">
        <v>1</v>
      </c>
      <c r="L21" s="6">
        <v>22</v>
      </c>
      <c r="M21" s="6">
        <v>20</v>
      </c>
      <c r="N21" s="7">
        <f t="shared" si="5"/>
        <v>440</v>
      </c>
      <c r="O21" s="8">
        <f t="shared" si="2"/>
        <v>283.5287369864788</v>
      </c>
      <c r="P21" s="8">
        <f t="shared" si="3"/>
        <v>466.68358869076371</v>
      </c>
      <c r="Q21" s="8">
        <f t="shared" si="4"/>
        <v>43.429376843225299</v>
      </c>
      <c r="R21" s="8">
        <f t="shared" si="0"/>
        <v>480</v>
      </c>
      <c r="S21" s="9">
        <v>2</v>
      </c>
      <c r="U21" s="8">
        <f>PI()*(E21+1.3)^2*(H21+I21+J21+0.15)*[1]条件输入!$G$2</f>
        <v>923.41712512907804</v>
      </c>
      <c r="V21" s="8">
        <f>PI()*(E21+1.3)^2*(H21+I21+J21+0.15)*[1]条件输入!$H$2</f>
        <v>230.85428128226945</v>
      </c>
      <c r="W21" s="8">
        <f t="shared" si="1"/>
        <v>644.15844087735843</v>
      </c>
    </row>
    <row r="22" spans="1:23">
      <c r="A22" s="4">
        <v>6</v>
      </c>
      <c r="B22" s="4">
        <v>180</v>
      </c>
      <c r="C22" s="5" t="s">
        <v>24</v>
      </c>
      <c r="D22" s="1">
        <v>80000</v>
      </c>
      <c r="E22" s="6">
        <v>10</v>
      </c>
      <c r="F22" s="6">
        <v>3</v>
      </c>
      <c r="G22" s="6">
        <v>3</v>
      </c>
      <c r="H22" s="6">
        <v>1</v>
      </c>
      <c r="I22" s="6">
        <v>1.4</v>
      </c>
      <c r="J22" s="6">
        <v>1</v>
      </c>
      <c r="K22" s="6">
        <v>1</v>
      </c>
      <c r="L22" s="6">
        <v>24</v>
      </c>
      <c r="M22" s="6">
        <v>20</v>
      </c>
      <c r="N22" s="7">
        <f t="shared" si="5"/>
        <v>480</v>
      </c>
      <c r="O22" s="8">
        <f t="shared" si="2"/>
        <v>314.15926535897933</v>
      </c>
      <c r="P22" s="8">
        <f t="shared" si="3"/>
        <v>546.21824270414538</v>
      </c>
      <c r="Q22" s="8">
        <f t="shared" si="4"/>
        <v>48.071079988904216</v>
      </c>
      <c r="R22" s="8">
        <f t="shared" si="0"/>
        <v>528</v>
      </c>
      <c r="S22" s="9">
        <v>2</v>
      </c>
      <c r="U22" s="8">
        <f>PI()*(E22+1.3)^2*(H22+I22+J22+0.15)*[1]条件输入!$G$2</f>
        <v>1139.2659032607414</v>
      </c>
      <c r="V22" s="8">
        <f>PI()*(E22+1.3)^2*(H22+I22+J22+0.15)*[1]条件输入!$H$2</f>
        <v>284.81647581518524</v>
      </c>
      <c r="W22" s="8">
        <f t="shared" si="1"/>
        <v>829.79305638287701</v>
      </c>
    </row>
    <row r="23" spans="1:23">
      <c r="A23" s="4">
        <v>6</v>
      </c>
      <c r="B23" s="4">
        <v>180</v>
      </c>
      <c r="C23" s="5" t="s">
        <v>24</v>
      </c>
      <c r="D23" s="1">
        <v>90000</v>
      </c>
      <c r="E23" s="6">
        <v>10</v>
      </c>
      <c r="F23" s="6">
        <v>3</v>
      </c>
      <c r="G23" s="6">
        <v>3</v>
      </c>
      <c r="H23" s="6">
        <v>1</v>
      </c>
      <c r="I23" s="6">
        <v>1.4</v>
      </c>
      <c r="J23" s="6">
        <v>1</v>
      </c>
      <c r="K23" s="6">
        <v>1</v>
      </c>
      <c r="L23" s="6">
        <v>26</v>
      </c>
      <c r="M23" s="6">
        <v>20</v>
      </c>
      <c r="N23" s="7">
        <f t="shared" si="5"/>
        <v>520</v>
      </c>
      <c r="O23" s="8">
        <f t="shared" si="2"/>
        <v>314.15926535897933</v>
      </c>
      <c r="P23" s="8">
        <f t="shared" si="3"/>
        <v>546.21824270414538</v>
      </c>
      <c r="Q23" s="8">
        <f t="shared" si="4"/>
        <v>48.071079988904216</v>
      </c>
      <c r="R23" s="8">
        <f t="shared" si="0"/>
        <v>528</v>
      </c>
      <c r="S23" s="9">
        <v>2</v>
      </c>
      <c r="U23" s="8">
        <f>PI()*(E23+1.3)^2*(H23+I23+J23+0.15)*[1]条件输入!$G$2</f>
        <v>1139.2659032607414</v>
      </c>
      <c r="V23" s="8">
        <f>PI()*(E23+1.3)^2*(H23+I23+J23+0.15)*[1]条件输入!$H$2</f>
        <v>284.81647581518524</v>
      </c>
      <c r="W23" s="8">
        <f t="shared" si="1"/>
        <v>829.79305638287701</v>
      </c>
    </row>
    <row r="24" spans="1:23">
      <c r="A24" s="4">
        <v>6</v>
      </c>
      <c r="B24" s="4">
        <v>180</v>
      </c>
      <c r="C24" s="5" t="s">
        <v>24</v>
      </c>
      <c r="D24" s="1">
        <v>100000</v>
      </c>
      <c r="E24" s="6">
        <v>10.25</v>
      </c>
      <c r="F24" s="6">
        <v>3</v>
      </c>
      <c r="G24" s="6">
        <v>3</v>
      </c>
      <c r="H24" s="6">
        <v>1.1000000000000001</v>
      </c>
      <c r="I24" s="6">
        <v>1.4</v>
      </c>
      <c r="J24" s="6">
        <v>1</v>
      </c>
      <c r="K24" s="6">
        <v>1</v>
      </c>
      <c r="L24" s="6">
        <v>28</v>
      </c>
      <c r="M24" s="6">
        <v>20</v>
      </c>
      <c r="N24" s="7">
        <f t="shared" si="5"/>
        <v>560</v>
      </c>
      <c r="O24" s="8">
        <f t="shared" si="2"/>
        <v>330.06357816777762</v>
      </c>
      <c r="P24" s="8">
        <f t="shared" si="3"/>
        <v>603.65048340258375</v>
      </c>
      <c r="Q24" s="8">
        <f t="shared" si="4"/>
        <v>50.480288855125885</v>
      </c>
      <c r="R24" s="8">
        <f t="shared" si="0"/>
        <v>540</v>
      </c>
      <c r="S24" s="9">
        <v>2</v>
      </c>
      <c r="U24" s="8">
        <f>PI()*(E24+1.3)^2*(H24+I24+J24+0.15)*[1]条件输入!$G$2</f>
        <v>1223.7612367938962</v>
      </c>
      <c r="V24" s="8">
        <f>PI()*(E24+1.3)^2*(H24+I24+J24+0.15)*[1]条件输入!$H$2</f>
        <v>305.94030919847393</v>
      </c>
      <c r="W24" s="8">
        <f t="shared" si="1"/>
        <v>875.57077373466041</v>
      </c>
    </row>
    <row r="25" spans="1:23">
      <c r="A25" s="4">
        <v>6</v>
      </c>
      <c r="B25" s="4">
        <v>180</v>
      </c>
      <c r="C25" s="5" t="s">
        <v>24</v>
      </c>
      <c r="D25" s="1">
        <v>110000</v>
      </c>
      <c r="E25" s="6">
        <v>10.25</v>
      </c>
      <c r="F25" s="6">
        <v>3</v>
      </c>
      <c r="G25" s="6">
        <v>3</v>
      </c>
      <c r="H25" s="6">
        <v>1.1000000000000001</v>
      </c>
      <c r="I25" s="6">
        <v>1.4</v>
      </c>
      <c r="J25" s="6">
        <v>1</v>
      </c>
      <c r="K25" s="6">
        <v>1</v>
      </c>
      <c r="L25" s="6">
        <v>30</v>
      </c>
      <c r="M25" s="6">
        <v>20</v>
      </c>
      <c r="N25" s="7">
        <f t="shared" si="5"/>
        <v>600</v>
      </c>
      <c r="O25" s="8">
        <f t="shared" si="2"/>
        <v>330.06357816777762</v>
      </c>
      <c r="P25" s="8">
        <f t="shared" si="3"/>
        <v>603.65048340258375</v>
      </c>
      <c r="Q25" s="8">
        <f t="shared" si="4"/>
        <v>50.480288855125885</v>
      </c>
      <c r="R25" s="8">
        <f t="shared" si="0"/>
        <v>540</v>
      </c>
      <c r="S25" s="9">
        <v>2</v>
      </c>
      <c r="U25" s="8">
        <f>PI()*(E25+1.3)^2*(H25+I25+J25+0.15)*[1]条件输入!$G$2</f>
        <v>1223.7612367938962</v>
      </c>
      <c r="V25" s="8">
        <f>PI()*(E25+1.3)^2*(H25+I25+J25+0.15)*[1]条件输入!$H$2</f>
        <v>305.94030919847393</v>
      </c>
      <c r="W25" s="8">
        <f t="shared" si="1"/>
        <v>875.57077373466041</v>
      </c>
    </row>
    <row r="26" spans="1:23">
      <c r="A26" s="4">
        <v>6</v>
      </c>
      <c r="B26" s="4">
        <v>180</v>
      </c>
      <c r="C26" s="5" t="s">
        <v>24</v>
      </c>
      <c r="D26" s="1">
        <v>120000</v>
      </c>
      <c r="E26" s="6">
        <v>10.5</v>
      </c>
      <c r="F26" s="6">
        <v>3</v>
      </c>
      <c r="G26" s="6">
        <v>3</v>
      </c>
      <c r="H26" s="6">
        <v>1.2</v>
      </c>
      <c r="I26" s="6">
        <v>1.4</v>
      </c>
      <c r="J26" s="6">
        <v>1</v>
      </c>
      <c r="K26" s="6">
        <v>1</v>
      </c>
      <c r="L26" s="6">
        <v>32</v>
      </c>
      <c r="M26" s="6">
        <v>20</v>
      </c>
      <c r="N26" s="7">
        <f t="shared" si="5"/>
        <v>640</v>
      </c>
      <c r="O26" s="8">
        <f t="shared" si="2"/>
        <v>346.36059005827468</v>
      </c>
      <c r="P26" s="8">
        <f t="shared" si="3"/>
        <v>664.91808513227966</v>
      </c>
      <c r="Q26" s="8">
        <f t="shared" si="4"/>
        <v>52.948402583602373</v>
      </c>
      <c r="R26" s="8">
        <f t="shared" si="0"/>
        <v>552</v>
      </c>
      <c r="S26" s="9">
        <v>2</v>
      </c>
      <c r="U26" s="8">
        <f>PI()*(E26+1.3)^2*(H26+I26+J26+0.15)*[1]条件输入!$G$2</f>
        <v>1312.3060832575284</v>
      </c>
      <c r="V26" s="8">
        <f>PI()*(E26+1.3)^2*(H26+I26+J26+0.15)*[1]条件输入!$H$2</f>
        <v>328.07652081438204</v>
      </c>
      <c r="W26" s="8">
        <f t="shared" si="1"/>
        <v>922.51611635602842</v>
      </c>
    </row>
    <row r="27" spans="1:23">
      <c r="A27" s="4">
        <v>7</v>
      </c>
      <c r="B27" s="4">
        <v>180</v>
      </c>
      <c r="C27" s="5" t="s">
        <v>22</v>
      </c>
      <c r="D27" s="1">
        <v>50000</v>
      </c>
      <c r="E27" s="6">
        <v>9.5</v>
      </c>
      <c r="F27" s="6">
        <v>3</v>
      </c>
      <c r="G27" s="6">
        <v>3</v>
      </c>
      <c r="H27" s="6">
        <v>1</v>
      </c>
      <c r="I27" s="6">
        <v>1.2</v>
      </c>
      <c r="J27" s="6">
        <v>0.8</v>
      </c>
      <c r="K27" s="6">
        <v>0</v>
      </c>
      <c r="L27" s="6">
        <v>0</v>
      </c>
      <c r="M27" s="6">
        <v>0</v>
      </c>
      <c r="N27" s="7">
        <v>0</v>
      </c>
      <c r="O27" s="8">
        <f t="shared" si="2"/>
        <v>283.5287369864788</v>
      </c>
      <c r="P27" s="8">
        <f>PI()*E27^2*H27+PI()*G27^2*J27+PI()*(E27^2+F27^2+(E27^2*F27^2)^0.5)*I27/3</f>
        <v>466.68358869076371</v>
      </c>
      <c r="Q27" s="8">
        <f>PI()*(E27+0.1)^2*0.15</f>
        <v>43.429376843225299</v>
      </c>
      <c r="R27" s="8">
        <f t="shared" si="0"/>
        <v>480</v>
      </c>
      <c r="S27" s="9">
        <v>2</v>
      </c>
      <c r="U27" s="8">
        <f>PI()*(E27+1.3)^2*(H27+I27+J27+0.15)*[1]条件输入!$G$2</f>
        <v>923.41712512907804</v>
      </c>
      <c r="V27" s="8">
        <f>PI()*(E27+1.3)^2*(H27+I27+J27+0.15)*[1]条件输入!$H$2</f>
        <v>230.85428128226945</v>
      </c>
      <c r="W27" s="8">
        <f t="shared" si="1"/>
        <v>644.15844087735843</v>
      </c>
    </row>
    <row r="28" spans="1:23">
      <c r="A28" s="4">
        <v>7</v>
      </c>
      <c r="B28" s="4">
        <v>180</v>
      </c>
      <c r="C28" s="5" t="s">
        <v>22</v>
      </c>
      <c r="D28" s="1">
        <v>60000</v>
      </c>
      <c r="E28" s="6">
        <v>10</v>
      </c>
      <c r="F28" s="6">
        <v>3</v>
      </c>
      <c r="G28" s="6">
        <v>3</v>
      </c>
      <c r="H28" s="6">
        <v>1</v>
      </c>
      <c r="I28" s="6">
        <v>1.4</v>
      </c>
      <c r="J28" s="6">
        <v>0.8</v>
      </c>
      <c r="K28" s="6">
        <v>0</v>
      </c>
      <c r="L28" s="6">
        <v>0</v>
      </c>
      <c r="M28" s="6">
        <v>0</v>
      </c>
      <c r="N28" s="7">
        <v>0</v>
      </c>
      <c r="O28" s="8">
        <f t="shared" si="2"/>
        <v>314.15926535897933</v>
      </c>
      <c r="P28" s="8">
        <f t="shared" ref="P28:P50" si="6">PI()*E28^2*H28+PI()*G28^2*J28+PI()*(E28^2+F28^2+(E28^2*F28^2)^0.5)*I28/3</f>
        <v>540.56337592768375</v>
      </c>
      <c r="Q28" s="8">
        <f t="shared" ref="Q28:Q50" si="7">PI()*(E28+0.1)^2*0.15</f>
        <v>48.071079988904216</v>
      </c>
      <c r="R28" s="8">
        <f t="shared" si="0"/>
        <v>504</v>
      </c>
      <c r="S28" s="9">
        <v>2</v>
      </c>
      <c r="U28" s="8">
        <f>PI()*(E28+1.3)^2*(H28+I28+J28+0.15)*[1]条件输入!$G$2</f>
        <v>1075.0819087108405</v>
      </c>
      <c r="V28" s="8">
        <f>PI()*(E28+1.3)^2*(H28+I28+J28+0.15)*[1]条件输入!$H$2</f>
        <v>268.77047717771006</v>
      </c>
      <c r="W28" s="8">
        <f t="shared" si="1"/>
        <v>755.21792997196258</v>
      </c>
    </row>
    <row r="29" spans="1:23">
      <c r="A29" s="10">
        <v>7</v>
      </c>
      <c r="B29" s="10">
        <v>180</v>
      </c>
      <c r="C29" s="11" t="s">
        <v>101</v>
      </c>
      <c r="D29" s="10">
        <v>70000</v>
      </c>
      <c r="E29" s="12">
        <v>10.25</v>
      </c>
      <c r="F29" s="12">
        <v>3</v>
      </c>
      <c r="G29" s="12">
        <v>3</v>
      </c>
      <c r="H29" s="12">
        <v>1</v>
      </c>
      <c r="I29" s="12">
        <v>1.6</v>
      </c>
      <c r="J29" s="12">
        <v>1</v>
      </c>
      <c r="K29" s="12">
        <v>0</v>
      </c>
      <c r="L29" s="12">
        <v>0</v>
      </c>
      <c r="M29" s="12">
        <v>0</v>
      </c>
      <c r="N29" s="13">
        <v>0</v>
      </c>
      <c r="O29" s="14">
        <f t="shared" si="2"/>
        <v>330.06357816777762</v>
      </c>
      <c r="P29" s="14">
        <f t="shared" si="6"/>
        <v>600.97358466233754</v>
      </c>
      <c r="Q29" s="14">
        <f t="shared" si="7"/>
        <v>50.480288855125885</v>
      </c>
      <c r="R29" s="14">
        <f t="shared" si="0"/>
        <v>552</v>
      </c>
      <c r="S29" s="12">
        <v>2</v>
      </c>
      <c r="U29" s="14">
        <f>PI()*(E29+1.3)^2*(H29+I29+J29+0.15)*[1]条件输入!$G$2</f>
        <v>1257.2889419115372</v>
      </c>
      <c r="V29" s="14">
        <f>PI()*(E29+1.3)^2*(H29+I29+J29+0.15)*[1]条件输入!$H$2</f>
        <v>314.32223547788419</v>
      </c>
      <c r="W29" s="14">
        <f t="shared" si="1"/>
        <v>920.15730387195788</v>
      </c>
    </row>
    <row r="30" spans="1:23">
      <c r="A30" s="4">
        <v>7</v>
      </c>
      <c r="B30" s="4">
        <v>180</v>
      </c>
      <c r="C30" s="5" t="s">
        <v>22</v>
      </c>
      <c r="D30" s="1">
        <v>80000</v>
      </c>
      <c r="E30" s="6">
        <v>10.25</v>
      </c>
      <c r="F30" s="6">
        <v>3</v>
      </c>
      <c r="G30" s="6">
        <v>3</v>
      </c>
      <c r="H30" s="6">
        <v>1</v>
      </c>
      <c r="I30" s="6">
        <v>1.7</v>
      </c>
      <c r="J30" s="6">
        <v>1</v>
      </c>
      <c r="K30" s="6">
        <v>0</v>
      </c>
      <c r="L30" s="6">
        <v>0</v>
      </c>
      <c r="M30" s="6">
        <v>0</v>
      </c>
      <c r="N30" s="7">
        <v>0</v>
      </c>
      <c r="O30" s="8">
        <f t="shared" si="2"/>
        <v>330.06357816777762</v>
      </c>
      <c r="P30" s="8">
        <f t="shared" si="6"/>
        <v>616.13831420060319</v>
      </c>
      <c r="Q30" s="8">
        <f t="shared" si="7"/>
        <v>50.480288855125885</v>
      </c>
      <c r="R30" s="8">
        <f t="shared" si="0"/>
        <v>564</v>
      </c>
      <c r="S30" s="9">
        <v>2</v>
      </c>
      <c r="U30" s="8">
        <f>PI()*(E30+1.3)^2*(H30+I30+J30+0.15)*[1]条件输入!$G$2</f>
        <v>1290.8166470291781</v>
      </c>
      <c r="V30" s="8">
        <f>PI()*(E30+1.3)^2*(H30+I30+J30+0.15)*[1]条件输入!$H$2</f>
        <v>322.70416175729446</v>
      </c>
      <c r="W30" s="8">
        <f t="shared" si="1"/>
        <v>946.9022057307435</v>
      </c>
    </row>
    <row r="31" spans="1:23">
      <c r="A31" s="4">
        <v>7</v>
      </c>
      <c r="B31" s="4">
        <v>180</v>
      </c>
      <c r="C31" s="5" t="s">
        <v>22</v>
      </c>
      <c r="D31" s="1">
        <v>90000</v>
      </c>
      <c r="E31" s="6">
        <v>10.75</v>
      </c>
      <c r="F31" s="6">
        <v>3</v>
      </c>
      <c r="G31" s="6">
        <v>3</v>
      </c>
      <c r="H31" s="6">
        <v>1</v>
      </c>
      <c r="I31" s="6">
        <v>1.7</v>
      </c>
      <c r="J31" s="6">
        <v>1</v>
      </c>
      <c r="K31" s="6">
        <v>0</v>
      </c>
      <c r="L31" s="6">
        <v>0</v>
      </c>
      <c r="M31" s="6">
        <v>0</v>
      </c>
      <c r="N31" s="7">
        <v>0</v>
      </c>
      <c r="O31" s="8">
        <f t="shared" si="2"/>
        <v>363.05030103047045</v>
      </c>
      <c r="P31" s="8">
        <f t="shared" si="6"/>
        <v>670.48786710770662</v>
      </c>
      <c r="Q31" s="8">
        <f t="shared" si="7"/>
        <v>55.475421174333661</v>
      </c>
      <c r="R31" s="8">
        <f t="shared" si="0"/>
        <v>564</v>
      </c>
      <c r="S31" s="9">
        <v>2</v>
      </c>
      <c r="U31" s="8">
        <f>PI()*(E31+1.3)^2*(H31+I31+J31+0.15)*[1]条件输入!$G$2</f>
        <v>1404.9946904312458</v>
      </c>
      <c r="V31" s="8">
        <f>PI()*(E31+1.3)^2*(H31+I31+J31+0.15)*[1]条件输入!$H$2</f>
        <v>351.24867260781133</v>
      </c>
      <c r="W31" s="8">
        <f t="shared" si="1"/>
        <v>1030.280074757017</v>
      </c>
    </row>
    <row r="32" spans="1:23">
      <c r="A32" s="4">
        <v>7</v>
      </c>
      <c r="B32" s="4">
        <v>180</v>
      </c>
      <c r="C32" s="5" t="s">
        <v>22</v>
      </c>
      <c r="D32" s="1">
        <v>100000</v>
      </c>
      <c r="E32" s="6">
        <v>11</v>
      </c>
      <c r="F32" s="6">
        <v>3</v>
      </c>
      <c r="G32" s="6">
        <v>3</v>
      </c>
      <c r="H32" s="6">
        <v>1</v>
      </c>
      <c r="I32" s="6">
        <v>1.8</v>
      </c>
      <c r="J32" s="6">
        <v>1</v>
      </c>
      <c r="K32" s="6">
        <v>0</v>
      </c>
      <c r="L32" s="6">
        <v>0</v>
      </c>
      <c r="M32" s="6">
        <v>0</v>
      </c>
      <c r="N32" s="7">
        <v>0</v>
      </c>
      <c r="O32" s="8">
        <f t="shared" si="2"/>
        <v>380.13271108436498</v>
      </c>
      <c r="P32" s="8">
        <f t="shared" si="6"/>
        <v>715.65480648775497</v>
      </c>
      <c r="Q32" s="8">
        <f t="shared" si="7"/>
        <v>58.061344627319755</v>
      </c>
      <c r="R32" s="8">
        <f t="shared" si="0"/>
        <v>576</v>
      </c>
      <c r="S32" s="9">
        <v>2</v>
      </c>
      <c r="U32" s="8">
        <f>PI()*(E32+1.3)^2*(H32+I32+J32+0.15)*[1]条件输入!$G$2</f>
        <v>1501.9213060946556</v>
      </c>
      <c r="V32" s="8">
        <f>PI()*(E32+1.3)^2*(H32+I32+J32+0.15)*[1]条件输入!$H$2</f>
        <v>375.48032652366379</v>
      </c>
      <c r="W32" s="8">
        <f t="shared" si="1"/>
        <v>1103.6854815032445</v>
      </c>
    </row>
    <row r="33" spans="1:23">
      <c r="A33" s="4">
        <v>7</v>
      </c>
      <c r="B33" s="4">
        <v>180</v>
      </c>
      <c r="C33" s="5" t="s">
        <v>22</v>
      </c>
      <c r="D33" s="1">
        <v>110000</v>
      </c>
      <c r="E33" s="6">
        <v>11.5</v>
      </c>
      <c r="F33" s="6">
        <v>3</v>
      </c>
      <c r="G33" s="6">
        <v>3</v>
      </c>
      <c r="H33" s="6">
        <v>1.1000000000000001</v>
      </c>
      <c r="I33" s="6">
        <v>1.8</v>
      </c>
      <c r="J33" s="6">
        <v>1</v>
      </c>
      <c r="K33" s="6">
        <v>0</v>
      </c>
      <c r="L33" s="6">
        <v>0</v>
      </c>
      <c r="M33" s="6">
        <v>0</v>
      </c>
      <c r="N33" s="7">
        <v>0</v>
      </c>
      <c r="O33" s="8">
        <f t="shared" si="2"/>
        <v>415.47562843725012</v>
      </c>
      <c r="P33" s="8">
        <f t="shared" si="6"/>
        <v>816.578470484327</v>
      </c>
      <c r="Q33" s="8">
        <f t="shared" si="7"/>
        <v>63.409906120056384</v>
      </c>
      <c r="R33" s="8">
        <f t="shared" si="0"/>
        <v>588</v>
      </c>
      <c r="S33" s="9">
        <v>2</v>
      </c>
      <c r="U33" s="8">
        <f>PI()*(E33+1.3)^2*(H33+I33+J33+0.15)*[1]条件输入!$G$2</f>
        <v>1667.6880707798518</v>
      </c>
      <c r="V33" s="8">
        <f>PI()*(E33+1.3)^2*(H33+I33+J33+0.15)*[1]条件输入!$H$2</f>
        <v>416.92201769496285</v>
      </c>
      <c r="W33" s="8">
        <f t="shared" si="1"/>
        <v>1204.6217118704315</v>
      </c>
    </row>
    <row r="34" spans="1:23">
      <c r="A34" s="4">
        <v>7</v>
      </c>
      <c r="B34" s="4">
        <v>180</v>
      </c>
      <c r="C34" s="5" t="s">
        <v>22</v>
      </c>
      <c r="D34" s="1">
        <v>120000</v>
      </c>
      <c r="E34" s="6">
        <v>12</v>
      </c>
      <c r="F34" s="6">
        <v>3</v>
      </c>
      <c r="G34" s="6">
        <v>3</v>
      </c>
      <c r="H34" s="6">
        <v>1.2</v>
      </c>
      <c r="I34" s="6">
        <v>1.8</v>
      </c>
      <c r="J34" s="6">
        <v>1</v>
      </c>
      <c r="K34" s="6">
        <v>0</v>
      </c>
      <c r="L34" s="6">
        <v>0</v>
      </c>
      <c r="M34" s="6">
        <v>0</v>
      </c>
      <c r="N34" s="7">
        <v>0</v>
      </c>
      <c r="O34" s="8">
        <f t="shared" si="2"/>
        <v>452.38934211693021</v>
      </c>
      <c r="P34" s="8">
        <f t="shared" si="6"/>
        <v>927.39815133970694</v>
      </c>
      <c r="Q34" s="8">
        <f t="shared" si="7"/>
        <v>68.994087061812237</v>
      </c>
      <c r="R34" s="8">
        <f t="shared" si="0"/>
        <v>600</v>
      </c>
      <c r="S34" s="9">
        <v>2</v>
      </c>
      <c r="U34" s="8">
        <f>PI()*(E34+1.3)^2*(H34+I34+J34+0.15)*[1]条件输入!$G$2</f>
        <v>1844.9781973184154</v>
      </c>
      <c r="V34" s="8">
        <f>PI()*(E34+1.3)^2*(H34+I34+J34+0.15)*[1]条件输入!$H$2</f>
        <v>461.24454932960367</v>
      </c>
      <c r="W34" s="8">
        <f t="shared" si="1"/>
        <v>1309.8305082464997</v>
      </c>
    </row>
    <row r="35" spans="1:23">
      <c r="A35" s="4">
        <v>7</v>
      </c>
      <c r="B35" s="4">
        <v>180</v>
      </c>
      <c r="C35" s="5" t="s">
        <v>23</v>
      </c>
      <c r="D35" s="1">
        <v>50000</v>
      </c>
      <c r="E35" s="6">
        <v>9</v>
      </c>
      <c r="F35" s="6">
        <v>3</v>
      </c>
      <c r="G35" s="6">
        <v>3</v>
      </c>
      <c r="H35" s="6">
        <v>1</v>
      </c>
      <c r="I35" s="6">
        <v>1.2</v>
      </c>
      <c r="J35" s="6">
        <v>0.8</v>
      </c>
      <c r="K35" s="6">
        <v>0.6</v>
      </c>
      <c r="L35" s="6">
        <v>20</v>
      </c>
      <c r="M35" s="6">
        <v>20</v>
      </c>
      <c r="N35" s="7">
        <f t="shared" ref="N35:N50" si="8">L35*M35</f>
        <v>400</v>
      </c>
      <c r="O35" s="8">
        <f t="shared" si="2"/>
        <v>254.46900494077323</v>
      </c>
      <c r="P35" s="8">
        <f t="shared" si="6"/>
        <v>424.11500823462211</v>
      </c>
      <c r="Q35" s="8">
        <f t="shared" si="7"/>
        <v>39.023293146565614</v>
      </c>
      <c r="R35" s="8">
        <f t="shared" ref="R35:R66" si="9">120*(H35+I35+J35+1)</f>
        <v>480</v>
      </c>
      <c r="S35" s="9">
        <v>2</v>
      </c>
      <c r="U35" s="8">
        <f>PI()*(E35+1.3)^2*(H35+I35+J35+0.15)*[1]条件输入!$G$2</f>
        <v>839.89474284073992</v>
      </c>
      <c r="V35" s="8">
        <f>PI()*(E35+1.3)^2*(H35+I35+J35+0.15)*[1]条件输入!$H$2</f>
        <v>209.97368571018492</v>
      </c>
      <c r="W35" s="8">
        <f t="shared" ref="W35:W66" si="10">U35+V35-P35-Q35</f>
        <v>586.7301271697371</v>
      </c>
    </row>
    <row r="36" spans="1:23">
      <c r="A36" s="4">
        <v>7</v>
      </c>
      <c r="B36" s="4">
        <v>180</v>
      </c>
      <c r="C36" s="5" t="s">
        <v>23</v>
      </c>
      <c r="D36" s="1">
        <v>60000</v>
      </c>
      <c r="E36" s="6">
        <v>9.5</v>
      </c>
      <c r="F36" s="6">
        <v>3</v>
      </c>
      <c r="G36" s="6">
        <v>3</v>
      </c>
      <c r="H36" s="6">
        <v>1</v>
      </c>
      <c r="I36" s="6">
        <v>1.2</v>
      </c>
      <c r="J36" s="6">
        <v>0.8</v>
      </c>
      <c r="K36" s="6">
        <v>0.6</v>
      </c>
      <c r="L36" s="6">
        <v>22</v>
      </c>
      <c r="M36" s="6">
        <v>20</v>
      </c>
      <c r="N36" s="7">
        <f t="shared" si="8"/>
        <v>440</v>
      </c>
      <c r="O36" s="8">
        <f t="shared" si="2"/>
        <v>283.5287369864788</v>
      </c>
      <c r="P36" s="8">
        <f t="shared" si="6"/>
        <v>466.68358869076371</v>
      </c>
      <c r="Q36" s="8">
        <f t="shared" si="7"/>
        <v>43.429376843225299</v>
      </c>
      <c r="R36" s="8">
        <f t="shared" si="9"/>
        <v>480</v>
      </c>
      <c r="S36" s="9">
        <v>2</v>
      </c>
      <c r="U36" s="8">
        <f>PI()*(E36+1.3)^2*(H36+I36+J36+0.15)*[1]条件输入!$G$2</f>
        <v>923.41712512907804</v>
      </c>
      <c r="V36" s="8">
        <f>PI()*(E36+1.3)^2*(H36+I36+J36+0.15)*[1]条件输入!$H$2</f>
        <v>230.85428128226945</v>
      </c>
      <c r="W36" s="8">
        <f t="shared" si="10"/>
        <v>644.15844087735843</v>
      </c>
    </row>
    <row r="37" spans="1:23">
      <c r="A37" s="4">
        <v>7</v>
      </c>
      <c r="B37" s="4">
        <v>180</v>
      </c>
      <c r="C37" s="5" t="s">
        <v>23</v>
      </c>
      <c r="D37" s="1">
        <v>70000</v>
      </c>
      <c r="E37" s="6">
        <v>9.5</v>
      </c>
      <c r="F37" s="6">
        <v>3</v>
      </c>
      <c r="G37" s="6">
        <v>3</v>
      </c>
      <c r="H37" s="6">
        <v>1</v>
      </c>
      <c r="I37" s="6">
        <v>1.2</v>
      </c>
      <c r="J37" s="6">
        <v>0.8</v>
      </c>
      <c r="K37" s="6">
        <v>0.6</v>
      </c>
      <c r="L37" s="6">
        <v>24</v>
      </c>
      <c r="M37" s="6">
        <v>20</v>
      </c>
      <c r="N37" s="7">
        <f t="shared" si="8"/>
        <v>480</v>
      </c>
      <c r="O37" s="8">
        <f t="shared" si="2"/>
        <v>283.5287369864788</v>
      </c>
      <c r="P37" s="8">
        <f t="shared" si="6"/>
        <v>466.68358869076371</v>
      </c>
      <c r="Q37" s="8">
        <f t="shared" si="7"/>
        <v>43.429376843225299</v>
      </c>
      <c r="R37" s="8">
        <f t="shared" si="9"/>
        <v>480</v>
      </c>
      <c r="S37" s="9">
        <v>2</v>
      </c>
      <c r="U37" s="8">
        <f>PI()*(E37+1.3)^2*(H37+I37+J37+0.15)*[1]条件输入!$G$2</f>
        <v>923.41712512907804</v>
      </c>
      <c r="V37" s="8">
        <f>PI()*(E37+1.3)^2*(H37+I37+J37+0.15)*[1]条件输入!$H$2</f>
        <v>230.85428128226945</v>
      </c>
      <c r="W37" s="8">
        <f t="shared" si="10"/>
        <v>644.15844087735843</v>
      </c>
    </row>
    <row r="38" spans="1:23">
      <c r="A38" s="4">
        <v>7</v>
      </c>
      <c r="B38" s="4">
        <v>180</v>
      </c>
      <c r="C38" s="5" t="s">
        <v>23</v>
      </c>
      <c r="D38" s="1">
        <v>80000</v>
      </c>
      <c r="E38" s="6">
        <v>10</v>
      </c>
      <c r="F38" s="6">
        <v>3</v>
      </c>
      <c r="G38" s="6">
        <v>3</v>
      </c>
      <c r="H38" s="6">
        <v>1</v>
      </c>
      <c r="I38" s="6">
        <v>1.4</v>
      </c>
      <c r="J38" s="6">
        <v>1</v>
      </c>
      <c r="K38" s="6">
        <v>0.6</v>
      </c>
      <c r="L38" s="6">
        <v>26</v>
      </c>
      <c r="M38" s="6">
        <v>20</v>
      </c>
      <c r="N38" s="7">
        <f t="shared" si="8"/>
        <v>520</v>
      </c>
      <c r="O38" s="8">
        <f t="shared" si="2"/>
        <v>314.15926535897933</v>
      </c>
      <c r="P38" s="8">
        <f t="shared" si="6"/>
        <v>546.21824270414538</v>
      </c>
      <c r="Q38" s="8">
        <f t="shared" si="7"/>
        <v>48.071079988904216</v>
      </c>
      <c r="R38" s="8">
        <f t="shared" si="9"/>
        <v>528</v>
      </c>
      <c r="S38" s="9">
        <v>2</v>
      </c>
      <c r="U38" s="8">
        <f>PI()*(E38+1.3)^2*(H38+I38+J38+0.15)*[1]条件输入!$G$2</f>
        <v>1139.2659032607414</v>
      </c>
      <c r="V38" s="8">
        <f>PI()*(E38+1.3)^2*(H38+I38+J38+0.15)*[1]条件输入!$H$2</f>
        <v>284.81647581518524</v>
      </c>
      <c r="W38" s="8">
        <f t="shared" si="10"/>
        <v>829.79305638287701</v>
      </c>
    </row>
    <row r="39" spans="1:23">
      <c r="A39" s="4">
        <v>7</v>
      </c>
      <c r="B39" s="4">
        <v>180</v>
      </c>
      <c r="C39" s="5" t="s">
        <v>23</v>
      </c>
      <c r="D39" s="1">
        <v>90000</v>
      </c>
      <c r="E39" s="6">
        <v>10</v>
      </c>
      <c r="F39" s="6">
        <v>3</v>
      </c>
      <c r="G39" s="6">
        <v>3</v>
      </c>
      <c r="H39" s="6">
        <v>1</v>
      </c>
      <c r="I39" s="6">
        <v>1.4</v>
      </c>
      <c r="J39" s="6">
        <v>1</v>
      </c>
      <c r="K39" s="6">
        <v>0.6</v>
      </c>
      <c r="L39" s="6">
        <v>28</v>
      </c>
      <c r="M39" s="6">
        <v>20</v>
      </c>
      <c r="N39" s="7">
        <f t="shared" si="8"/>
        <v>560</v>
      </c>
      <c r="O39" s="8">
        <f t="shared" si="2"/>
        <v>314.15926535897933</v>
      </c>
      <c r="P39" s="8">
        <f t="shared" si="6"/>
        <v>546.21824270414538</v>
      </c>
      <c r="Q39" s="8">
        <f t="shared" si="7"/>
        <v>48.071079988904216</v>
      </c>
      <c r="R39" s="8">
        <f t="shared" si="9"/>
        <v>528</v>
      </c>
      <c r="S39" s="9">
        <v>2</v>
      </c>
      <c r="U39" s="8">
        <f>PI()*(E39+1.3)^2*(H39+I39+J39+0.15)*[1]条件输入!$G$2</f>
        <v>1139.2659032607414</v>
      </c>
      <c r="V39" s="8">
        <f>PI()*(E39+1.3)^2*(H39+I39+J39+0.15)*[1]条件输入!$H$2</f>
        <v>284.81647581518524</v>
      </c>
      <c r="W39" s="8">
        <f t="shared" si="10"/>
        <v>829.79305638287701</v>
      </c>
    </row>
    <row r="40" spans="1:23">
      <c r="A40" s="4">
        <v>7</v>
      </c>
      <c r="B40" s="4">
        <v>180</v>
      </c>
      <c r="C40" s="5" t="s">
        <v>23</v>
      </c>
      <c r="D40" s="1">
        <v>100000</v>
      </c>
      <c r="E40" s="6">
        <v>10.25</v>
      </c>
      <c r="F40" s="6">
        <v>3</v>
      </c>
      <c r="G40" s="6">
        <v>3</v>
      </c>
      <c r="H40" s="6">
        <v>1.1000000000000001</v>
      </c>
      <c r="I40" s="6">
        <v>1.4</v>
      </c>
      <c r="J40" s="6">
        <v>1</v>
      </c>
      <c r="K40" s="6">
        <v>0.6</v>
      </c>
      <c r="L40" s="6">
        <v>30</v>
      </c>
      <c r="M40" s="6">
        <v>20</v>
      </c>
      <c r="N40" s="7">
        <f t="shared" si="8"/>
        <v>600</v>
      </c>
      <c r="O40" s="8">
        <f t="shared" si="2"/>
        <v>330.06357816777762</v>
      </c>
      <c r="P40" s="8">
        <f t="shared" si="6"/>
        <v>603.65048340258375</v>
      </c>
      <c r="Q40" s="8">
        <f t="shared" si="7"/>
        <v>50.480288855125885</v>
      </c>
      <c r="R40" s="8">
        <f t="shared" si="9"/>
        <v>540</v>
      </c>
      <c r="S40" s="9">
        <v>2</v>
      </c>
      <c r="U40" s="8">
        <f>PI()*(E40+1.3)^2*(H40+I40+J40+0.15)*[1]条件输入!$G$2</f>
        <v>1223.7612367938962</v>
      </c>
      <c r="V40" s="8">
        <f>PI()*(E40+1.3)^2*(H40+I40+J40+0.15)*[1]条件输入!$H$2</f>
        <v>305.94030919847393</v>
      </c>
      <c r="W40" s="8">
        <f t="shared" si="10"/>
        <v>875.57077373466041</v>
      </c>
    </row>
    <row r="41" spans="1:23">
      <c r="A41" s="4">
        <v>7</v>
      </c>
      <c r="B41" s="4">
        <v>180</v>
      </c>
      <c r="C41" s="5" t="s">
        <v>23</v>
      </c>
      <c r="D41" s="1">
        <v>110000</v>
      </c>
      <c r="E41" s="6">
        <v>10.25</v>
      </c>
      <c r="F41" s="6">
        <v>3</v>
      </c>
      <c r="G41" s="6">
        <v>3</v>
      </c>
      <c r="H41" s="6">
        <v>1.1000000000000001</v>
      </c>
      <c r="I41" s="6">
        <v>1.4</v>
      </c>
      <c r="J41" s="6">
        <v>1</v>
      </c>
      <c r="K41" s="6">
        <v>0.6</v>
      </c>
      <c r="L41" s="6">
        <v>32</v>
      </c>
      <c r="M41" s="6">
        <v>20</v>
      </c>
      <c r="N41" s="7">
        <f t="shared" si="8"/>
        <v>640</v>
      </c>
      <c r="O41" s="8">
        <f t="shared" si="2"/>
        <v>330.06357816777762</v>
      </c>
      <c r="P41" s="8">
        <f t="shared" si="6"/>
        <v>603.65048340258375</v>
      </c>
      <c r="Q41" s="8">
        <f t="shared" si="7"/>
        <v>50.480288855125885</v>
      </c>
      <c r="R41" s="8">
        <f t="shared" si="9"/>
        <v>540</v>
      </c>
      <c r="S41" s="9">
        <v>2</v>
      </c>
      <c r="U41" s="8">
        <f>PI()*(E41+1.3)^2*(H41+I41+J41+0.15)*[1]条件输入!$G$2</f>
        <v>1223.7612367938962</v>
      </c>
      <c r="V41" s="8">
        <f>PI()*(E41+1.3)^2*(H41+I41+J41+0.15)*[1]条件输入!$H$2</f>
        <v>305.94030919847393</v>
      </c>
      <c r="W41" s="8">
        <f t="shared" si="10"/>
        <v>875.57077373466041</v>
      </c>
    </row>
    <row r="42" spans="1:23">
      <c r="A42" s="4">
        <v>7</v>
      </c>
      <c r="B42" s="4">
        <v>180</v>
      </c>
      <c r="C42" s="5" t="s">
        <v>23</v>
      </c>
      <c r="D42" s="1">
        <v>120000</v>
      </c>
      <c r="E42" s="6">
        <v>10.5</v>
      </c>
      <c r="F42" s="6">
        <v>3</v>
      </c>
      <c r="G42" s="6">
        <v>3</v>
      </c>
      <c r="H42" s="6">
        <v>1.2</v>
      </c>
      <c r="I42" s="6">
        <v>1.4</v>
      </c>
      <c r="J42" s="6">
        <v>1</v>
      </c>
      <c r="K42" s="6">
        <v>0.6</v>
      </c>
      <c r="L42" s="6">
        <v>34</v>
      </c>
      <c r="M42" s="6">
        <v>20</v>
      </c>
      <c r="N42" s="7">
        <f t="shared" si="8"/>
        <v>680</v>
      </c>
      <c r="O42" s="8">
        <f t="shared" si="2"/>
        <v>346.36059005827468</v>
      </c>
      <c r="P42" s="8">
        <f t="shared" si="6"/>
        <v>664.91808513227966</v>
      </c>
      <c r="Q42" s="8">
        <f t="shared" si="7"/>
        <v>52.948402583602373</v>
      </c>
      <c r="R42" s="8">
        <f t="shared" si="9"/>
        <v>552</v>
      </c>
      <c r="S42" s="9">
        <v>2</v>
      </c>
      <c r="U42" s="8">
        <f>PI()*(E42+1.3)^2*(H42+I42+J42+0.15)*[1]条件输入!$G$2</f>
        <v>1312.3060832575284</v>
      </c>
      <c r="V42" s="8">
        <f>PI()*(E42+1.3)^2*(H42+I42+J42+0.15)*[1]条件输入!$H$2</f>
        <v>328.07652081438204</v>
      </c>
      <c r="W42" s="8">
        <f t="shared" si="10"/>
        <v>922.51611635602842</v>
      </c>
    </row>
    <row r="43" spans="1:23">
      <c r="A43" s="4">
        <v>7</v>
      </c>
      <c r="B43" s="4">
        <v>180</v>
      </c>
      <c r="C43" s="5" t="s">
        <v>24</v>
      </c>
      <c r="D43" s="1">
        <v>50000</v>
      </c>
      <c r="E43" s="6">
        <v>9</v>
      </c>
      <c r="F43" s="6">
        <v>3</v>
      </c>
      <c r="G43" s="6">
        <v>3</v>
      </c>
      <c r="H43" s="6">
        <v>1</v>
      </c>
      <c r="I43" s="6">
        <v>1.2</v>
      </c>
      <c r="J43" s="6">
        <v>0.8</v>
      </c>
      <c r="K43" s="6">
        <v>1</v>
      </c>
      <c r="L43" s="6">
        <v>18</v>
      </c>
      <c r="M43" s="6">
        <v>20</v>
      </c>
      <c r="N43" s="7">
        <f t="shared" si="8"/>
        <v>360</v>
      </c>
      <c r="O43" s="8">
        <f t="shared" si="2"/>
        <v>254.46900494077323</v>
      </c>
      <c r="P43" s="8">
        <f t="shared" si="6"/>
        <v>424.11500823462211</v>
      </c>
      <c r="Q43" s="8">
        <f t="shared" si="7"/>
        <v>39.023293146565614</v>
      </c>
      <c r="R43" s="8">
        <f t="shared" si="9"/>
        <v>480</v>
      </c>
      <c r="S43" s="9">
        <v>2</v>
      </c>
      <c r="U43" s="8">
        <f>PI()*(E43+1.3)^2*(H43+I43+J43+0.15)*[1]条件输入!$G$2</f>
        <v>839.89474284073992</v>
      </c>
      <c r="V43" s="8">
        <f>PI()*(E43+1.3)^2*(H43+I43+J43+0.15)*[1]条件输入!$H$2</f>
        <v>209.97368571018492</v>
      </c>
      <c r="W43" s="8">
        <f t="shared" si="10"/>
        <v>586.7301271697371</v>
      </c>
    </row>
    <row r="44" spans="1:23">
      <c r="A44" s="4">
        <v>7</v>
      </c>
      <c r="B44" s="4">
        <v>180</v>
      </c>
      <c r="C44" s="5" t="s">
        <v>24</v>
      </c>
      <c r="D44" s="1">
        <v>60000</v>
      </c>
      <c r="E44" s="6">
        <v>9.5</v>
      </c>
      <c r="F44" s="6">
        <v>3</v>
      </c>
      <c r="G44" s="6">
        <v>3</v>
      </c>
      <c r="H44" s="6">
        <v>1</v>
      </c>
      <c r="I44" s="6">
        <v>1.2</v>
      </c>
      <c r="J44" s="6">
        <v>0.8</v>
      </c>
      <c r="K44" s="6">
        <v>1</v>
      </c>
      <c r="L44" s="6">
        <v>20</v>
      </c>
      <c r="M44" s="6">
        <v>20</v>
      </c>
      <c r="N44" s="7">
        <f t="shared" si="8"/>
        <v>400</v>
      </c>
      <c r="O44" s="8">
        <f t="shared" si="2"/>
        <v>283.5287369864788</v>
      </c>
      <c r="P44" s="8">
        <f t="shared" si="6"/>
        <v>466.68358869076371</v>
      </c>
      <c r="Q44" s="8">
        <f t="shared" si="7"/>
        <v>43.429376843225299</v>
      </c>
      <c r="R44" s="8">
        <f t="shared" si="9"/>
        <v>480</v>
      </c>
      <c r="S44" s="9">
        <v>2</v>
      </c>
      <c r="U44" s="8">
        <f>PI()*(E44+1.3)^2*(H44+I44+J44+0.15)*[1]条件输入!$G$2</f>
        <v>923.41712512907804</v>
      </c>
      <c r="V44" s="8">
        <f>PI()*(E44+1.3)^2*(H44+I44+J44+0.15)*[1]条件输入!$H$2</f>
        <v>230.85428128226945</v>
      </c>
      <c r="W44" s="8">
        <f t="shared" si="10"/>
        <v>644.15844087735843</v>
      </c>
    </row>
    <row r="45" spans="1:23">
      <c r="A45" s="4">
        <v>7</v>
      </c>
      <c r="B45" s="4">
        <v>180</v>
      </c>
      <c r="C45" s="5" t="s">
        <v>24</v>
      </c>
      <c r="D45" s="1">
        <v>70000</v>
      </c>
      <c r="E45" s="6">
        <v>9.5</v>
      </c>
      <c r="F45" s="6">
        <v>3</v>
      </c>
      <c r="G45" s="6">
        <v>3</v>
      </c>
      <c r="H45" s="6">
        <v>1</v>
      </c>
      <c r="I45" s="6">
        <v>1.2</v>
      </c>
      <c r="J45" s="6">
        <v>0.8</v>
      </c>
      <c r="K45" s="6">
        <v>1</v>
      </c>
      <c r="L45" s="6">
        <v>22</v>
      </c>
      <c r="M45" s="6">
        <v>20</v>
      </c>
      <c r="N45" s="7">
        <f t="shared" si="8"/>
        <v>440</v>
      </c>
      <c r="O45" s="8">
        <f t="shared" si="2"/>
        <v>283.5287369864788</v>
      </c>
      <c r="P45" s="8">
        <f t="shared" si="6"/>
        <v>466.68358869076371</v>
      </c>
      <c r="Q45" s="8">
        <f t="shared" si="7"/>
        <v>43.429376843225299</v>
      </c>
      <c r="R45" s="8">
        <f t="shared" si="9"/>
        <v>480</v>
      </c>
      <c r="S45" s="9">
        <v>2</v>
      </c>
      <c r="U45" s="8">
        <f>PI()*(E45+1.3)^2*(H45+I45+J45+0.15)*[1]条件输入!$G$2</f>
        <v>923.41712512907804</v>
      </c>
      <c r="V45" s="8">
        <f>PI()*(E45+1.3)^2*(H45+I45+J45+0.15)*[1]条件输入!$H$2</f>
        <v>230.85428128226945</v>
      </c>
      <c r="W45" s="8">
        <f t="shared" si="10"/>
        <v>644.15844087735843</v>
      </c>
    </row>
    <row r="46" spans="1:23">
      <c r="A46" s="4">
        <v>7</v>
      </c>
      <c r="B46" s="4">
        <v>180</v>
      </c>
      <c r="C46" s="5" t="s">
        <v>24</v>
      </c>
      <c r="D46" s="1">
        <v>80000</v>
      </c>
      <c r="E46" s="6">
        <v>10</v>
      </c>
      <c r="F46" s="6">
        <v>3</v>
      </c>
      <c r="G46" s="6">
        <v>3</v>
      </c>
      <c r="H46" s="6">
        <v>1</v>
      </c>
      <c r="I46" s="6">
        <v>1.4</v>
      </c>
      <c r="J46" s="6">
        <v>1</v>
      </c>
      <c r="K46" s="6">
        <v>1</v>
      </c>
      <c r="L46" s="6">
        <v>24</v>
      </c>
      <c r="M46" s="6">
        <v>20</v>
      </c>
      <c r="N46" s="7">
        <f t="shared" si="8"/>
        <v>480</v>
      </c>
      <c r="O46" s="8">
        <f t="shared" si="2"/>
        <v>314.15926535897933</v>
      </c>
      <c r="P46" s="8">
        <f t="shared" si="6"/>
        <v>546.21824270414538</v>
      </c>
      <c r="Q46" s="8">
        <f t="shared" si="7"/>
        <v>48.071079988904216</v>
      </c>
      <c r="R46" s="8">
        <f t="shared" si="9"/>
        <v>528</v>
      </c>
      <c r="S46" s="9">
        <v>2</v>
      </c>
      <c r="U46" s="8">
        <f>PI()*(E46+1.3)^2*(H46+I46+J46+0.15)*[1]条件输入!$G$2</f>
        <v>1139.2659032607414</v>
      </c>
      <c r="V46" s="8">
        <f>PI()*(E46+1.3)^2*(H46+I46+J46+0.15)*[1]条件输入!$H$2</f>
        <v>284.81647581518524</v>
      </c>
      <c r="W46" s="8">
        <f t="shared" si="10"/>
        <v>829.79305638287701</v>
      </c>
    </row>
    <row r="47" spans="1:23">
      <c r="A47" s="4">
        <v>7</v>
      </c>
      <c r="B47" s="4">
        <v>180</v>
      </c>
      <c r="C47" s="5" t="s">
        <v>24</v>
      </c>
      <c r="D47" s="1">
        <v>90000</v>
      </c>
      <c r="E47" s="6">
        <v>10</v>
      </c>
      <c r="F47" s="6">
        <v>3</v>
      </c>
      <c r="G47" s="6">
        <v>3</v>
      </c>
      <c r="H47" s="6">
        <v>1</v>
      </c>
      <c r="I47" s="6">
        <v>1.4</v>
      </c>
      <c r="J47" s="6">
        <v>1</v>
      </c>
      <c r="K47" s="6">
        <v>1</v>
      </c>
      <c r="L47" s="6">
        <v>26</v>
      </c>
      <c r="M47" s="6">
        <v>20</v>
      </c>
      <c r="N47" s="7">
        <f t="shared" si="8"/>
        <v>520</v>
      </c>
      <c r="O47" s="8">
        <f t="shared" si="2"/>
        <v>314.15926535897933</v>
      </c>
      <c r="P47" s="8">
        <f t="shared" si="6"/>
        <v>546.21824270414538</v>
      </c>
      <c r="Q47" s="8">
        <f t="shared" si="7"/>
        <v>48.071079988904216</v>
      </c>
      <c r="R47" s="8">
        <f t="shared" si="9"/>
        <v>528</v>
      </c>
      <c r="S47" s="9">
        <v>2</v>
      </c>
      <c r="U47" s="8">
        <f>PI()*(E47+1.3)^2*(H47+I47+J47+0.15)*[1]条件输入!$G$2</f>
        <v>1139.2659032607414</v>
      </c>
      <c r="V47" s="8">
        <f>PI()*(E47+1.3)^2*(H47+I47+J47+0.15)*[1]条件输入!$H$2</f>
        <v>284.81647581518524</v>
      </c>
      <c r="W47" s="8">
        <f t="shared" si="10"/>
        <v>829.79305638287701</v>
      </c>
    </row>
    <row r="48" spans="1:23">
      <c r="A48" s="4">
        <v>7</v>
      </c>
      <c r="B48" s="4">
        <v>180</v>
      </c>
      <c r="C48" s="5" t="s">
        <v>24</v>
      </c>
      <c r="D48" s="1">
        <v>100000</v>
      </c>
      <c r="E48" s="6">
        <v>10.25</v>
      </c>
      <c r="F48" s="6">
        <v>3</v>
      </c>
      <c r="G48" s="6">
        <v>3</v>
      </c>
      <c r="H48" s="6">
        <v>1.1000000000000001</v>
      </c>
      <c r="I48" s="6">
        <v>1.4</v>
      </c>
      <c r="J48" s="6">
        <v>1</v>
      </c>
      <c r="K48" s="6">
        <v>1</v>
      </c>
      <c r="L48" s="6">
        <v>28</v>
      </c>
      <c r="M48" s="6">
        <v>20</v>
      </c>
      <c r="N48" s="7">
        <f t="shared" si="8"/>
        <v>560</v>
      </c>
      <c r="O48" s="8">
        <f t="shared" si="2"/>
        <v>330.06357816777762</v>
      </c>
      <c r="P48" s="8">
        <f t="shared" si="6"/>
        <v>603.65048340258375</v>
      </c>
      <c r="Q48" s="8">
        <f t="shared" si="7"/>
        <v>50.480288855125885</v>
      </c>
      <c r="R48" s="8">
        <f t="shared" si="9"/>
        <v>540</v>
      </c>
      <c r="S48" s="9">
        <v>2</v>
      </c>
      <c r="U48" s="8">
        <f>PI()*(E48+1.3)^2*(H48+I48+J48+0.15)*[1]条件输入!$G$2</f>
        <v>1223.7612367938962</v>
      </c>
      <c r="V48" s="8">
        <f>PI()*(E48+1.3)^2*(H48+I48+J48+0.15)*[1]条件输入!$H$2</f>
        <v>305.94030919847393</v>
      </c>
      <c r="W48" s="8">
        <f t="shared" si="10"/>
        <v>875.57077373466041</v>
      </c>
    </row>
    <row r="49" spans="1:23">
      <c r="A49" s="4">
        <v>7</v>
      </c>
      <c r="B49" s="4">
        <v>180</v>
      </c>
      <c r="C49" s="5" t="s">
        <v>24</v>
      </c>
      <c r="D49" s="1">
        <v>110000</v>
      </c>
      <c r="E49" s="6">
        <v>10.25</v>
      </c>
      <c r="F49" s="6">
        <v>3</v>
      </c>
      <c r="G49" s="6">
        <v>3</v>
      </c>
      <c r="H49" s="6">
        <v>1.1000000000000001</v>
      </c>
      <c r="I49" s="6">
        <v>1.4</v>
      </c>
      <c r="J49" s="6">
        <v>1</v>
      </c>
      <c r="K49" s="6">
        <v>1</v>
      </c>
      <c r="L49" s="6">
        <v>30</v>
      </c>
      <c r="M49" s="6">
        <v>20</v>
      </c>
      <c r="N49" s="7">
        <f t="shared" si="8"/>
        <v>600</v>
      </c>
      <c r="O49" s="8">
        <f t="shared" si="2"/>
        <v>330.06357816777762</v>
      </c>
      <c r="P49" s="8">
        <f t="shared" si="6"/>
        <v>603.65048340258375</v>
      </c>
      <c r="Q49" s="8">
        <f t="shared" si="7"/>
        <v>50.480288855125885</v>
      </c>
      <c r="R49" s="8">
        <f t="shared" si="9"/>
        <v>540</v>
      </c>
      <c r="S49" s="9">
        <v>2</v>
      </c>
      <c r="U49" s="8">
        <f>PI()*(E49+1.3)^2*(H49+I49+J49+0.15)*[1]条件输入!$G$2</f>
        <v>1223.7612367938962</v>
      </c>
      <c r="V49" s="8">
        <f>PI()*(E49+1.3)^2*(H49+I49+J49+0.15)*[1]条件输入!$H$2</f>
        <v>305.94030919847393</v>
      </c>
      <c r="W49" s="8">
        <f t="shared" si="10"/>
        <v>875.57077373466041</v>
      </c>
    </row>
    <row r="50" spans="1:23">
      <c r="A50" s="4">
        <v>7</v>
      </c>
      <c r="B50" s="4">
        <v>180</v>
      </c>
      <c r="C50" s="5" t="s">
        <v>24</v>
      </c>
      <c r="D50" s="1">
        <v>120000</v>
      </c>
      <c r="E50" s="6">
        <v>10.5</v>
      </c>
      <c r="F50" s="6">
        <v>3</v>
      </c>
      <c r="G50" s="6">
        <v>3</v>
      </c>
      <c r="H50" s="6">
        <v>1.2</v>
      </c>
      <c r="I50" s="6">
        <v>1.4</v>
      </c>
      <c r="J50" s="6">
        <v>1</v>
      </c>
      <c r="K50" s="6">
        <v>1</v>
      </c>
      <c r="L50" s="6">
        <v>32</v>
      </c>
      <c r="M50" s="6">
        <v>20</v>
      </c>
      <c r="N50" s="7">
        <f t="shared" si="8"/>
        <v>640</v>
      </c>
      <c r="O50" s="8">
        <f t="shared" si="2"/>
        <v>346.36059005827468</v>
      </c>
      <c r="P50" s="8">
        <f t="shared" si="6"/>
        <v>664.91808513227966</v>
      </c>
      <c r="Q50" s="8">
        <f t="shared" si="7"/>
        <v>52.948402583602373</v>
      </c>
      <c r="R50" s="8">
        <f t="shared" si="9"/>
        <v>552</v>
      </c>
      <c r="S50" s="9">
        <v>2</v>
      </c>
      <c r="U50" s="8">
        <f>PI()*(E50+1.3)^2*(H50+I50+J50+0.15)*[1]条件输入!$G$2</f>
        <v>1312.3060832575284</v>
      </c>
      <c r="V50" s="8">
        <f>PI()*(E50+1.3)^2*(H50+I50+J50+0.15)*[1]条件输入!$H$2</f>
        <v>328.07652081438204</v>
      </c>
      <c r="W50" s="8">
        <f t="shared" si="10"/>
        <v>922.51611635602842</v>
      </c>
    </row>
    <row r="51" spans="1:23">
      <c r="A51" s="4">
        <v>8</v>
      </c>
      <c r="B51" s="4">
        <v>180</v>
      </c>
      <c r="C51" s="5" t="s">
        <v>22</v>
      </c>
      <c r="D51" s="1">
        <v>50000</v>
      </c>
      <c r="E51" s="6">
        <v>9.5</v>
      </c>
      <c r="F51" s="6">
        <v>3</v>
      </c>
      <c r="G51" s="6">
        <v>3</v>
      </c>
      <c r="H51" s="6">
        <v>1</v>
      </c>
      <c r="I51" s="6">
        <v>1.2</v>
      </c>
      <c r="J51" s="6">
        <v>0.8</v>
      </c>
      <c r="K51" s="6">
        <v>0</v>
      </c>
      <c r="L51" s="6">
        <v>0</v>
      </c>
      <c r="M51" s="6">
        <v>0</v>
      </c>
      <c r="N51" s="7">
        <v>0</v>
      </c>
      <c r="O51" s="8">
        <f t="shared" si="2"/>
        <v>283.5287369864788</v>
      </c>
      <c r="P51" s="8">
        <f>PI()*E51^2*H51+PI()*G51^2*J51+PI()*(E51^2+F51^2+(E51^2*F51^2)^0.5)*I51/3</f>
        <v>466.68358869076371</v>
      </c>
      <c r="Q51" s="8">
        <f>PI()*(E51+0.1)^2*0.15</f>
        <v>43.429376843225299</v>
      </c>
      <c r="R51" s="8">
        <f t="shared" si="9"/>
        <v>480</v>
      </c>
      <c r="S51" s="9">
        <v>2</v>
      </c>
      <c r="U51" s="8">
        <f>PI()*(E51+1.3)^2*(H51+I51+J51+0.15)*[1]条件输入!$G$2</f>
        <v>923.41712512907804</v>
      </c>
      <c r="V51" s="8">
        <f>PI()*(E51+1.3)^2*(H51+I51+J51+0.15)*[1]条件输入!$H$2</f>
        <v>230.85428128226945</v>
      </c>
      <c r="W51" s="8">
        <f t="shared" si="10"/>
        <v>644.15844087735843</v>
      </c>
    </row>
    <row r="52" spans="1:23">
      <c r="A52" s="4">
        <v>8</v>
      </c>
      <c r="B52" s="4">
        <v>180</v>
      </c>
      <c r="C52" s="5" t="s">
        <v>22</v>
      </c>
      <c r="D52" s="1">
        <v>60000</v>
      </c>
      <c r="E52" s="6">
        <v>10</v>
      </c>
      <c r="F52" s="6">
        <v>3</v>
      </c>
      <c r="G52" s="6">
        <v>3</v>
      </c>
      <c r="H52" s="6">
        <v>1</v>
      </c>
      <c r="I52" s="6">
        <v>1.4</v>
      </c>
      <c r="J52" s="6">
        <v>0.8</v>
      </c>
      <c r="K52" s="6">
        <v>0</v>
      </c>
      <c r="L52" s="6">
        <v>0</v>
      </c>
      <c r="M52" s="6">
        <v>0</v>
      </c>
      <c r="N52" s="7">
        <v>0</v>
      </c>
      <c r="O52" s="8">
        <f t="shared" si="2"/>
        <v>314.15926535897933</v>
      </c>
      <c r="P52" s="8">
        <f t="shared" ref="P52:P74" si="11">PI()*E52^2*H52+PI()*G52^2*J52+PI()*(E52^2+F52^2+(E52^2*F52^2)^0.5)*I52/3</f>
        <v>540.56337592768375</v>
      </c>
      <c r="Q52" s="8">
        <f t="shared" ref="Q52:Q74" si="12">PI()*(E52+0.1)^2*0.15</f>
        <v>48.071079988904216</v>
      </c>
      <c r="R52" s="8">
        <f t="shared" si="9"/>
        <v>504</v>
      </c>
      <c r="S52" s="9">
        <v>2</v>
      </c>
      <c r="U52" s="8">
        <f>PI()*(E52+1.3)^2*(H52+I52+J52+0.15)*[1]条件输入!$G$2</f>
        <v>1075.0819087108405</v>
      </c>
      <c r="V52" s="8">
        <f>PI()*(E52+1.3)^2*(H52+I52+J52+0.15)*[1]条件输入!$H$2</f>
        <v>268.77047717771006</v>
      </c>
      <c r="W52" s="8">
        <f t="shared" si="10"/>
        <v>755.21792997196258</v>
      </c>
    </row>
    <row r="53" spans="1:23">
      <c r="A53" s="4">
        <v>8</v>
      </c>
      <c r="B53" s="4">
        <v>180</v>
      </c>
      <c r="C53" s="5" t="s">
        <v>22</v>
      </c>
      <c r="D53" s="1">
        <v>70000</v>
      </c>
      <c r="E53" s="6">
        <v>10.25</v>
      </c>
      <c r="F53" s="6">
        <v>3</v>
      </c>
      <c r="G53" s="6">
        <v>3</v>
      </c>
      <c r="H53" s="6">
        <v>1</v>
      </c>
      <c r="I53" s="6">
        <v>1.6</v>
      </c>
      <c r="J53" s="6">
        <v>1</v>
      </c>
      <c r="K53" s="6">
        <v>0</v>
      </c>
      <c r="L53" s="6">
        <v>0</v>
      </c>
      <c r="M53" s="6">
        <v>0</v>
      </c>
      <c r="N53" s="7">
        <v>0</v>
      </c>
      <c r="O53" s="8">
        <f t="shared" si="2"/>
        <v>330.06357816777762</v>
      </c>
      <c r="P53" s="8">
        <f t="shared" si="11"/>
        <v>600.97358466233754</v>
      </c>
      <c r="Q53" s="8">
        <f t="shared" si="12"/>
        <v>50.480288855125885</v>
      </c>
      <c r="R53" s="8">
        <f t="shared" si="9"/>
        <v>552</v>
      </c>
      <c r="S53" s="9">
        <v>2</v>
      </c>
      <c r="U53" s="8">
        <f>PI()*(E53+1.3)^2*(H53+I53+J53+0.15)*[1]条件输入!$G$2</f>
        <v>1257.2889419115372</v>
      </c>
      <c r="V53" s="8">
        <f>PI()*(E53+1.3)^2*(H53+I53+J53+0.15)*[1]条件输入!$H$2</f>
        <v>314.32223547788419</v>
      </c>
      <c r="W53" s="8">
        <f t="shared" si="10"/>
        <v>920.15730387195788</v>
      </c>
    </row>
    <row r="54" spans="1:23">
      <c r="A54" s="4">
        <v>8</v>
      </c>
      <c r="B54" s="4">
        <v>180</v>
      </c>
      <c r="C54" s="5" t="s">
        <v>22</v>
      </c>
      <c r="D54" s="1">
        <v>80000</v>
      </c>
      <c r="E54" s="6">
        <v>10.25</v>
      </c>
      <c r="F54" s="6">
        <v>3</v>
      </c>
      <c r="G54" s="6">
        <v>3</v>
      </c>
      <c r="H54" s="6">
        <v>1</v>
      </c>
      <c r="I54" s="6">
        <v>1.7</v>
      </c>
      <c r="J54" s="6">
        <v>1</v>
      </c>
      <c r="K54" s="6">
        <v>0</v>
      </c>
      <c r="L54" s="6">
        <v>0</v>
      </c>
      <c r="M54" s="6">
        <v>0</v>
      </c>
      <c r="N54" s="7">
        <v>0</v>
      </c>
      <c r="O54" s="8">
        <f t="shared" si="2"/>
        <v>330.06357816777762</v>
      </c>
      <c r="P54" s="8">
        <f t="shared" si="11"/>
        <v>616.13831420060319</v>
      </c>
      <c r="Q54" s="8">
        <f t="shared" si="12"/>
        <v>50.480288855125885</v>
      </c>
      <c r="R54" s="8">
        <f t="shared" si="9"/>
        <v>564</v>
      </c>
      <c r="S54" s="9">
        <v>2</v>
      </c>
      <c r="U54" s="8">
        <f>PI()*(E54+1.3)^2*(H54+I54+J54+0.15)*[1]条件输入!$G$2</f>
        <v>1290.8166470291781</v>
      </c>
      <c r="V54" s="8">
        <f>PI()*(E54+1.3)^2*(H54+I54+J54+0.15)*[1]条件输入!$H$2</f>
        <v>322.70416175729446</v>
      </c>
      <c r="W54" s="8">
        <f t="shared" si="10"/>
        <v>946.9022057307435</v>
      </c>
    </row>
    <row r="55" spans="1:23">
      <c r="A55" s="4">
        <v>8</v>
      </c>
      <c r="B55" s="4">
        <v>180</v>
      </c>
      <c r="C55" s="5" t="s">
        <v>22</v>
      </c>
      <c r="D55" s="1">
        <v>90000</v>
      </c>
      <c r="E55" s="6">
        <v>10.75</v>
      </c>
      <c r="F55" s="6">
        <v>3</v>
      </c>
      <c r="G55" s="6">
        <v>3</v>
      </c>
      <c r="H55" s="6">
        <v>1</v>
      </c>
      <c r="I55" s="6">
        <v>1.7</v>
      </c>
      <c r="J55" s="6">
        <v>1</v>
      </c>
      <c r="K55" s="6">
        <v>0</v>
      </c>
      <c r="L55" s="6">
        <v>0</v>
      </c>
      <c r="M55" s="6">
        <v>0</v>
      </c>
      <c r="N55" s="7">
        <v>0</v>
      </c>
      <c r="O55" s="8">
        <f t="shared" si="2"/>
        <v>363.05030103047045</v>
      </c>
      <c r="P55" s="8">
        <f t="shared" si="11"/>
        <v>670.48786710770662</v>
      </c>
      <c r="Q55" s="8">
        <f t="shared" si="12"/>
        <v>55.475421174333661</v>
      </c>
      <c r="R55" s="8">
        <f t="shared" si="9"/>
        <v>564</v>
      </c>
      <c r="S55" s="9">
        <v>2</v>
      </c>
      <c r="U55" s="8">
        <f>PI()*(E55+1.3)^2*(H55+I55+J55+0.15)*[1]条件输入!$G$2</f>
        <v>1404.9946904312458</v>
      </c>
      <c r="V55" s="8">
        <f>PI()*(E55+1.3)^2*(H55+I55+J55+0.15)*[1]条件输入!$H$2</f>
        <v>351.24867260781133</v>
      </c>
      <c r="W55" s="8">
        <f t="shared" si="10"/>
        <v>1030.280074757017</v>
      </c>
    </row>
    <row r="56" spans="1:23">
      <c r="A56" s="4">
        <v>8</v>
      </c>
      <c r="B56" s="4">
        <v>180</v>
      </c>
      <c r="C56" s="5" t="s">
        <v>22</v>
      </c>
      <c r="D56" s="1">
        <v>100000</v>
      </c>
      <c r="E56" s="6">
        <v>11</v>
      </c>
      <c r="F56" s="6">
        <v>3</v>
      </c>
      <c r="G56" s="6">
        <v>3</v>
      </c>
      <c r="H56" s="6">
        <v>1</v>
      </c>
      <c r="I56" s="6">
        <v>1.8</v>
      </c>
      <c r="J56" s="6">
        <v>1</v>
      </c>
      <c r="K56" s="6">
        <v>0</v>
      </c>
      <c r="L56" s="6">
        <v>0</v>
      </c>
      <c r="M56" s="6">
        <v>0</v>
      </c>
      <c r="N56" s="7">
        <v>0</v>
      </c>
      <c r="O56" s="8">
        <f t="shared" si="2"/>
        <v>380.13271108436498</v>
      </c>
      <c r="P56" s="8">
        <f t="shared" si="11"/>
        <v>715.65480648775497</v>
      </c>
      <c r="Q56" s="8">
        <f t="shared" si="12"/>
        <v>58.061344627319755</v>
      </c>
      <c r="R56" s="8">
        <f t="shared" si="9"/>
        <v>576</v>
      </c>
      <c r="S56" s="9">
        <v>2</v>
      </c>
      <c r="U56" s="8">
        <f>PI()*(E56+1.3)^2*(H56+I56+J56+0.15)*[1]条件输入!$G$2</f>
        <v>1501.9213060946556</v>
      </c>
      <c r="V56" s="8">
        <f>PI()*(E56+1.3)^2*(H56+I56+J56+0.15)*[1]条件输入!$H$2</f>
        <v>375.48032652366379</v>
      </c>
      <c r="W56" s="8">
        <f t="shared" si="10"/>
        <v>1103.6854815032445</v>
      </c>
    </row>
    <row r="57" spans="1:23">
      <c r="A57" s="4">
        <v>8</v>
      </c>
      <c r="B57" s="4">
        <v>180</v>
      </c>
      <c r="C57" s="5" t="s">
        <v>22</v>
      </c>
      <c r="D57" s="1">
        <v>110000</v>
      </c>
      <c r="E57" s="6">
        <v>11.5</v>
      </c>
      <c r="F57" s="6">
        <v>3</v>
      </c>
      <c r="G57" s="6">
        <v>3</v>
      </c>
      <c r="H57" s="6">
        <v>1.1000000000000001</v>
      </c>
      <c r="I57" s="6">
        <v>1.8</v>
      </c>
      <c r="J57" s="6">
        <v>1</v>
      </c>
      <c r="K57" s="6">
        <v>0</v>
      </c>
      <c r="L57" s="6">
        <v>0</v>
      </c>
      <c r="M57" s="6">
        <v>0</v>
      </c>
      <c r="N57" s="7">
        <v>0</v>
      </c>
      <c r="O57" s="8">
        <f t="shared" si="2"/>
        <v>415.47562843725012</v>
      </c>
      <c r="P57" s="8">
        <f t="shared" si="11"/>
        <v>816.578470484327</v>
      </c>
      <c r="Q57" s="8">
        <f t="shared" si="12"/>
        <v>63.409906120056384</v>
      </c>
      <c r="R57" s="8">
        <f t="shared" si="9"/>
        <v>588</v>
      </c>
      <c r="S57" s="9">
        <v>2</v>
      </c>
      <c r="U57" s="8">
        <f>PI()*(E57+1.3)^2*(H57+I57+J57+0.15)*[1]条件输入!$G$2</f>
        <v>1667.6880707798518</v>
      </c>
      <c r="V57" s="8">
        <f>PI()*(E57+1.3)^2*(H57+I57+J57+0.15)*[1]条件输入!$H$2</f>
        <v>416.92201769496285</v>
      </c>
      <c r="W57" s="8">
        <f t="shared" si="10"/>
        <v>1204.6217118704315</v>
      </c>
    </row>
    <row r="58" spans="1:23">
      <c r="A58" s="4">
        <v>8</v>
      </c>
      <c r="B58" s="4">
        <v>180</v>
      </c>
      <c r="C58" s="5" t="s">
        <v>22</v>
      </c>
      <c r="D58" s="1">
        <v>120000</v>
      </c>
      <c r="E58" s="6">
        <v>12</v>
      </c>
      <c r="F58" s="6">
        <v>3</v>
      </c>
      <c r="G58" s="6">
        <v>3</v>
      </c>
      <c r="H58" s="6">
        <v>1.2</v>
      </c>
      <c r="I58" s="6">
        <v>1.8</v>
      </c>
      <c r="J58" s="6">
        <v>1</v>
      </c>
      <c r="K58" s="6">
        <v>0</v>
      </c>
      <c r="L58" s="6">
        <v>0</v>
      </c>
      <c r="M58" s="6">
        <v>0</v>
      </c>
      <c r="N58" s="7">
        <v>0</v>
      </c>
      <c r="O58" s="8">
        <f t="shared" si="2"/>
        <v>452.38934211693021</v>
      </c>
      <c r="P58" s="8">
        <f t="shared" si="11"/>
        <v>927.39815133970694</v>
      </c>
      <c r="Q58" s="8">
        <f t="shared" si="12"/>
        <v>68.994087061812237</v>
      </c>
      <c r="R58" s="8">
        <f t="shared" si="9"/>
        <v>600</v>
      </c>
      <c r="S58" s="9">
        <v>2</v>
      </c>
      <c r="U58" s="8">
        <f>PI()*(E58+1.3)^2*(H58+I58+J58+0.15)*[1]条件输入!$G$2</f>
        <v>1844.9781973184154</v>
      </c>
      <c r="V58" s="8">
        <f>PI()*(E58+1.3)^2*(H58+I58+J58+0.15)*[1]条件输入!$H$2</f>
        <v>461.24454932960367</v>
      </c>
      <c r="W58" s="8">
        <f t="shared" si="10"/>
        <v>1309.8305082464997</v>
      </c>
    </row>
    <row r="59" spans="1:23">
      <c r="A59" s="4">
        <v>8</v>
      </c>
      <c r="B59" s="4">
        <v>180</v>
      </c>
      <c r="C59" s="5" t="s">
        <v>23</v>
      </c>
      <c r="D59" s="1">
        <v>50000</v>
      </c>
      <c r="E59" s="6">
        <v>9</v>
      </c>
      <c r="F59" s="6">
        <v>3</v>
      </c>
      <c r="G59" s="6">
        <v>3</v>
      </c>
      <c r="H59" s="6">
        <v>1</v>
      </c>
      <c r="I59" s="6">
        <v>1.2</v>
      </c>
      <c r="J59" s="6">
        <v>0.8</v>
      </c>
      <c r="K59" s="6">
        <v>0.6</v>
      </c>
      <c r="L59" s="6">
        <v>20</v>
      </c>
      <c r="M59" s="6">
        <v>20</v>
      </c>
      <c r="N59" s="7">
        <f t="shared" ref="N59:N74" si="13">L59*M59</f>
        <v>400</v>
      </c>
      <c r="O59" s="8">
        <f t="shared" si="2"/>
        <v>254.46900494077323</v>
      </c>
      <c r="P59" s="8">
        <f t="shared" si="11"/>
        <v>424.11500823462211</v>
      </c>
      <c r="Q59" s="8">
        <f t="shared" si="12"/>
        <v>39.023293146565614</v>
      </c>
      <c r="R59" s="8">
        <f t="shared" si="9"/>
        <v>480</v>
      </c>
      <c r="S59" s="9">
        <v>2</v>
      </c>
      <c r="U59" s="8">
        <f>PI()*(E59+1.3)^2*(H59+I59+J59+0.15)*[1]条件输入!$G$2</f>
        <v>839.89474284073992</v>
      </c>
      <c r="V59" s="8">
        <f>PI()*(E59+1.3)^2*(H59+I59+J59+0.15)*[1]条件输入!$H$2</f>
        <v>209.97368571018492</v>
      </c>
      <c r="W59" s="8">
        <f t="shared" si="10"/>
        <v>586.7301271697371</v>
      </c>
    </row>
    <row r="60" spans="1:23">
      <c r="A60" s="4">
        <v>8</v>
      </c>
      <c r="B60" s="4">
        <v>180</v>
      </c>
      <c r="C60" s="5" t="s">
        <v>23</v>
      </c>
      <c r="D60" s="1">
        <v>60000</v>
      </c>
      <c r="E60" s="6">
        <v>9.5</v>
      </c>
      <c r="F60" s="6">
        <v>3</v>
      </c>
      <c r="G60" s="6">
        <v>3</v>
      </c>
      <c r="H60" s="6">
        <v>1</v>
      </c>
      <c r="I60" s="6">
        <v>1.2</v>
      </c>
      <c r="J60" s="6">
        <v>0.8</v>
      </c>
      <c r="K60" s="6">
        <v>0.6</v>
      </c>
      <c r="L60" s="6">
        <v>22</v>
      </c>
      <c r="M60" s="6">
        <v>20</v>
      </c>
      <c r="N60" s="7">
        <f t="shared" si="13"/>
        <v>440</v>
      </c>
      <c r="O60" s="8">
        <f t="shared" si="2"/>
        <v>283.5287369864788</v>
      </c>
      <c r="P60" s="8">
        <f t="shared" si="11"/>
        <v>466.68358869076371</v>
      </c>
      <c r="Q60" s="8">
        <f t="shared" si="12"/>
        <v>43.429376843225299</v>
      </c>
      <c r="R60" s="8">
        <f t="shared" si="9"/>
        <v>480</v>
      </c>
      <c r="S60" s="9">
        <v>2</v>
      </c>
      <c r="U60" s="8">
        <f>PI()*(E60+1.3)^2*(H60+I60+J60+0.15)*[1]条件输入!$G$2</f>
        <v>923.41712512907804</v>
      </c>
      <c r="V60" s="8">
        <f>PI()*(E60+1.3)^2*(H60+I60+J60+0.15)*[1]条件输入!$H$2</f>
        <v>230.85428128226945</v>
      </c>
      <c r="W60" s="8">
        <f t="shared" si="10"/>
        <v>644.15844087735843</v>
      </c>
    </row>
    <row r="61" spans="1:23">
      <c r="A61" s="4">
        <v>8</v>
      </c>
      <c r="B61" s="4">
        <v>180</v>
      </c>
      <c r="C61" s="5" t="s">
        <v>23</v>
      </c>
      <c r="D61" s="1">
        <v>70000</v>
      </c>
      <c r="E61" s="6">
        <v>9.5</v>
      </c>
      <c r="F61" s="6">
        <v>3</v>
      </c>
      <c r="G61" s="6">
        <v>3</v>
      </c>
      <c r="H61" s="6">
        <v>1</v>
      </c>
      <c r="I61" s="6">
        <v>1.2</v>
      </c>
      <c r="J61" s="6">
        <v>0.8</v>
      </c>
      <c r="K61" s="6">
        <v>0.6</v>
      </c>
      <c r="L61" s="6">
        <v>24</v>
      </c>
      <c r="M61" s="6">
        <v>20</v>
      </c>
      <c r="N61" s="7">
        <f t="shared" si="13"/>
        <v>480</v>
      </c>
      <c r="O61" s="8">
        <f t="shared" si="2"/>
        <v>283.5287369864788</v>
      </c>
      <c r="P61" s="8">
        <f t="shared" si="11"/>
        <v>466.68358869076371</v>
      </c>
      <c r="Q61" s="8">
        <f t="shared" si="12"/>
        <v>43.429376843225299</v>
      </c>
      <c r="R61" s="8">
        <f t="shared" si="9"/>
        <v>480</v>
      </c>
      <c r="S61" s="9">
        <v>2</v>
      </c>
      <c r="U61" s="8">
        <f>PI()*(E61+1.3)^2*(H61+I61+J61+0.15)*[1]条件输入!$G$2</f>
        <v>923.41712512907804</v>
      </c>
      <c r="V61" s="8">
        <f>PI()*(E61+1.3)^2*(H61+I61+J61+0.15)*[1]条件输入!$H$2</f>
        <v>230.85428128226945</v>
      </c>
      <c r="W61" s="8">
        <f t="shared" si="10"/>
        <v>644.15844087735843</v>
      </c>
    </row>
    <row r="62" spans="1:23">
      <c r="A62" s="4">
        <v>8</v>
      </c>
      <c r="B62" s="4">
        <v>180</v>
      </c>
      <c r="C62" s="5" t="s">
        <v>23</v>
      </c>
      <c r="D62" s="1">
        <v>80000</v>
      </c>
      <c r="E62" s="6">
        <v>10</v>
      </c>
      <c r="F62" s="6">
        <v>3</v>
      </c>
      <c r="G62" s="6">
        <v>3</v>
      </c>
      <c r="H62" s="6">
        <v>1</v>
      </c>
      <c r="I62" s="6">
        <v>1.4</v>
      </c>
      <c r="J62" s="6">
        <v>1</v>
      </c>
      <c r="K62" s="6">
        <v>0.6</v>
      </c>
      <c r="L62" s="6">
        <v>26</v>
      </c>
      <c r="M62" s="6">
        <v>20</v>
      </c>
      <c r="N62" s="7">
        <f t="shared" si="13"/>
        <v>520</v>
      </c>
      <c r="O62" s="8">
        <f t="shared" si="2"/>
        <v>314.15926535897933</v>
      </c>
      <c r="P62" s="8">
        <f t="shared" si="11"/>
        <v>546.21824270414538</v>
      </c>
      <c r="Q62" s="8">
        <f t="shared" si="12"/>
        <v>48.071079988904216</v>
      </c>
      <c r="R62" s="8">
        <f t="shared" si="9"/>
        <v>528</v>
      </c>
      <c r="S62" s="9">
        <v>2</v>
      </c>
      <c r="U62" s="8">
        <f>PI()*(E62+1.3)^2*(H62+I62+J62+0.15)*[1]条件输入!$G$2</f>
        <v>1139.2659032607414</v>
      </c>
      <c r="V62" s="8">
        <f>PI()*(E62+1.3)^2*(H62+I62+J62+0.15)*[1]条件输入!$H$2</f>
        <v>284.81647581518524</v>
      </c>
      <c r="W62" s="8">
        <f t="shared" si="10"/>
        <v>829.79305638287701</v>
      </c>
    </row>
    <row r="63" spans="1:23">
      <c r="A63" s="4">
        <v>8</v>
      </c>
      <c r="B63" s="4">
        <v>180</v>
      </c>
      <c r="C63" s="5" t="s">
        <v>23</v>
      </c>
      <c r="D63" s="1">
        <v>90000</v>
      </c>
      <c r="E63" s="6">
        <v>10</v>
      </c>
      <c r="F63" s="6">
        <v>3</v>
      </c>
      <c r="G63" s="6">
        <v>3</v>
      </c>
      <c r="H63" s="6">
        <v>1</v>
      </c>
      <c r="I63" s="6">
        <v>1.4</v>
      </c>
      <c r="J63" s="6">
        <v>1</v>
      </c>
      <c r="K63" s="6">
        <v>0.6</v>
      </c>
      <c r="L63" s="6">
        <v>28</v>
      </c>
      <c r="M63" s="6">
        <v>20</v>
      </c>
      <c r="N63" s="7">
        <f t="shared" si="13"/>
        <v>560</v>
      </c>
      <c r="O63" s="8">
        <f t="shared" si="2"/>
        <v>314.15926535897933</v>
      </c>
      <c r="P63" s="8">
        <f t="shared" si="11"/>
        <v>546.21824270414538</v>
      </c>
      <c r="Q63" s="8">
        <f t="shared" si="12"/>
        <v>48.071079988904216</v>
      </c>
      <c r="R63" s="8">
        <f t="shared" si="9"/>
        <v>528</v>
      </c>
      <c r="S63" s="9">
        <v>2</v>
      </c>
      <c r="U63" s="8">
        <f>PI()*(E63+1.3)^2*(H63+I63+J63+0.15)*[1]条件输入!$G$2</f>
        <v>1139.2659032607414</v>
      </c>
      <c r="V63" s="8">
        <f>PI()*(E63+1.3)^2*(H63+I63+J63+0.15)*[1]条件输入!$H$2</f>
        <v>284.81647581518524</v>
      </c>
      <c r="W63" s="8">
        <f t="shared" si="10"/>
        <v>829.79305638287701</v>
      </c>
    </row>
    <row r="64" spans="1:23">
      <c r="A64" s="4">
        <v>8</v>
      </c>
      <c r="B64" s="4">
        <v>180</v>
      </c>
      <c r="C64" s="5" t="s">
        <v>23</v>
      </c>
      <c r="D64" s="1">
        <v>100000</v>
      </c>
      <c r="E64" s="6">
        <v>10.25</v>
      </c>
      <c r="F64" s="6">
        <v>3</v>
      </c>
      <c r="G64" s="6">
        <v>3</v>
      </c>
      <c r="H64" s="6">
        <v>1.1000000000000001</v>
      </c>
      <c r="I64" s="6">
        <v>1.4</v>
      </c>
      <c r="J64" s="6">
        <v>1</v>
      </c>
      <c r="K64" s="6">
        <v>0.6</v>
      </c>
      <c r="L64" s="6">
        <v>30</v>
      </c>
      <c r="M64" s="6">
        <v>20</v>
      </c>
      <c r="N64" s="7">
        <f t="shared" si="13"/>
        <v>600</v>
      </c>
      <c r="O64" s="8">
        <f t="shared" si="2"/>
        <v>330.06357816777762</v>
      </c>
      <c r="P64" s="8">
        <f t="shared" si="11"/>
        <v>603.65048340258375</v>
      </c>
      <c r="Q64" s="8">
        <f t="shared" si="12"/>
        <v>50.480288855125885</v>
      </c>
      <c r="R64" s="8">
        <f t="shared" si="9"/>
        <v>540</v>
      </c>
      <c r="S64" s="9">
        <v>2</v>
      </c>
      <c r="U64" s="8">
        <f>PI()*(E64+1.3)^2*(H64+I64+J64+0.15)*[1]条件输入!$G$2</f>
        <v>1223.7612367938962</v>
      </c>
      <c r="V64" s="8">
        <f>PI()*(E64+1.3)^2*(H64+I64+J64+0.15)*[1]条件输入!$H$2</f>
        <v>305.94030919847393</v>
      </c>
      <c r="W64" s="8">
        <f t="shared" si="10"/>
        <v>875.57077373466041</v>
      </c>
    </row>
    <row r="65" spans="1:23">
      <c r="A65" s="4">
        <v>8</v>
      </c>
      <c r="B65" s="4">
        <v>180</v>
      </c>
      <c r="C65" s="5" t="s">
        <v>23</v>
      </c>
      <c r="D65" s="1">
        <v>110000</v>
      </c>
      <c r="E65" s="6">
        <v>10.25</v>
      </c>
      <c r="F65" s="6">
        <v>3</v>
      </c>
      <c r="G65" s="6">
        <v>3</v>
      </c>
      <c r="H65" s="6">
        <v>1.1000000000000001</v>
      </c>
      <c r="I65" s="6">
        <v>1.4</v>
      </c>
      <c r="J65" s="6">
        <v>1</v>
      </c>
      <c r="K65" s="6">
        <v>0.6</v>
      </c>
      <c r="L65" s="6">
        <v>32</v>
      </c>
      <c r="M65" s="6">
        <v>20</v>
      </c>
      <c r="N65" s="7">
        <f t="shared" si="13"/>
        <v>640</v>
      </c>
      <c r="O65" s="8">
        <f t="shared" si="2"/>
        <v>330.06357816777762</v>
      </c>
      <c r="P65" s="8">
        <f t="shared" si="11"/>
        <v>603.65048340258375</v>
      </c>
      <c r="Q65" s="8">
        <f t="shared" si="12"/>
        <v>50.480288855125885</v>
      </c>
      <c r="R65" s="8">
        <f t="shared" si="9"/>
        <v>540</v>
      </c>
      <c r="S65" s="9">
        <v>2</v>
      </c>
      <c r="U65" s="8">
        <f>PI()*(E65+1.3)^2*(H65+I65+J65+0.15)*[1]条件输入!$G$2</f>
        <v>1223.7612367938962</v>
      </c>
      <c r="V65" s="8">
        <f>PI()*(E65+1.3)^2*(H65+I65+J65+0.15)*[1]条件输入!$H$2</f>
        <v>305.94030919847393</v>
      </c>
      <c r="W65" s="8">
        <f t="shared" si="10"/>
        <v>875.57077373466041</v>
      </c>
    </row>
    <row r="66" spans="1:23">
      <c r="A66" s="4">
        <v>8</v>
      </c>
      <c r="B66" s="4">
        <v>180</v>
      </c>
      <c r="C66" s="5" t="s">
        <v>23</v>
      </c>
      <c r="D66" s="1">
        <v>120000</v>
      </c>
      <c r="E66" s="6">
        <v>10.5</v>
      </c>
      <c r="F66" s="6">
        <v>3</v>
      </c>
      <c r="G66" s="6">
        <v>3</v>
      </c>
      <c r="H66" s="6">
        <v>1.2</v>
      </c>
      <c r="I66" s="6">
        <v>1.4</v>
      </c>
      <c r="J66" s="6">
        <v>1</v>
      </c>
      <c r="K66" s="6">
        <v>0.6</v>
      </c>
      <c r="L66" s="6">
        <v>34</v>
      </c>
      <c r="M66" s="6">
        <v>20</v>
      </c>
      <c r="N66" s="7">
        <f t="shared" si="13"/>
        <v>680</v>
      </c>
      <c r="O66" s="8">
        <f t="shared" si="2"/>
        <v>346.36059005827468</v>
      </c>
      <c r="P66" s="8">
        <f t="shared" si="11"/>
        <v>664.91808513227966</v>
      </c>
      <c r="Q66" s="8">
        <f t="shared" si="12"/>
        <v>52.948402583602373</v>
      </c>
      <c r="R66" s="8">
        <f t="shared" si="9"/>
        <v>552</v>
      </c>
      <c r="S66" s="9">
        <v>2</v>
      </c>
      <c r="U66" s="8">
        <f>PI()*(E66+1.3)^2*(H66+I66+J66+0.15)*[1]条件输入!$G$2</f>
        <v>1312.3060832575284</v>
      </c>
      <c r="V66" s="8">
        <f>PI()*(E66+1.3)^2*(H66+I66+J66+0.15)*[1]条件输入!$H$2</f>
        <v>328.07652081438204</v>
      </c>
      <c r="W66" s="8">
        <f t="shared" si="10"/>
        <v>922.51611635602842</v>
      </c>
    </row>
    <row r="67" spans="1:23">
      <c r="A67" s="4">
        <v>8</v>
      </c>
      <c r="B67" s="4">
        <v>180</v>
      </c>
      <c r="C67" s="5" t="s">
        <v>24</v>
      </c>
      <c r="D67" s="1">
        <v>50000</v>
      </c>
      <c r="E67" s="6">
        <v>9</v>
      </c>
      <c r="F67" s="6">
        <v>3</v>
      </c>
      <c r="G67" s="6">
        <v>3</v>
      </c>
      <c r="H67" s="6">
        <v>1</v>
      </c>
      <c r="I67" s="6">
        <v>1.2</v>
      </c>
      <c r="J67" s="6">
        <v>0.8</v>
      </c>
      <c r="K67" s="6">
        <v>1</v>
      </c>
      <c r="L67" s="6">
        <v>18</v>
      </c>
      <c r="M67" s="6">
        <v>20</v>
      </c>
      <c r="N67" s="7">
        <f t="shared" si="13"/>
        <v>360</v>
      </c>
      <c r="O67" s="8">
        <f t="shared" si="2"/>
        <v>254.46900494077323</v>
      </c>
      <c r="P67" s="8">
        <f t="shared" si="11"/>
        <v>424.11500823462211</v>
      </c>
      <c r="Q67" s="8">
        <f t="shared" si="12"/>
        <v>39.023293146565614</v>
      </c>
      <c r="R67" s="8">
        <f t="shared" ref="R67:R74" si="14">120*(H67+I67+J67+1)</f>
        <v>480</v>
      </c>
      <c r="S67" s="9">
        <v>2</v>
      </c>
      <c r="U67" s="8">
        <f>PI()*(E67+1.3)^2*(H67+I67+J67+0.15)*[1]条件输入!$G$2</f>
        <v>839.89474284073992</v>
      </c>
      <c r="V67" s="8">
        <f>PI()*(E67+1.3)^2*(H67+I67+J67+0.15)*[1]条件输入!$H$2</f>
        <v>209.97368571018492</v>
      </c>
      <c r="W67" s="8">
        <f t="shared" ref="W67:W74" si="15">U67+V67-P67-Q67</f>
        <v>586.7301271697371</v>
      </c>
    </row>
    <row r="68" spans="1:23">
      <c r="A68" s="4">
        <v>8</v>
      </c>
      <c r="B68" s="4">
        <v>180</v>
      </c>
      <c r="C68" s="5" t="s">
        <v>24</v>
      </c>
      <c r="D68" s="1">
        <v>60000</v>
      </c>
      <c r="E68" s="6">
        <v>9.5</v>
      </c>
      <c r="F68" s="6">
        <v>3</v>
      </c>
      <c r="G68" s="6">
        <v>3</v>
      </c>
      <c r="H68" s="6">
        <v>1</v>
      </c>
      <c r="I68" s="6">
        <v>1.2</v>
      </c>
      <c r="J68" s="6">
        <v>0.8</v>
      </c>
      <c r="K68" s="6">
        <v>1</v>
      </c>
      <c r="L68" s="6">
        <v>20</v>
      </c>
      <c r="M68" s="6">
        <v>20</v>
      </c>
      <c r="N68" s="7">
        <f t="shared" si="13"/>
        <v>400</v>
      </c>
      <c r="O68" s="8">
        <f t="shared" si="2"/>
        <v>283.5287369864788</v>
      </c>
      <c r="P68" s="8">
        <f t="shared" si="11"/>
        <v>466.68358869076371</v>
      </c>
      <c r="Q68" s="8">
        <f t="shared" si="12"/>
        <v>43.429376843225299</v>
      </c>
      <c r="R68" s="8">
        <f t="shared" si="14"/>
        <v>480</v>
      </c>
      <c r="S68" s="9">
        <v>2</v>
      </c>
      <c r="U68" s="8">
        <f>PI()*(E68+1.3)^2*(H68+I68+J68+0.15)*[1]条件输入!$G$2</f>
        <v>923.41712512907804</v>
      </c>
      <c r="V68" s="8">
        <f>PI()*(E68+1.3)^2*(H68+I68+J68+0.15)*[1]条件输入!$H$2</f>
        <v>230.85428128226945</v>
      </c>
      <c r="W68" s="8">
        <f t="shared" si="15"/>
        <v>644.15844087735843</v>
      </c>
    </row>
    <row r="69" spans="1:23">
      <c r="A69" s="4">
        <v>8</v>
      </c>
      <c r="B69" s="4">
        <v>180</v>
      </c>
      <c r="C69" s="5" t="s">
        <v>24</v>
      </c>
      <c r="D69" s="1">
        <v>70000</v>
      </c>
      <c r="E69" s="6">
        <v>9.5</v>
      </c>
      <c r="F69" s="6">
        <v>3</v>
      </c>
      <c r="G69" s="6">
        <v>3</v>
      </c>
      <c r="H69" s="6">
        <v>1</v>
      </c>
      <c r="I69" s="6">
        <v>1.2</v>
      </c>
      <c r="J69" s="6">
        <v>0.8</v>
      </c>
      <c r="K69" s="6">
        <v>1</v>
      </c>
      <c r="L69" s="6">
        <v>22</v>
      </c>
      <c r="M69" s="6">
        <v>20</v>
      </c>
      <c r="N69" s="7">
        <f t="shared" si="13"/>
        <v>440</v>
      </c>
      <c r="O69" s="8">
        <f t="shared" ref="O69:O74" si="16">PI()*E69^2</f>
        <v>283.5287369864788</v>
      </c>
      <c r="P69" s="8">
        <f t="shared" si="11"/>
        <v>466.68358869076371</v>
      </c>
      <c r="Q69" s="8">
        <f t="shared" si="12"/>
        <v>43.429376843225299</v>
      </c>
      <c r="R69" s="8">
        <f t="shared" si="14"/>
        <v>480</v>
      </c>
      <c r="S69" s="9">
        <v>2</v>
      </c>
      <c r="U69" s="8">
        <f>PI()*(E69+1.3)^2*(H69+I69+J69+0.15)*[1]条件输入!$G$2</f>
        <v>923.41712512907804</v>
      </c>
      <c r="V69" s="8">
        <f>PI()*(E69+1.3)^2*(H69+I69+J69+0.15)*[1]条件输入!$H$2</f>
        <v>230.85428128226945</v>
      </c>
      <c r="W69" s="8">
        <f t="shared" si="15"/>
        <v>644.15844087735843</v>
      </c>
    </row>
    <row r="70" spans="1:23">
      <c r="A70" s="4">
        <v>8</v>
      </c>
      <c r="B70" s="4">
        <v>180</v>
      </c>
      <c r="C70" s="5" t="s">
        <v>24</v>
      </c>
      <c r="D70" s="1">
        <v>80000</v>
      </c>
      <c r="E70" s="6">
        <v>10</v>
      </c>
      <c r="F70" s="6">
        <v>3</v>
      </c>
      <c r="G70" s="6">
        <v>3</v>
      </c>
      <c r="H70" s="6">
        <v>1</v>
      </c>
      <c r="I70" s="6">
        <v>1.4</v>
      </c>
      <c r="J70" s="6">
        <v>1</v>
      </c>
      <c r="K70" s="6">
        <v>1</v>
      </c>
      <c r="L70" s="6">
        <v>24</v>
      </c>
      <c r="M70" s="6">
        <v>20</v>
      </c>
      <c r="N70" s="7">
        <f t="shared" si="13"/>
        <v>480</v>
      </c>
      <c r="O70" s="8">
        <f t="shared" si="16"/>
        <v>314.15926535897933</v>
      </c>
      <c r="P70" s="8">
        <f t="shared" si="11"/>
        <v>546.21824270414538</v>
      </c>
      <c r="Q70" s="8">
        <f t="shared" si="12"/>
        <v>48.071079988904216</v>
      </c>
      <c r="R70" s="8">
        <f t="shared" si="14"/>
        <v>528</v>
      </c>
      <c r="S70" s="9">
        <v>2</v>
      </c>
      <c r="U70" s="8">
        <f>PI()*(E70+1.3)^2*(H70+I70+J70+0.15)*[1]条件输入!$G$2</f>
        <v>1139.2659032607414</v>
      </c>
      <c r="V70" s="8">
        <f>PI()*(E70+1.3)^2*(H70+I70+J70+0.15)*[1]条件输入!$H$2</f>
        <v>284.81647581518524</v>
      </c>
      <c r="W70" s="8">
        <f t="shared" si="15"/>
        <v>829.79305638287701</v>
      </c>
    </row>
    <row r="71" spans="1:23">
      <c r="A71" s="4">
        <v>8</v>
      </c>
      <c r="B71" s="4">
        <v>180</v>
      </c>
      <c r="C71" s="5" t="s">
        <v>24</v>
      </c>
      <c r="D71" s="1">
        <v>90000</v>
      </c>
      <c r="E71" s="6">
        <v>10</v>
      </c>
      <c r="F71" s="6">
        <v>3</v>
      </c>
      <c r="G71" s="6">
        <v>3</v>
      </c>
      <c r="H71" s="6">
        <v>1</v>
      </c>
      <c r="I71" s="6">
        <v>1.4</v>
      </c>
      <c r="J71" s="6">
        <v>1</v>
      </c>
      <c r="K71" s="6">
        <v>1</v>
      </c>
      <c r="L71" s="6">
        <v>26</v>
      </c>
      <c r="M71" s="6">
        <v>20</v>
      </c>
      <c r="N71" s="7">
        <f t="shared" si="13"/>
        <v>520</v>
      </c>
      <c r="O71" s="8">
        <f t="shared" si="16"/>
        <v>314.15926535897933</v>
      </c>
      <c r="P71" s="8">
        <f t="shared" si="11"/>
        <v>546.21824270414538</v>
      </c>
      <c r="Q71" s="8">
        <f t="shared" si="12"/>
        <v>48.071079988904216</v>
      </c>
      <c r="R71" s="8">
        <f t="shared" si="14"/>
        <v>528</v>
      </c>
      <c r="S71" s="9">
        <v>2</v>
      </c>
      <c r="U71" s="8">
        <f>PI()*(E71+1.3)^2*(H71+I71+J71+0.15)*[1]条件输入!$G$2</f>
        <v>1139.2659032607414</v>
      </c>
      <c r="V71" s="8">
        <f>PI()*(E71+1.3)^2*(H71+I71+J71+0.15)*[1]条件输入!$H$2</f>
        <v>284.81647581518524</v>
      </c>
      <c r="W71" s="8">
        <f t="shared" si="15"/>
        <v>829.79305638287701</v>
      </c>
    </row>
    <row r="72" spans="1:23">
      <c r="A72" s="4">
        <v>8</v>
      </c>
      <c r="B72" s="4">
        <v>180</v>
      </c>
      <c r="C72" s="5" t="s">
        <v>24</v>
      </c>
      <c r="D72" s="1">
        <v>100000</v>
      </c>
      <c r="E72" s="6">
        <v>10.25</v>
      </c>
      <c r="F72" s="6">
        <v>3</v>
      </c>
      <c r="G72" s="6">
        <v>3</v>
      </c>
      <c r="H72" s="6">
        <v>1.1000000000000001</v>
      </c>
      <c r="I72" s="6">
        <v>1.4</v>
      </c>
      <c r="J72" s="6">
        <v>1</v>
      </c>
      <c r="K72" s="6">
        <v>1</v>
      </c>
      <c r="L72" s="6">
        <v>28</v>
      </c>
      <c r="M72" s="6">
        <v>20</v>
      </c>
      <c r="N72" s="7">
        <f t="shared" si="13"/>
        <v>560</v>
      </c>
      <c r="O72" s="8">
        <f t="shared" si="16"/>
        <v>330.06357816777762</v>
      </c>
      <c r="P72" s="8">
        <f t="shared" si="11"/>
        <v>603.65048340258375</v>
      </c>
      <c r="Q72" s="8">
        <f t="shared" si="12"/>
        <v>50.480288855125885</v>
      </c>
      <c r="R72" s="8">
        <f t="shared" si="14"/>
        <v>540</v>
      </c>
      <c r="S72" s="9">
        <v>2</v>
      </c>
      <c r="U72" s="8">
        <f>PI()*(E72+1.3)^2*(H72+I72+J72+0.15)*[1]条件输入!$G$2</f>
        <v>1223.7612367938962</v>
      </c>
      <c r="V72" s="8">
        <f>PI()*(E72+1.3)^2*(H72+I72+J72+0.15)*[1]条件输入!$H$2</f>
        <v>305.94030919847393</v>
      </c>
      <c r="W72" s="8">
        <f t="shared" si="15"/>
        <v>875.57077373466041</v>
      </c>
    </row>
    <row r="73" spans="1:23">
      <c r="A73" s="4">
        <v>8</v>
      </c>
      <c r="B73" s="4">
        <v>180</v>
      </c>
      <c r="C73" s="5" t="s">
        <v>24</v>
      </c>
      <c r="D73" s="1">
        <v>110000</v>
      </c>
      <c r="E73" s="6">
        <v>10.25</v>
      </c>
      <c r="F73" s="6">
        <v>3</v>
      </c>
      <c r="G73" s="6">
        <v>3</v>
      </c>
      <c r="H73" s="6">
        <v>1.1000000000000001</v>
      </c>
      <c r="I73" s="6">
        <v>1.4</v>
      </c>
      <c r="J73" s="6">
        <v>1</v>
      </c>
      <c r="K73" s="6">
        <v>1</v>
      </c>
      <c r="L73" s="6">
        <v>30</v>
      </c>
      <c r="M73" s="6">
        <v>20</v>
      </c>
      <c r="N73" s="7">
        <f t="shared" si="13"/>
        <v>600</v>
      </c>
      <c r="O73" s="8">
        <f t="shared" si="16"/>
        <v>330.06357816777762</v>
      </c>
      <c r="P73" s="8">
        <f t="shared" si="11"/>
        <v>603.65048340258375</v>
      </c>
      <c r="Q73" s="8">
        <f t="shared" si="12"/>
        <v>50.480288855125885</v>
      </c>
      <c r="R73" s="8">
        <f t="shared" si="14"/>
        <v>540</v>
      </c>
      <c r="S73" s="9">
        <v>2</v>
      </c>
      <c r="U73" s="8">
        <f>PI()*(E73+1.3)^2*(H73+I73+J73+0.15)*[1]条件输入!$G$2</f>
        <v>1223.7612367938962</v>
      </c>
      <c r="V73" s="8">
        <f>PI()*(E73+1.3)^2*(H73+I73+J73+0.15)*[1]条件输入!$H$2</f>
        <v>305.94030919847393</v>
      </c>
      <c r="W73" s="8">
        <f t="shared" si="15"/>
        <v>875.57077373466041</v>
      </c>
    </row>
    <row r="74" spans="1:23">
      <c r="A74" s="4">
        <v>8</v>
      </c>
      <c r="B74" s="4">
        <v>180</v>
      </c>
      <c r="C74" s="5" t="s">
        <v>24</v>
      </c>
      <c r="D74" s="1">
        <v>120000</v>
      </c>
      <c r="E74" s="6">
        <v>10.5</v>
      </c>
      <c r="F74" s="6">
        <v>3</v>
      </c>
      <c r="G74" s="6">
        <v>3</v>
      </c>
      <c r="H74" s="6">
        <v>1.2</v>
      </c>
      <c r="I74" s="6">
        <v>1.4</v>
      </c>
      <c r="J74" s="6">
        <v>1</v>
      </c>
      <c r="K74" s="6">
        <v>1</v>
      </c>
      <c r="L74" s="6">
        <v>32</v>
      </c>
      <c r="M74" s="6">
        <v>20</v>
      </c>
      <c r="N74" s="7">
        <f t="shared" si="13"/>
        <v>640</v>
      </c>
      <c r="O74" s="8">
        <f t="shared" si="16"/>
        <v>346.36059005827468</v>
      </c>
      <c r="P74" s="8">
        <f t="shared" si="11"/>
        <v>664.91808513227966</v>
      </c>
      <c r="Q74" s="8">
        <f t="shared" si="12"/>
        <v>52.948402583602373</v>
      </c>
      <c r="R74" s="8">
        <f t="shared" si="14"/>
        <v>552</v>
      </c>
      <c r="S74" s="9">
        <v>2</v>
      </c>
      <c r="U74" s="8">
        <f>PI()*(E74+1.3)^2*(H74+I74+J74+0.15)*[1]条件输入!$G$2</f>
        <v>1312.3060832575284</v>
      </c>
      <c r="V74" s="8">
        <f>PI()*(E74+1.3)^2*(H74+I74+J74+0.15)*[1]条件输入!$H$2</f>
        <v>328.07652081438204</v>
      </c>
      <c r="W74" s="8">
        <f t="shared" si="15"/>
        <v>922.51611635602842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17D-277C-4FE1-9B36-7AD7F1F8E3EC}">
  <dimension ref="A1:P11"/>
  <sheetViews>
    <sheetView workbookViewId="0">
      <selection activeCell="N3" sqref="N3:P3"/>
    </sheetView>
  </sheetViews>
  <sheetFormatPr defaultRowHeight="14.25"/>
  <cols>
    <col min="1" max="1" width="17.25" bestFit="1" customWidth="1"/>
    <col min="2" max="2" width="20.5" bestFit="1" customWidth="1"/>
    <col min="14" max="14" width="16.75" bestFit="1" customWidth="1"/>
    <col min="15" max="15" width="17.375" bestFit="1" customWidth="1"/>
    <col min="16" max="16" width="17.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>
        <v>13</v>
      </c>
      <c r="O1">
        <v>14</v>
      </c>
      <c r="P1">
        <v>15</v>
      </c>
    </row>
    <row r="2" spans="1:16">
      <c r="A2" s="1" t="s">
        <v>25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9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N2" s="9" t="s">
        <v>17</v>
      </c>
      <c r="O2" s="9" t="s">
        <v>18</v>
      </c>
      <c r="P2" s="9" t="s">
        <v>32</v>
      </c>
    </row>
    <row r="3" spans="1:16" ht="15">
      <c r="A3" s="1" t="s">
        <v>105</v>
      </c>
      <c r="B3" s="1" t="s">
        <v>106</v>
      </c>
      <c r="C3" s="22" t="s">
        <v>107</v>
      </c>
      <c r="D3" s="22" t="s">
        <v>108</v>
      </c>
      <c r="E3" s="22" t="s">
        <v>109</v>
      </c>
      <c r="F3" s="22" t="s">
        <v>110</v>
      </c>
      <c r="G3" s="22" t="s">
        <v>111</v>
      </c>
      <c r="H3" s="22" t="s">
        <v>112</v>
      </c>
      <c r="I3" s="22" t="s">
        <v>113</v>
      </c>
      <c r="J3" s="22" t="s">
        <v>114</v>
      </c>
      <c r="K3" s="22" t="s">
        <v>115</v>
      </c>
      <c r="L3" s="22" t="s">
        <v>116</v>
      </c>
      <c r="N3" s="22" t="s">
        <v>102</v>
      </c>
      <c r="O3" s="22" t="s">
        <v>103</v>
      </c>
      <c r="P3" s="22" t="s">
        <v>104</v>
      </c>
    </row>
    <row r="4" spans="1:16">
      <c r="A4" s="4">
        <v>2</v>
      </c>
      <c r="B4" s="6">
        <v>2200</v>
      </c>
      <c r="C4" s="6">
        <v>4.9000000000000004</v>
      </c>
      <c r="D4" s="6">
        <v>3.65</v>
      </c>
      <c r="E4" s="6">
        <v>1.8</v>
      </c>
      <c r="F4" s="6">
        <v>0.25</v>
      </c>
      <c r="G4" s="6">
        <v>0.5</v>
      </c>
      <c r="H4" s="8">
        <f t="shared" ref="H4:H11" si="0">((C4*D4)-(C4-F4*2)*(D4-F4*2))*G4</f>
        <v>2.0125000000000002</v>
      </c>
      <c r="I4" s="8">
        <f t="shared" ref="I4:I11" si="1">(C4+0.5*2)*(D4+0.5*2)*0.15</f>
        <v>4.1152500000000005</v>
      </c>
      <c r="J4" s="8">
        <f t="shared" ref="J4:J11" si="2">((C4*D4)-(C4-F4*2)*(D4-F4*2))*(E4-G4)</f>
        <v>5.2325000000000008</v>
      </c>
      <c r="K4" s="8">
        <f>H4*0.1</f>
        <v>0.20125000000000004</v>
      </c>
      <c r="L4" s="9">
        <f>C4*D4</f>
        <v>17.885000000000002</v>
      </c>
      <c r="N4" s="8">
        <v>35.116799999999998</v>
      </c>
      <c r="O4" s="8">
        <v>8.7791999999999994</v>
      </c>
      <c r="P4" s="8">
        <v>15.28</v>
      </c>
    </row>
    <row r="5" spans="1:16">
      <c r="A5" s="4">
        <v>2.2000000000000002</v>
      </c>
      <c r="B5" s="6">
        <v>2500</v>
      </c>
      <c r="C5" s="6">
        <v>5</v>
      </c>
      <c r="D5" s="6">
        <v>4</v>
      </c>
      <c r="E5" s="6">
        <v>1.8</v>
      </c>
      <c r="F5" s="6">
        <v>0.25</v>
      </c>
      <c r="G5" s="6">
        <v>0.5</v>
      </c>
      <c r="H5" s="8">
        <f t="shared" si="0"/>
        <v>2.125</v>
      </c>
      <c r="I5" s="8">
        <f t="shared" si="1"/>
        <v>4.5</v>
      </c>
      <c r="J5" s="8">
        <f t="shared" si="2"/>
        <v>5.5250000000000004</v>
      </c>
      <c r="K5" s="8">
        <f t="shared" ref="K5:K11" si="3">H5*0.1</f>
        <v>0.21250000000000002</v>
      </c>
      <c r="L5" s="9">
        <f t="shared" ref="L5:L11" si="4">C5*D5</f>
        <v>20</v>
      </c>
      <c r="N5" s="8">
        <f>(C5+0.5*2)*(D5+0.5*2)*(E5-0.2)*[1]条件输入!$G$2</f>
        <v>38.400000000000006</v>
      </c>
      <c r="O5" s="8">
        <f>(C5+0.5*2)*(D5+0.5*2)*(E5-0.2)*[1]条件输入!$H$2</f>
        <v>9.5999999999999979</v>
      </c>
      <c r="P5" s="8">
        <f t="shared" ref="P5:P11" si="5">N5+O5-C5*D5*(E5-0.2)</f>
        <v>16</v>
      </c>
    </row>
    <row r="6" spans="1:16">
      <c r="A6" s="4">
        <v>2.5</v>
      </c>
      <c r="B6" s="6">
        <v>2750</v>
      </c>
      <c r="C6" s="6">
        <v>6</v>
      </c>
      <c r="D6" s="6">
        <v>4</v>
      </c>
      <c r="E6" s="6">
        <v>1.8</v>
      </c>
      <c r="F6" s="6">
        <v>0.25</v>
      </c>
      <c r="G6" s="6">
        <v>0.5</v>
      </c>
      <c r="H6" s="8">
        <f t="shared" si="0"/>
        <v>2.375</v>
      </c>
      <c r="I6" s="8">
        <f t="shared" si="1"/>
        <v>5.25</v>
      </c>
      <c r="J6" s="8">
        <f t="shared" si="2"/>
        <v>6.1749999999999998</v>
      </c>
      <c r="K6" s="8">
        <f t="shared" si="3"/>
        <v>0.23750000000000002</v>
      </c>
      <c r="L6" s="9">
        <f t="shared" si="4"/>
        <v>24</v>
      </c>
      <c r="N6" s="8">
        <f>(C6+0.5*2)*(D6+0.5*2)*(E6-0.2)*[1]条件输入!$G$2</f>
        <v>44.800000000000004</v>
      </c>
      <c r="O6" s="8">
        <f>(C6+0.5*2)*(D6+0.5*2)*(E6-0.2)*[1]条件输入!$H$2</f>
        <v>11.199999999999998</v>
      </c>
      <c r="P6" s="8">
        <f t="shared" si="5"/>
        <v>17.599999999999994</v>
      </c>
    </row>
    <row r="7" spans="1:16">
      <c r="A7" s="10">
        <v>3</v>
      </c>
      <c r="B7" s="12">
        <v>3300</v>
      </c>
      <c r="C7" s="12">
        <v>6</v>
      </c>
      <c r="D7" s="12">
        <v>4.5</v>
      </c>
      <c r="E7" s="12">
        <v>1.8</v>
      </c>
      <c r="F7" s="12">
        <v>0.25</v>
      </c>
      <c r="G7" s="12">
        <v>0.5</v>
      </c>
      <c r="H7" s="14">
        <f t="shared" si="0"/>
        <v>2.5</v>
      </c>
      <c r="I7" s="14">
        <f t="shared" si="1"/>
        <v>5.7749999999999995</v>
      </c>
      <c r="J7" s="14">
        <f t="shared" si="2"/>
        <v>6.5</v>
      </c>
      <c r="K7" s="14">
        <f t="shared" si="3"/>
        <v>0.25</v>
      </c>
      <c r="L7" s="12">
        <f t="shared" si="4"/>
        <v>27</v>
      </c>
      <c r="N7" s="14">
        <f>(C7+0.5*2)*(D7+0.5*2)*(E7-0.2)*[1]条件输入!$G$2</f>
        <v>49.28</v>
      </c>
      <c r="O7" s="14">
        <f>(C7+0.5*2)*(D7+0.5*2)*(E7-0.2)*[1]条件输入!$H$2</f>
        <v>12.319999999999997</v>
      </c>
      <c r="P7" s="14">
        <f>N7+O7-C7*D7*(E7-0.2)</f>
        <v>18.399999999999991</v>
      </c>
    </row>
    <row r="8" spans="1:16">
      <c r="A8" s="4">
        <v>3.2</v>
      </c>
      <c r="B8" s="6">
        <v>3520</v>
      </c>
      <c r="C8" s="6">
        <v>6</v>
      </c>
      <c r="D8" s="6">
        <v>5.5</v>
      </c>
      <c r="E8" s="6">
        <v>1.8</v>
      </c>
      <c r="F8" s="6">
        <v>0.25</v>
      </c>
      <c r="G8" s="6">
        <v>0.5</v>
      </c>
      <c r="H8" s="8">
        <f t="shared" si="0"/>
        <v>2.75</v>
      </c>
      <c r="I8" s="8">
        <f t="shared" si="1"/>
        <v>6.8250000000000002</v>
      </c>
      <c r="J8" s="8">
        <f t="shared" si="2"/>
        <v>7.15</v>
      </c>
      <c r="K8" s="8">
        <f t="shared" si="3"/>
        <v>0.27500000000000002</v>
      </c>
      <c r="L8" s="9">
        <f t="shared" si="4"/>
        <v>33</v>
      </c>
      <c r="N8" s="8">
        <f>(C8+0.5*2)*(D8+0.5*2)*(E8-0.2)*[1]条件输入!$G$2</f>
        <v>58.24</v>
      </c>
      <c r="O8" s="8">
        <f>(C8+0.5*2)*(D8+0.5*2)*(E8-0.2)*[1]条件输入!$H$2</f>
        <v>14.559999999999997</v>
      </c>
      <c r="P8" s="8">
        <f t="shared" si="5"/>
        <v>19.999999999999993</v>
      </c>
    </row>
    <row r="9" spans="1:16">
      <c r="A9" s="4">
        <v>3.3</v>
      </c>
      <c r="B9" s="6">
        <v>3520</v>
      </c>
      <c r="C9" s="6">
        <v>6</v>
      </c>
      <c r="D9" s="6">
        <v>5.5</v>
      </c>
      <c r="E9" s="6">
        <v>1.8</v>
      </c>
      <c r="F9" s="6">
        <v>0.25</v>
      </c>
      <c r="G9" s="6">
        <v>0.5</v>
      </c>
      <c r="H9" s="8">
        <f t="shared" si="0"/>
        <v>2.75</v>
      </c>
      <c r="I9" s="8">
        <f t="shared" si="1"/>
        <v>6.8250000000000002</v>
      </c>
      <c r="J9" s="8">
        <f t="shared" si="2"/>
        <v>7.15</v>
      </c>
      <c r="K9" s="8">
        <f t="shared" si="3"/>
        <v>0.27500000000000002</v>
      </c>
      <c r="L9" s="9">
        <f t="shared" si="4"/>
        <v>33</v>
      </c>
      <c r="N9" s="8">
        <f>(C9+0.5*2)*(D9+0.5*2)*(E9-0.2)*[1]条件输入!$G$2</f>
        <v>58.24</v>
      </c>
      <c r="O9" s="8">
        <f>(C9+0.5*2)*(D9+0.5*2)*(E9-0.2)*[1]条件输入!$H$2</f>
        <v>14.559999999999997</v>
      </c>
      <c r="P9" s="8">
        <f t="shared" si="5"/>
        <v>19.999999999999993</v>
      </c>
    </row>
    <row r="10" spans="1:16">
      <c r="A10" s="4">
        <v>3.4</v>
      </c>
      <c r="B10" s="6">
        <v>3520</v>
      </c>
      <c r="C10" s="6">
        <v>6</v>
      </c>
      <c r="D10" s="6">
        <v>5.5</v>
      </c>
      <c r="E10" s="6">
        <v>1.8</v>
      </c>
      <c r="F10" s="6">
        <v>0.25</v>
      </c>
      <c r="G10" s="6">
        <v>0.5</v>
      </c>
      <c r="H10" s="8">
        <f t="shared" si="0"/>
        <v>2.75</v>
      </c>
      <c r="I10" s="8">
        <f t="shared" si="1"/>
        <v>6.8250000000000002</v>
      </c>
      <c r="J10" s="8">
        <f t="shared" si="2"/>
        <v>7.15</v>
      </c>
      <c r="K10" s="8">
        <f t="shared" si="3"/>
        <v>0.27500000000000002</v>
      </c>
      <c r="L10" s="9">
        <f t="shared" si="4"/>
        <v>33</v>
      </c>
      <c r="N10" s="8">
        <f>(C10+0.5*2)*(D10+0.5*2)*(E10-0.2)*[1]条件输入!$G$2</f>
        <v>58.24</v>
      </c>
      <c r="O10" s="8">
        <f>(C10+0.5*2)*(D10+0.5*2)*(E10-0.2)*[1]条件输入!$H$2</f>
        <v>14.559999999999997</v>
      </c>
      <c r="P10" s="8">
        <f t="shared" si="5"/>
        <v>19.999999999999993</v>
      </c>
    </row>
    <row r="11" spans="1:16">
      <c r="A11" s="4">
        <v>3.6</v>
      </c>
      <c r="B11" s="6">
        <v>4000</v>
      </c>
      <c r="C11" s="6">
        <v>6</v>
      </c>
      <c r="D11" s="6">
        <v>6</v>
      </c>
      <c r="E11" s="6">
        <v>1.8</v>
      </c>
      <c r="F11" s="6">
        <v>0.25</v>
      </c>
      <c r="G11" s="6">
        <v>0.5</v>
      </c>
      <c r="H11" s="8">
        <f t="shared" si="0"/>
        <v>2.875</v>
      </c>
      <c r="I11" s="8">
        <f t="shared" si="1"/>
        <v>7.35</v>
      </c>
      <c r="J11" s="8">
        <f t="shared" si="2"/>
        <v>7.4750000000000005</v>
      </c>
      <c r="K11" s="8">
        <f t="shared" si="3"/>
        <v>0.28750000000000003</v>
      </c>
      <c r="L11" s="9">
        <f t="shared" si="4"/>
        <v>36</v>
      </c>
      <c r="N11" s="8">
        <f>(C11+0.5*2)*(D11+0.5*2)*(E11-0.2)*[1]条件输入!$G$2</f>
        <v>62.720000000000006</v>
      </c>
      <c r="O11" s="8">
        <f>(C11+0.5*2)*(D11+0.5*2)*(E11-0.2)*[1]条件输入!$H$2</f>
        <v>15.679999999999998</v>
      </c>
      <c r="P11" s="8">
        <f t="shared" si="5"/>
        <v>20.800000000000004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6D52-00C5-4DB1-97AD-7F926EC519CA}">
  <dimension ref="A1:AC19"/>
  <sheetViews>
    <sheetView workbookViewId="0">
      <selection activeCell="Z4" sqref="Z4"/>
    </sheetView>
  </sheetViews>
  <sheetFormatPr defaultRowHeight="14.25"/>
  <cols>
    <col min="6" max="6" width="14.5" bestFit="1" customWidth="1"/>
    <col min="7" max="7" width="11.5" bestFit="1" customWidth="1"/>
    <col min="17" max="17" width="16.125" bestFit="1" customWidth="1"/>
    <col min="18" max="18" width="30.375" bestFit="1" customWidth="1"/>
    <col min="20" max="20" width="30.5" bestFit="1" customWidth="1"/>
  </cols>
  <sheetData>
    <row r="1" spans="1:2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Z1">
        <v>24</v>
      </c>
      <c r="AA1">
        <v>25</v>
      </c>
      <c r="AB1">
        <v>26</v>
      </c>
      <c r="AC1">
        <v>27</v>
      </c>
    </row>
    <row r="2" spans="1:29">
      <c r="A2" s="1" t="s">
        <v>38</v>
      </c>
      <c r="B2" s="1" t="s">
        <v>39</v>
      </c>
      <c r="C2" s="1" t="s">
        <v>40</v>
      </c>
      <c r="D2" s="15" t="s">
        <v>27</v>
      </c>
      <c r="E2" s="15" t="s">
        <v>28</v>
      </c>
      <c r="F2" s="16" t="s">
        <v>41</v>
      </c>
      <c r="G2" s="16" t="s">
        <v>43</v>
      </c>
      <c r="H2" s="16" t="s">
        <v>47</v>
      </c>
      <c r="I2" s="16" t="s">
        <v>48</v>
      </c>
      <c r="J2" s="16" t="s">
        <v>49</v>
      </c>
      <c r="K2" s="16" t="s">
        <v>50</v>
      </c>
      <c r="L2" s="16" t="s">
        <v>51</v>
      </c>
      <c r="M2" s="16" t="s">
        <v>52</v>
      </c>
      <c r="N2" s="16" t="s">
        <v>53</v>
      </c>
      <c r="O2" s="16" t="s">
        <v>54</v>
      </c>
      <c r="P2" s="17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Z2" s="16" t="s">
        <v>44</v>
      </c>
      <c r="AA2" s="16" t="s">
        <v>45</v>
      </c>
      <c r="AB2" s="16" t="s">
        <v>46</v>
      </c>
      <c r="AC2" s="16" t="s">
        <v>42</v>
      </c>
    </row>
    <row r="3" spans="1:29" ht="15">
      <c r="A3" s="22" t="s">
        <v>118</v>
      </c>
      <c r="B3" s="22" t="s">
        <v>119</v>
      </c>
      <c r="C3" s="22" t="s">
        <v>117</v>
      </c>
      <c r="D3" s="22" t="s">
        <v>120</v>
      </c>
      <c r="E3" s="22" t="s">
        <v>121</v>
      </c>
      <c r="F3" s="22" t="s">
        <v>122</v>
      </c>
      <c r="G3" s="22" t="s">
        <v>123</v>
      </c>
      <c r="H3" s="22" t="s">
        <v>124</v>
      </c>
      <c r="I3" s="22" t="s">
        <v>125</v>
      </c>
      <c r="J3" s="22" t="s">
        <v>126</v>
      </c>
      <c r="K3" s="22" t="s">
        <v>127</v>
      </c>
      <c r="L3" s="22" t="s">
        <v>128</v>
      </c>
      <c r="M3" s="22" t="s">
        <v>129</v>
      </c>
      <c r="N3" s="22" t="s">
        <v>130</v>
      </c>
      <c r="O3" s="22" t="s">
        <v>131</v>
      </c>
      <c r="P3" s="22" t="s">
        <v>132</v>
      </c>
      <c r="Q3" s="22" t="s">
        <v>133</v>
      </c>
      <c r="R3" s="22" t="s">
        <v>134</v>
      </c>
      <c r="S3" s="22" t="s">
        <v>135</v>
      </c>
      <c r="T3" s="22" t="s">
        <v>136</v>
      </c>
      <c r="U3" s="22" t="s">
        <v>137</v>
      </c>
      <c r="V3" s="22" t="s">
        <v>138</v>
      </c>
      <c r="W3" s="22" t="s">
        <v>139</v>
      </c>
      <c r="X3" s="22" t="s">
        <v>140</v>
      </c>
      <c r="Z3" s="22" t="s">
        <v>102</v>
      </c>
      <c r="AA3" s="22" t="s">
        <v>103</v>
      </c>
      <c r="AB3" s="22" t="s">
        <v>104</v>
      </c>
      <c r="AC3" s="22" t="s">
        <v>141</v>
      </c>
    </row>
    <row r="4" spans="1:29">
      <c r="A4" s="1" t="s">
        <v>64</v>
      </c>
      <c r="B4" s="4">
        <v>110</v>
      </c>
      <c r="C4" s="15">
        <v>50</v>
      </c>
      <c r="D4" s="18">
        <v>88.8</v>
      </c>
      <c r="E4" s="18">
        <v>86.7</v>
      </c>
      <c r="F4" s="19">
        <f>D4*E4</f>
        <v>7698.96</v>
      </c>
      <c r="G4" s="19">
        <f>2*(D4+E4)</f>
        <v>351</v>
      </c>
      <c r="H4" s="19">
        <f>G4*1</f>
        <v>351</v>
      </c>
      <c r="I4" s="19">
        <f>G4*0.5</f>
        <v>175.5</v>
      </c>
      <c r="J4" s="18">
        <v>1666.45</v>
      </c>
      <c r="K4" s="18">
        <v>840.2</v>
      </c>
      <c r="L4" s="18">
        <v>1316.8</v>
      </c>
      <c r="M4" s="18">
        <v>510</v>
      </c>
      <c r="N4" s="18">
        <v>370.44</v>
      </c>
      <c r="O4" s="18">
        <v>60</v>
      </c>
      <c r="P4" s="18">
        <v>12</v>
      </c>
      <c r="Q4" s="18">
        <v>6</v>
      </c>
      <c r="R4" s="18">
        <v>30</v>
      </c>
      <c r="S4" s="18">
        <v>5</v>
      </c>
      <c r="T4" s="18">
        <v>1</v>
      </c>
      <c r="U4" s="18">
        <v>100</v>
      </c>
      <c r="V4" s="18">
        <v>3</v>
      </c>
      <c r="W4" s="18">
        <v>80</v>
      </c>
      <c r="X4" s="18">
        <v>1</v>
      </c>
      <c r="Z4" s="19" t="e">
        <f>IF([2]条件输入!$A$5="平原",AC4*0.3*[2]条件输入!$E$5/10,AC4*3*[2]条件输入!$E$5)</f>
        <v>#REF!</v>
      </c>
      <c r="AA4" s="19" t="e">
        <f>IF([2]条件输入!$A$5="平原",AC4*0.3*[2]条件输入!$H$2/10,AC4*3*[2]条件输入!$H$2)</f>
        <v>#REF!</v>
      </c>
      <c r="AB4" s="19" t="e">
        <f>IF([2]条件输入!$A$5="平原",AC4*2,AC4*0.5)</f>
        <v>#REF!</v>
      </c>
      <c r="AC4" s="19" t="e">
        <f>IF([2]条件输入!#REF!="平原",([2]升压站基础数据!D3+5)*([2]升压站基础数据!E3+5),([2]升压站基础数据!D3+10)*([2]升压站基础数据!E3+10))</f>
        <v>#REF!</v>
      </c>
    </row>
    <row r="5" spans="1:29">
      <c r="A5" s="1" t="s">
        <v>64</v>
      </c>
      <c r="B5" s="4">
        <v>110</v>
      </c>
      <c r="C5" s="4">
        <v>100</v>
      </c>
      <c r="D5" s="6">
        <v>103.3</v>
      </c>
      <c r="E5" s="6">
        <v>98.61</v>
      </c>
      <c r="F5" s="19">
        <f>D5*E5</f>
        <v>10186.413</v>
      </c>
      <c r="G5" s="19">
        <f>2*(D5+E5)</f>
        <v>403.82</v>
      </c>
      <c r="H5" s="19">
        <f>G5*1</f>
        <v>403.82</v>
      </c>
      <c r="I5" s="19">
        <f>G5*0.5</f>
        <v>201.91</v>
      </c>
      <c r="J5" s="6">
        <v>1993.67</v>
      </c>
      <c r="K5" s="6">
        <v>1200</v>
      </c>
      <c r="L5" s="18">
        <v>1316.8</v>
      </c>
      <c r="M5" s="18">
        <v>510</v>
      </c>
      <c r="N5" s="18">
        <v>370.44</v>
      </c>
      <c r="O5" s="18">
        <v>120</v>
      </c>
      <c r="P5" s="18">
        <v>20</v>
      </c>
      <c r="Q5" s="18">
        <v>10</v>
      </c>
      <c r="R5" s="18">
        <v>60</v>
      </c>
      <c r="S5" s="18">
        <v>10</v>
      </c>
      <c r="T5" s="18">
        <v>2</v>
      </c>
      <c r="U5" s="18">
        <v>200</v>
      </c>
      <c r="V5" s="18">
        <v>5</v>
      </c>
      <c r="W5" s="18">
        <v>150</v>
      </c>
      <c r="X5" s="18">
        <v>2</v>
      </c>
      <c r="Z5" s="19" t="e">
        <f>IF([2]条件输入!$A$5="平原",AC5*0.3*[2]条件输入!$E$5/10,AC5*3*[2]条件输入!$E$5)</f>
        <v>#REF!</v>
      </c>
      <c r="AA5" s="19" t="e">
        <f>IF([2]条件输入!$A$5="平原",AC5*0.3*[2]条件输入!$H$2/10,AC5*3*[2]条件输入!$H$2)</f>
        <v>#REF!</v>
      </c>
      <c r="AB5" s="19" t="e">
        <f>IF([2]条件输入!$A$5="平原",AC5*2,AC5*0.5)</f>
        <v>#REF!</v>
      </c>
      <c r="AC5" s="19" t="e">
        <f>IF([2]条件输入!#REF!="平原",([2]升压站基础数据!D4+5)*([2]升压站基础数据!E4+5),([2]升压站基础数据!D4+10)*([2]升压站基础数据!E4+10))</f>
        <v>#REF!</v>
      </c>
    </row>
    <row r="6" spans="1:29">
      <c r="A6" s="1" t="s">
        <v>64</v>
      </c>
      <c r="B6" s="4">
        <v>110</v>
      </c>
      <c r="C6" s="4">
        <v>150</v>
      </c>
      <c r="D6" s="6"/>
      <c r="E6" s="6"/>
      <c r="F6" s="8"/>
      <c r="G6" s="8"/>
      <c r="H6" s="8"/>
      <c r="I6" s="8"/>
      <c r="J6" s="6"/>
      <c r="K6" s="6"/>
      <c r="L6" s="6"/>
      <c r="M6" s="6"/>
      <c r="N6" s="6"/>
      <c r="O6" s="6"/>
      <c r="P6" s="6"/>
      <c r="Q6" s="6"/>
      <c r="R6" s="20"/>
      <c r="S6" s="20"/>
      <c r="T6" s="20"/>
      <c r="U6" s="20"/>
      <c r="V6" s="20"/>
      <c r="W6" s="20"/>
      <c r="X6" s="20"/>
      <c r="Z6" s="8"/>
      <c r="AA6" s="8"/>
      <c r="AB6" s="8"/>
      <c r="AC6" s="8"/>
    </row>
    <row r="7" spans="1:29">
      <c r="A7" s="1" t="s">
        <v>64</v>
      </c>
      <c r="B7" s="4">
        <v>110</v>
      </c>
      <c r="C7" s="15">
        <v>200</v>
      </c>
      <c r="D7" s="18"/>
      <c r="E7" s="18"/>
      <c r="F7" s="8"/>
      <c r="G7" s="8"/>
      <c r="H7" s="8"/>
      <c r="I7" s="8"/>
      <c r="J7" s="6"/>
      <c r="K7" s="6"/>
      <c r="L7" s="6"/>
      <c r="M7" s="6"/>
      <c r="N7" s="6"/>
      <c r="O7" s="6"/>
      <c r="P7" s="6"/>
      <c r="Q7" s="6"/>
      <c r="R7" s="20"/>
      <c r="S7" s="20"/>
      <c r="T7" s="20"/>
      <c r="U7" s="20"/>
      <c r="V7" s="20"/>
      <c r="W7" s="20"/>
      <c r="X7" s="20"/>
      <c r="Z7" s="8"/>
      <c r="AA7" s="8"/>
      <c r="AB7" s="8"/>
      <c r="AC7" s="8"/>
    </row>
    <row r="8" spans="1:29">
      <c r="A8" s="1" t="s">
        <v>64</v>
      </c>
      <c r="B8" s="4">
        <v>220</v>
      </c>
      <c r="C8" s="15">
        <v>50</v>
      </c>
      <c r="D8" s="18"/>
      <c r="E8" s="1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20"/>
      <c r="S8" s="20"/>
      <c r="T8" s="20"/>
      <c r="U8" s="20"/>
      <c r="V8" s="20"/>
      <c r="W8" s="20"/>
      <c r="X8" s="20"/>
      <c r="Z8" s="8"/>
      <c r="AA8" s="8"/>
      <c r="AB8" s="8"/>
      <c r="AC8" s="8"/>
    </row>
    <row r="9" spans="1:29">
      <c r="A9" s="1" t="s">
        <v>64</v>
      </c>
      <c r="B9" s="4">
        <v>220</v>
      </c>
      <c r="C9" s="4">
        <v>100</v>
      </c>
      <c r="D9" s="6"/>
      <c r="E9" s="6"/>
      <c r="F9" s="8"/>
      <c r="G9" s="8"/>
      <c r="H9" s="8"/>
      <c r="I9" s="8"/>
      <c r="J9" s="6"/>
      <c r="K9" s="6"/>
      <c r="L9" s="6"/>
      <c r="M9" s="6"/>
      <c r="N9" s="6"/>
      <c r="O9" s="6"/>
      <c r="P9" s="6"/>
      <c r="Q9" s="6"/>
      <c r="R9" s="20"/>
      <c r="S9" s="20"/>
      <c r="T9" s="20"/>
      <c r="U9" s="20"/>
      <c r="V9" s="20"/>
      <c r="W9" s="20"/>
      <c r="X9" s="20"/>
      <c r="Z9" s="8"/>
      <c r="AA9" s="8"/>
      <c r="AB9" s="8"/>
      <c r="AC9" s="8"/>
    </row>
    <row r="10" spans="1:29">
      <c r="A10" s="1" t="s">
        <v>64</v>
      </c>
      <c r="B10" s="4">
        <v>220</v>
      </c>
      <c r="C10" s="4">
        <v>150</v>
      </c>
      <c r="D10" s="6"/>
      <c r="E10" s="6"/>
      <c r="F10" s="8"/>
      <c r="G10" s="8"/>
      <c r="H10" s="8"/>
      <c r="I10" s="8"/>
      <c r="J10" s="6"/>
      <c r="K10" s="6"/>
      <c r="L10" s="6"/>
      <c r="M10" s="6"/>
      <c r="N10" s="6"/>
      <c r="O10" s="6"/>
      <c r="P10" s="6"/>
      <c r="Q10" s="6"/>
      <c r="R10" s="20"/>
      <c r="S10" s="20"/>
      <c r="T10" s="20"/>
      <c r="U10" s="20"/>
      <c r="V10" s="20"/>
      <c r="W10" s="20"/>
      <c r="X10" s="20"/>
      <c r="Z10" s="8"/>
      <c r="AA10" s="8"/>
      <c r="AB10" s="8"/>
      <c r="AC10" s="8"/>
    </row>
    <row r="11" spans="1:29">
      <c r="A11" s="1" t="s">
        <v>64</v>
      </c>
      <c r="B11" s="4">
        <v>220</v>
      </c>
      <c r="C11" s="15">
        <v>200</v>
      </c>
      <c r="D11" s="18"/>
      <c r="E11" s="18"/>
      <c r="F11" s="8"/>
      <c r="G11" s="8"/>
      <c r="H11" s="8"/>
      <c r="I11" s="8"/>
      <c r="J11" s="6"/>
      <c r="K11" s="6"/>
      <c r="L11" s="6"/>
      <c r="M11" s="6"/>
      <c r="N11" s="6"/>
      <c r="O11" s="6"/>
      <c r="P11" s="6"/>
      <c r="Q11" s="6"/>
      <c r="R11" s="20"/>
      <c r="S11" s="20"/>
      <c r="T11" s="20"/>
      <c r="U11" s="20"/>
      <c r="V11" s="20"/>
      <c r="W11" s="20"/>
      <c r="X11" s="20"/>
      <c r="Z11" s="8"/>
      <c r="AA11" s="8"/>
      <c r="AB11" s="8"/>
      <c r="AC11" s="8"/>
    </row>
    <row r="12" spans="1:29">
      <c r="A12" s="1" t="s">
        <v>65</v>
      </c>
      <c r="B12" s="4">
        <v>110</v>
      </c>
      <c r="C12" s="15">
        <v>50</v>
      </c>
      <c r="D12" s="6"/>
      <c r="E12" s="6"/>
      <c r="F12" s="8"/>
      <c r="G12" s="8"/>
      <c r="H12" s="8"/>
      <c r="I12" s="8"/>
      <c r="J12" s="6"/>
      <c r="K12" s="6"/>
      <c r="L12" s="6"/>
      <c r="M12" s="6"/>
      <c r="N12" s="6"/>
      <c r="O12" s="18">
        <v>60</v>
      </c>
      <c r="P12" s="18">
        <v>12</v>
      </c>
      <c r="Q12" s="18">
        <v>6</v>
      </c>
      <c r="R12" s="20"/>
      <c r="S12" s="20"/>
      <c r="T12" s="20"/>
      <c r="U12" s="20"/>
      <c r="V12" s="20"/>
      <c r="W12" s="20"/>
      <c r="X12" s="20"/>
      <c r="Z12" s="8"/>
      <c r="AA12" s="8"/>
      <c r="AB12" s="8"/>
      <c r="AC12" s="8"/>
    </row>
    <row r="13" spans="1:29">
      <c r="A13" s="1" t="s">
        <v>65</v>
      </c>
      <c r="B13" s="4">
        <v>110</v>
      </c>
      <c r="C13" s="4">
        <v>100</v>
      </c>
      <c r="D13" s="6"/>
      <c r="E13" s="6"/>
      <c r="F13" s="8"/>
      <c r="G13" s="8"/>
      <c r="H13" s="8"/>
      <c r="I13" s="8"/>
      <c r="J13" s="6"/>
      <c r="K13" s="6"/>
      <c r="L13" s="6"/>
      <c r="M13" s="6"/>
      <c r="N13" s="6"/>
      <c r="O13" s="18">
        <v>60</v>
      </c>
      <c r="P13" s="18">
        <v>12</v>
      </c>
      <c r="Q13" s="18">
        <v>6</v>
      </c>
      <c r="R13" s="20"/>
      <c r="S13" s="20"/>
      <c r="T13" s="20"/>
      <c r="U13" s="20"/>
      <c r="V13" s="20"/>
      <c r="W13" s="20"/>
      <c r="X13" s="20"/>
      <c r="Z13" s="8"/>
      <c r="AA13" s="8"/>
      <c r="AB13" s="8"/>
      <c r="AC13" s="8"/>
    </row>
    <row r="14" spans="1:29">
      <c r="A14" s="1" t="s">
        <v>65</v>
      </c>
      <c r="B14" s="4">
        <v>110</v>
      </c>
      <c r="C14" s="4">
        <v>150</v>
      </c>
      <c r="D14" s="6"/>
      <c r="E14" s="6"/>
      <c r="F14" s="8"/>
      <c r="G14" s="8"/>
      <c r="H14" s="8"/>
      <c r="I14" s="8"/>
      <c r="J14" s="6"/>
      <c r="K14" s="6"/>
      <c r="L14" s="6"/>
      <c r="M14" s="6"/>
      <c r="N14" s="6"/>
      <c r="O14" s="18">
        <v>60</v>
      </c>
      <c r="P14" s="18">
        <v>12</v>
      </c>
      <c r="Q14" s="18">
        <v>6</v>
      </c>
      <c r="R14" s="20"/>
      <c r="S14" s="20"/>
      <c r="T14" s="20"/>
      <c r="U14" s="20"/>
      <c r="V14" s="20"/>
      <c r="W14" s="20"/>
      <c r="X14" s="20"/>
      <c r="Z14" s="8"/>
      <c r="AA14" s="8"/>
      <c r="AB14" s="8"/>
      <c r="AC14" s="8"/>
    </row>
    <row r="15" spans="1:29">
      <c r="A15" s="1" t="s">
        <v>65</v>
      </c>
      <c r="B15" s="4">
        <v>110</v>
      </c>
      <c r="C15" s="15">
        <v>200</v>
      </c>
      <c r="D15" s="6"/>
      <c r="E15" s="6"/>
      <c r="F15" s="8"/>
      <c r="G15" s="8"/>
      <c r="H15" s="8"/>
      <c r="I15" s="8"/>
      <c r="J15" s="6"/>
      <c r="K15" s="6"/>
      <c r="L15" s="6"/>
      <c r="M15" s="6"/>
      <c r="N15" s="6"/>
      <c r="O15" s="18">
        <v>60</v>
      </c>
      <c r="P15" s="18">
        <v>12</v>
      </c>
      <c r="Q15" s="18">
        <v>6</v>
      </c>
      <c r="R15" s="20"/>
      <c r="S15" s="20"/>
      <c r="T15" s="20"/>
      <c r="U15" s="20"/>
      <c r="V15" s="20"/>
      <c r="W15" s="20"/>
      <c r="X15" s="20"/>
      <c r="Z15" s="8"/>
      <c r="AA15" s="8"/>
      <c r="AB15" s="8"/>
      <c r="AC15" s="8"/>
    </row>
    <row r="16" spans="1:29">
      <c r="A16" s="1" t="s">
        <v>65</v>
      </c>
      <c r="B16" s="4">
        <v>220</v>
      </c>
      <c r="C16" s="15">
        <v>50</v>
      </c>
      <c r="D16" s="6"/>
      <c r="E16" s="6"/>
      <c r="F16" s="8"/>
      <c r="G16" s="8"/>
      <c r="H16" s="8"/>
      <c r="I16" s="8"/>
      <c r="J16" s="6"/>
      <c r="K16" s="6"/>
      <c r="L16" s="6"/>
      <c r="M16" s="6"/>
      <c r="N16" s="6"/>
      <c r="O16" s="18">
        <v>60</v>
      </c>
      <c r="P16" s="18">
        <v>12</v>
      </c>
      <c r="Q16" s="18">
        <v>6</v>
      </c>
      <c r="R16" s="20"/>
      <c r="S16" s="20"/>
      <c r="T16" s="20"/>
      <c r="U16" s="20"/>
      <c r="V16" s="20"/>
      <c r="W16" s="20"/>
      <c r="X16" s="20"/>
      <c r="Z16" s="8"/>
      <c r="AA16" s="8"/>
      <c r="AB16" s="8"/>
      <c r="AC16" s="8"/>
    </row>
    <row r="17" spans="1:29">
      <c r="A17" s="1" t="s">
        <v>65</v>
      </c>
      <c r="B17" s="4">
        <v>220</v>
      </c>
      <c r="C17" s="4">
        <v>100</v>
      </c>
      <c r="D17" s="6"/>
      <c r="E17" s="6"/>
      <c r="F17" s="8"/>
      <c r="G17" s="8"/>
      <c r="H17" s="8"/>
      <c r="I17" s="8"/>
      <c r="J17" s="6"/>
      <c r="K17" s="6"/>
      <c r="L17" s="6"/>
      <c r="M17" s="6"/>
      <c r="N17" s="6"/>
      <c r="O17" s="18">
        <v>60</v>
      </c>
      <c r="P17" s="18">
        <v>12</v>
      </c>
      <c r="Q17" s="18">
        <v>6</v>
      </c>
      <c r="R17" s="20"/>
      <c r="S17" s="20"/>
      <c r="T17" s="20"/>
      <c r="U17" s="20"/>
      <c r="V17" s="20"/>
      <c r="W17" s="20"/>
      <c r="X17" s="20"/>
      <c r="Z17" s="8"/>
      <c r="AA17" s="8"/>
      <c r="AB17" s="8"/>
      <c r="AC17" s="8"/>
    </row>
    <row r="18" spans="1:29">
      <c r="A18" s="1" t="s">
        <v>65</v>
      </c>
      <c r="B18" s="4">
        <v>220</v>
      </c>
      <c r="C18" s="4">
        <v>150</v>
      </c>
      <c r="D18" s="6"/>
      <c r="E18" s="6"/>
      <c r="F18" s="8"/>
      <c r="G18" s="8"/>
      <c r="H18" s="8"/>
      <c r="I18" s="8"/>
      <c r="J18" s="6"/>
      <c r="K18" s="6"/>
      <c r="L18" s="6"/>
      <c r="M18" s="6"/>
      <c r="N18" s="6"/>
      <c r="O18" s="18">
        <v>60</v>
      </c>
      <c r="P18" s="18">
        <v>12</v>
      </c>
      <c r="Q18" s="18">
        <v>6</v>
      </c>
      <c r="R18" s="20"/>
      <c r="S18" s="20"/>
      <c r="T18" s="20"/>
      <c r="U18" s="20"/>
      <c r="V18" s="20"/>
      <c r="W18" s="20"/>
      <c r="X18" s="20"/>
      <c r="Z18" s="8"/>
      <c r="AA18" s="8"/>
      <c r="AB18" s="8"/>
      <c r="AC18" s="8"/>
    </row>
    <row r="19" spans="1:29">
      <c r="A19" s="1" t="s">
        <v>65</v>
      </c>
      <c r="B19" s="4">
        <v>220</v>
      </c>
      <c r="C19" s="15">
        <v>200</v>
      </c>
      <c r="D19" s="6"/>
      <c r="E19" s="6"/>
      <c r="F19" s="8"/>
      <c r="G19" s="8"/>
      <c r="H19" s="8"/>
      <c r="I19" s="8"/>
      <c r="J19" s="6"/>
      <c r="K19" s="6"/>
      <c r="L19" s="6"/>
      <c r="M19" s="6"/>
      <c r="N19" s="6"/>
      <c r="O19" s="18">
        <v>60</v>
      </c>
      <c r="P19" s="18">
        <v>12</v>
      </c>
      <c r="Q19" s="18">
        <v>6</v>
      </c>
      <c r="R19" s="20"/>
      <c r="S19" s="20"/>
      <c r="T19" s="20"/>
      <c r="U19" s="20"/>
      <c r="V19" s="20"/>
      <c r="W19" s="20"/>
      <c r="X19" s="20"/>
      <c r="Z19" s="8"/>
      <c r="AA19" s="8"/>
      <c r="AB19" s="8"/>
      <c r="AC19" s="8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C320-17F1-40F2-8440-478BCD0895FD}">
  <dimension ref="A1:K11"/>
  <sheetViews>
    <sheetView workbookViewId="0">
      <selection activeCell="B3" sqref="B3"/>
    </sheetView>
  </sheetViews>
  <sheetFormatPr defaultRowHeight="14.25"/>
  <cols>
    <col min="1" max="1" width="13.875" bestFit="1" customWidth="1"/>
    <col min="2" max="2" width="23.125" bestFit="1" customWidth="1"/>
    <col min="3" max="3" width="17.25" bestFit="1" customWidth="1"/>
    <col min="4" max="4" width="27.75" bestFit="1" customWidth="1"/>
    <col min="5" max="5" width="25.375" bestFit="1" customWidth="1"/>
    <col min="6" max="6" width="19.375" bestFit="1" customWidth="1"/>
    <col min="10" max="10" width="17.75" bestFit="1" customWidth="1"/>
  </cols>
  <sheetData>
    <row r="1" spans="1:11">
      <c r="A1" s="21" t="s">
        <v>66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H1" s="6">
        <v>6</v>
      </c>
      <c r="I1" s="6">
        <v>7</v>
      </c>
      <c r="J1" s="6">
        <v>8</v>
      </c>
    </row>
    <row r="2" spans="1:11">
      <c r="A2" s="21" t="s">
        <v>142</v>
      </c>
      <c r="B2" s="18" t="s">
        <v>68</v>
      </c>
      <c r="C2" s="18" t="s">
        <v>69</v>
      </c>
      <c r="D2" s="18" t="s">
        <v>70</v>
      </c>
      <c r="E2" s="18" t="s">
        <v>71</v>
      </c>
      <c r="F2" s="18" t="s">
        <v>80</v>
      </c>
      <c r="H2" s="18" t="s">
        <v>44</v>
      </c>
      <c r="I2" s="18" t="s">
        <v>45</v>
      </c>
      <c r="J2" s="18" t="s">
        <v>67</v>
      </c>
    </row>
    <row r="3" spans="1:11" ht="15">
      <c r="A3" s="6" t="s">
        <v>143</v>
      </c>
      <c r="B3" s="6" t="s">
        <v>152</v>
      </c>
      <c r="C3" s="6" t="s">
        <v>153</v>
      </c>
      <c r="D3" s="6" t="s">
        <v>154</v>
      </c>
      <c r="E3" s="6" t="s">
        <v>155</v>
      </c>
      <c r="F3" s="6" t="s">
        <v>156</v>
      </c>
      <c r="G3" s="6"/>
      <c r="H3" s="6" t="s">
        <v>167</v>
      </c>
      <c r="I3" s="6" t="s">
        <v>168</v>
      </c>
      <c r="J3" s="6" t="s">
        <v>169</v>
      </c>
      <c r="K3" s="22"/>
    </row>
    <row r="4" spans="1:11">
      <c r="A4" s="6" t="s">
        <v>82</v>
      </c>
      <c r="B4" s="6">
        <f>2.5*1000</f>
        <v>2500</v>
      </c>
      <c r="C4" s="6">
        <v>0</v>
      </c>
      <c r="D4" s="6">
        <f>0.475*1000</f>
        <v>475</v>
      </c>
      <c r="E4" s="6">
        <v>0</v>
      </c>
      <c r="F4" s="6">
        <f>1*1000</f>
        <v>1000</v>
      </c>
      <c r="H4" s="6">
        <f>2.5*1000*0.4*[1]条件输入!$E$5</f>
        <v>800</v>
      </c>
      <c r="I4" s="6">
        <f>2.5*1000*0.4*[1]条件输入!$F$5</f>
        <v>199.99999999999994</v>
      </c>
      <c r="J4" s="6">
        <f>2.5*1000*0.4</f>
        <v>1000</v>
      </c>
    </row>
    <row r="5" spans="1:11">
      <c r="A5" s="6" t="s">
        <v>83</v>
      </c>
      <c r="B5" s="6">
        <f>2.5*1000</f>
        <v>2500</v>
      </c>
      <c r="C5" s="6">
        <v>0</v>
      </c>
      <c r="D5" s="6">
        <f>0.475*1000</f>
        <v>475</v>
      </c>
      <c r="E5" s="6">
        <v>0</v>
      </c>
      <c r="F5" s="6">
        <f>1*1000</f>
        <v>1000</v>
      </c>
      <c r="H5" s="6">
        <f>2.5*1000*0.4*[1]条件输入!$E$5</f>
        <v>800</v>
      </c>
      <c r="I5" s="6">
        <f>2.5*1000*0.4*[1]条件输入!$F$5</f>
        <v>199.99999999999994</v>
      </c>
      <c r="J5" s="6">
        <f>2.5*1000*0.4</f>
        <v>1000</v>
      </c>
    </row>
    <row r="6" spans="1:11">
      <c r="A6" s="6" t="s">
        <v>84</v>
      </c>
      <c r="B6" s="6">
        <f t="shared" ref="B6:B11" si="0">2.5*1000</f>
        <v>2500</v>
      </c>
      <c r="C6" s="6">
        <v>0</v>
      </c>
      <c r="D6" s="6">
        <f>0.475*1000</f>
        <v>475</v>
      </c>
      <c r="E6" s="6">
        <v>100</v>
      </c>
      <c r="F6" s="6">
        <f>1.5*1000</f>
        <v>1500</v>
      </c>
      <c r="H6" s="6">
        <f>2.5*1000*1*[1]条件输入!$E$5</f>
        <v>2000</v>
      </c>
      <c r="I6" s="6">
        <f>2.5*1000*1*[1]条件输入!$F$5</f>
        <v>499.99999999999989</v>
      </c>
      <c r="J6" s="6">
        <f>2.5*1000*0.5</f>
        <v>1250</v>
      </c>
    </row>
    <row r="7" spans="1:11">
      <c r="A7" s="6" t="s">
        <v>85</v>
      </c>
      <c r="B7" s="6">
        <f>2.5*1000</f>
        <v>2500</v>
      </c>
      <c r="C7" s="6">
        <v>0</v>
      </c>
      <c r="D7" s="6">
        <f t="shared" ref="D7:D11" si="1">0.475*1000</f>
        <v>475</v>
      </c>
      <c r="E7" s="6">
        <v>150</v>
      </c>
      <c r="F7" s="6">
        <f>2*1000</f>
        <v>2000</v>
      </c>
      <c r="H7" s="6">
        <f>2.5*1000*2*[1]条件输入!$E$5</f>
        <v>4000</v>
      </c>
      <c r="I7" s="6">
        <f>2.5*1000*2*[1]条件输入!$F$5</f>
        <v>999.99999999999977</v>
      </c>
      <c r="J7" s="6">
        <f t="shared" ref="J7:J11" si="2">2.5*1000*0.5</f>
        <v>1250</v>
      </c>
    </row>
    <row r="8" spans="1:11">
      <c r="A8" s="6" t="s">
        <v>86</v>
      </c>
      <c r="B8" s="6">
        <f t="shared" si="0"/>
        <v>2500</v>
      </c>
      <c r="C8" s="6">
        <v>0</v>
      </c>
      <c r="D8" s="6">
        <f t="shared" si="1"/>
        <v>475</v>
      </c>
      <c r="E8" s="6">
        <v>100</v>
      </c>
      <c r="F8" s="6">
        <f t="shared" ref="F8:F11" si="3">1*1000</f>
        <v>1000</v>
      </c>
      <c r="H8" s="6">
        <f>2.5*1000*1.5*[1]条件输入!$E$5</f>
        <v>3000</v>
      </c>
      <c r="I8" s="6">
        <f>2.5*1000*1.5*[1]条件输入!$F$5</f>
        <v>749.99999999999989</v>
      </c>
      <c r="J8" s="6">
        <f t="shared" si="2"/>
        <v>1250</v>
      </c>
    </row>
    <row r="9" spans="1:11">
      <c r="A9" s="6" t="s">
        <v>87</v>
      </c>
      <c r="B9" s="6">
        <f t="shared" si="0"/>
        <v>2500</v>
      </c>
      <c r="C9" s="6">
        <v>0</v>
      </c>
      <c r="D9" s="6">
        <f t="shared" si="1"/>
        <v>475</v>
      </c>
      <c r="E9" s="6">
        <v>200</v>
      </c>
      <c r="F9" s="6">
        <f t="shared" si="3"/>
        <v>1000</v>
      </c>
      <c r="H9" s="6">
        <f>2.5*1000*2.5*[1]条件输入!$E$5</f>
        <v>5000</v>
      </c>
      <c r="I9" s="6">
        <f>2.5*1000*2.5*[1]条件输入!$F$5</f>
        <v>1249.9999999999998</v>
      </c>
      <c r="J9" s="6">
        <f t="shared" si="2"/>
        <v>1250</v>
      </c>
    </row>
    <row r="10" spans="1:11">
      <c r="A10" s="6" t="s">
        <v>88</v>
      </c>
      <c r="B10" s="6">
        <f t="shared" si="0"/>
        <v>2500</v>
      </c>
      <c r="C10" s="6">
        <v>0</v>
      </c>
      <c r="D10" s="6">
        <f t="shared" si="1"/>
        <v>475</v>
      </c>
      <c r="E10" s="6">
        <v>100</v>
      </c>
      <c r="F10" s="6">
        <f t="shared" si="3"/>
        <v>1000</v>
      </c>
      <c r="H10" s="6">
        <f>2.5*1000*2*[1]条件输入!$E$5</f>
        <v>4000</v>
      </c>
      <c r="I10" s="6">
        <f>2.5*1000*2*[1]条件输入!$F$5</f>
        <v>999.99999999999977</v>
      </c>
      <c r="J10" s="6">
        <f t="shared" si="2"/>
        <v>1250</v>
      </c>
    </row>
    <row r="11" spans="1:11">
      <c r="A11" s="6" t="s">
        <v>89</v>
      </c>
      <c r="B11" s="6">
        <f t="shared" si="0"/>
        <v>2500</v>
      </c>
      <c r="C11" s="6">
        <v>0</v>
      </c>
      <c r="D11" s="6">
        <f t="shared" si="1"/>
        <v>475</v>
      </c>
      <c r="E11" s="6">
        <v>250</v>
      </c>
      <c r="F11" s="6">
        <f t="shared" si="3"/>
        <v>1000</v>
      </c>
      <c r="H11" s="6">
        <f>2.5*1000*3*[1]条件输入!$E$5</f>
        <v>6000</v>
      </c>
      <c r="I11" s="6">
        <f>2.5*1000*3*[1]条件输入!$F$5</f>
        <v>1499.9999999999998</v>
      </c>
      <c r="J11" s="6">
        <f t="shared" si="2"/>
        <v>1250</v>
      </c>
    </row>
  </sheetData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B96-49E7-4AF1-99A5-1885089E0E0E}">
  <dimension ref="A1:M11"/>
  <sheetViews>
    <sheetView workbookViewId="0">
      <selection activeCell="K3" sqref="K3:M3"/>
    </sheetView>
  </sheetViews>
  <sheetFormatPr defaultRowHeight="14.25"/>
  <cols>
    <col min="1" max="1" width="11.25" bestFit="1" customWidth="1"/>
    <col min="2" max="2" width="17.25" bestFit="1" customWidth="1"/>
    <col min="3" max="3" width="21.125" bestFit="1" customWidth="1"/>
    <col min="4" max="4" width="16.125" bestFit="1" customWidth="1"/>
    <col min="5" max="5" width="26.125" bestFit="1" customWidth="1"/>
    <col min="6" max="6" width="23.125" bestFit="1" customWidth="1"/>
    <col min="7" max="7" width="18.375" bestFit="1" customWidth="1"/>
    <col min="9" max="9" width="13.75" bestFit="1" customWidth="1"/>
  </cols>
  <sheetData>
    <row r="1" spans="1:13">
      <c r="A1" s="21" t="s">
        <v>73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K1" s="6">
        <v>9</v>
      </c>
      <c r="L1" s="6">
        <v>10</v>
      </c>
      <c r="M1" s="6">
        <v>11</v>
      </c>
    </row>
    <row r="2" spans="1:13" ht="28.5">
      <c r="A2" s="21" t="s">
        <v>142</v>
      </c>
      <c r="B2" s="18" t="s">
        <v>74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76</v>
      </c>
      <c r="I2" s="18" t="s">
        <v>77</v>
      </c>
      <c r="K2" s="18" t="s">
        <v>44</v>
      </c>
      <c r="L2" s="18" t="s">
        <v>45</v>
      </c>
      <c r="M2" s="18" t="s">
        <v>67</v>
      </c>
    </row>
    <row r="3" spans="1:13">
      <c r="A3" s="6" t="s">
        <v>143</v>
      </c>
      <c r="B3" s="6" t="s">
        <v>144</v>
      </c>
      <c r="C3" s="6" t="s">
        <v>145</v>
      </c>
      <c r="D3" s="6" t="s">
        <v>146</v>
      </c>
      <c r="E3" s="6" t="s">
        <v>147</v>
      </c>
      <c r="F3" s="6" t="s">
        <v>148</v>
      </c>
      <c r="G3" s="6" t="s">
        <v>149</v>
      </c>
      <c r="H3" s="6" t="s">
        <v>150</v>
      </c>
      <c r="I3" s="6" t="s">
        <v>151</v>
      </c>
      <c r="J3" s="6"/>
      <c r="K3" s="6" t="s">
        <v>170</v>
      </c>
      <c r="L3" s="6" t="s">
        <v>171</v>
      </c>
      <c r="M3" s="6" t="s">
        <v>172</v>
      </c>
    </row>
    <row r="4" spans="1:13">
      <c r="A4" s="6" t="s">
        <v>82</v>
      </c>
      <c r="B4" s="6">
        <f t="shared" ref="B4:B11" si="0">6.5*1000</f>
        <v>6500</v>
      </c>
      <c r="C4" s="6">
        <f t="shared" ref="C4:C11" si="1">6*1000</f>
        <v>6000</v>
      </c>
      <c r="D4" s="6">
        <v>0</v>
      </c>
      <c r="E4" s="6">
        <f t="shared" ref="E4:E11" si="2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K4" s="6">
        <f>6500*0.3*[1]条件输入!$E$5</f>
        <v>1560</v>
      </c>
      <c r="L4" s="6">
        <f>6500*0.3*[1]条件输入!$F$5</f>
        <v>389.99999999999989</v>
      </c>
      <c r="M4" s="6">
        <f>6.5*1000*0.5</f>
        <v>3250</v>
      </c>
    </row>
    <row r="5" spans="1:13">
      <c r="A5" s="6" t="s">
        <v>83</v>
      </c>
      <c r="B5" s="6">
        <f t="shared" si="0"/>
        <v>6500</v>
      </c>
      <c r="C5" s="6">
        <f t="shared" si="1"/>
        <v>6000</v>
      </c>
      <c r="D5" s="6">
        <v>0</v>
      </c>
      <c r="E5" s="6">
        <f t="shared" si="2"/>
        <v>475</v>
      </c>
      <c r="F5" s="6">
        <v>100</v>
      </c>
      <c r="G5" s="6">
        <f>2*1000</f>
        <v>2000</v>
      </c>
      <c r="H5" s="6">
        <v>2</v>
      </c>
      <c r="I5" s="6">
        <v>0</v>
      </c>
      <c r="K5" s="6">
        <f>6000*[1]条件输入!$E$5</f>
        <v>4800</v>
      </c>
      <c r="L5" s="6">
        <f>6000*[1]条件输入!$F$5</f>
        <v>1199.9999999999998</v>
      </c>
      <c r="M5" s="6">
        <f>6000*0.5</f>
        <v>3000</v>
      </c>
    </row>
    <row r="6" spans="1:13">
      <c r="A6" s="6" t="s">
        <v>84</v>
      </c>
      <c r="B6" s="6">
        <f t="shared" si="0"/>
        <v>6500</v>
      </c>
      <c r="C6" s="6">
        <f t="shared" si="1"/>
        <v>6000</v>
      </c>
      <c r="D6" s="6">
        <v>20</v>
      </c>
      <c r="E6" s="6">
        <f t="shared" si="2"/>
        <v>475</v>
      </c>
      <c r="F6" s="6">
        <v>200</v>
      </c>
      <c r="G6" s="6">
        <v>5000</v>
      </c>
      <c r="H6" s="6">
        <v>2</v>
      </c>
      <c r="I6" s="6">
        <v>160</v>
      </c>
      <c r="K6" s="6">
        <f>8000*[1]条件输入!$E$5</f>
        <v>6400</v>
      </c>
      <c r="L6" s="6">
        <f>8000*[1]条件输入!$F$5</f>
        <v>1599.9999999999995</v>
      </c>
      <c r="M6" s="6">
        <f>8000*0.5</f>
        <v>4000</v>
      </c>
    </row>
    <row r="7" spans="1:13">
      <c r="A7" s="6" t="s">
        <v>85</v>
      </c>
      <c r="B7" s="6">
        <f t="shared" si="0"/>
        <v>6500</v>
      </c>
      <c r="C7" s="6">
        <f t="shared" si="1"/>
        <v>6000</v>
      </c>
      <c r="D7" s="6">
        <v>20</v>
      </c>
      <c r="E7" s="6">
        <f t="shared" si="2"/>
        <v>475</v>
      </c>
      <c r="F7" s="6">
        <v>300</v>
      </c>
      <c r="G7" s="6">
        <v>6000</v>
      </c>
      <c r="H7" s="6">
        <v>2</v>
      </c>
      <c r="I7" s="6">
        <v>200</v>
      </c>
      <c r="K7" s="6">
        <f>15000*[1]条件输入!$E$5</f>
        <v>12000</v>
      </c>
      <c r="L7" s="6">
        <f>15000*[1]条件输入!$F$5</f>
        <v>2999.9999999999995</v>
      </c>
      <c r="M7" s="6">
        <f>15000*0.3</f>
        <v>4500</v>
      </c>
    </row>
    <row r="8" spans="1:13">
      <c r="A8" s="6" t="s">
        <v>86</v>
      </c>
      <c r="B8" s="6">
        <f t="shared" si="0"/>
        <v>6500</v>
      </c>
      <c r="C8" s="6">
        <f t="shared" si="1"/>
        <v>6000</v>
      </c>
      <c r="D8" s="6">
        <v>20</v>
      </c>
      <c r="E8" s="6">
        <f t="shared" si="2"/>
        <v>475</v>
      </c>
      <c r="F8" s="6">
        <v>250</v>
      </c>
      <c r="G8" s="6">
        <v>5000</v>
      </c>
      <c r="H8" s="6">
        <v>2</v>
      </c>
      <c r="I8" s="6">
        <v>180</v>
      </c>
      <c r="K8" s="6">
        <f>10000*[1]条件输入!$E$5</f>
        <v>8000</v>
      </c>
      <c r="L8" s="6">
        <f>10000*[1]条件输入!$F$5</f>
        <v>1999.9999999999995</v>
      </c>
      <c r="M8" s="6">
        <f>10000*0.5</f>
        <v>5000</v>
      </c>
    </row>
    <row r="9" spans="1:13">
      <c r="A9" s="6" t="s">
        <v>87</v>
      </c>
      <c r="B9" s="6">
        <f t="shared" si="0"/>
        <v>6500</v>
      </c>
      <c r="C9" s="6">
        <f t="shared" si="1"/>
        <v>6000</v>
      </c>
      <c r="D9" s="6">
        <v>20</v>
      </c>
      <c r="E9" s="6">
        <f t="shared" si="2"/>
        <v>475</v>
      </c>
      <c r="F9" s="6">
        <v>350</v>
      </c>
      <c r="G9" s="6">
        <v>7000</v>
      </c>
      <c r="H9" s="6">
        <v>2</v>
      </c>
      <c r="I9" s="6">
        <v>250</v>
      </c>
      <c r="K9" s="6">
        <f>18000*[1]条件输入!$E$5</f>
        <v>14400</v>
      </c>
      <c r="L9" s="6">
        <f>18000*[1]条件输入!$F$5</f>
        <v>3599.9999999999991</v>
      </c>
      <c r="M9" s="6">
        <f>18000*0.3</f>
        <v>5400</v>
      </c>
    </row>
    <row r="10" spans="1:13">
      <c r="A10" s="6" t="s">
        <v>88</v>
      </c>
      <c r="B10" s="6">
        <f t="shared" si="0"/>
        <v>6500</v>
      </c>
      <c r="C10" s="6">
        <f t="shared" si="1"/>
        <v>6000</v>
      </c>
      <c r="D10" s="6">
        <v>20</v>
      </c>
      <c r="E10" s="6">
        <f t="shared" si="2"/>
        <v>475</v>
      </c>
      <c r="F10" s="6">
        <v>300</v>
      </c>
      <c r="G10" s="6">
        <v>6000</v>
      </c>
      <c r="H10" s="6">
        <v>2</v>
      </c>
      <c r="I10" s="6">
        <v>200</v>
      </c>
      <c r="K10" s="6">
        <f>12000*[1]条件输入!$E$5</f>
        <v>9600</v>
      </c>
      <c r="L10" s="6">
        <f>12000*[1]条件输入!$F$5</f>
        <v>2399.9999999999995</v>
      </c>
      <c r="M10" s="6">
        <f>12000*0.5</f>
        <v>6000</v>
      </c>
    </row>
    <row r="11" spans="1:13">
      <c r="A11" s="6" t="s">
        <v>89</v>
      </c>
      <c r="B11" s="6">
        <f t="shared" si="0"/>
        <v>6500</v>
      </c>
      <c r="C11" s="6">
        <f t="shared" si="1"/>
        <v>6000</v>
      </c>
      <c r="D11" s="6">
        <v>20</v>
      </c>
      <c r="E11" s="6">
        <f t="shared" si="2"/>
        <v>475</v>
      </c>
      <c r="F11" s="6">
        <v>400</v>
      </c>
      <c r="G11" s="6">
        <v>8000</v>
      </c>
      <c r="H11" s="6">
        <v>2</v>
      </c>
      <c r="I11" s="6">
        <v>300</v>
      </c>
      <c r="K11" s="6">
        <f>20000*[1]条件输入!$E$5</f>
        <v>16000</v>
      </c>
      <c r="L11" s="6">
        <f>20000*[1]条件输入!$F$5</f>
        <v>3999.9999999999991</v>
      </c>
      <c r="M11" s="6">
        <f>20000*0.3</f>
        <v>6000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D049-4633-42E3-9CD9-63531EF6C06B}">
  <dimension ref="A1:O11"/>
  <sheetViews>
    <sheetView workbookViewId="0">
      <selection activeCell="O3" sqref="O3"/>
    </sheetView>
  </sheetViews>
  <sheetFormatPr defaultRowHeight="14.25"/>
  <cols>
    <col min="3" max="3" width="23" bestFit="1" customWidth="1"/>
    <col min="9" max="9" width="15.625" bestFit="1" customWidth="1"/>
    <col min="12" max="12" width="16.875" bestFit="1" customWidth="1"/>
    <col min="13" max="13" width="17.5" bestFit="1" customWidth="1"/>
    <col min="14" max="14" width="17.75" bestFit="1" customWidth="1"/>
  </cols>
  <sheetData>
    <row r="1" spans="1:15" ht="28.5">
      <c r="A1" s="21" t="s">
        <v>78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L1" s="6">
        <v>10</v>
      </c>
      <c r="M1" s="6">
        <v>11</v>
      </c>
      <c r="N1" s="6">
        <v>12</v>
      </c>
      <c r="O1" s="6">
        <v>13</v>
      </c>
    </row>
    <row r="2" spans="1:15" ht="42.75">
      <c r="A2" s="21" t="s">
        <v>142</v>
      </c>
      <c r="B2" s="18" t="s">
        <v>79</v>
      </c>
      <c r="C2" s="18" t="s">
        <v>75</v>
      </c>
      <c r="D2" s="18" t="s">
        <v>69</v>
      </c>
      <c r="E2" s="18" t="s">
        <v>70</v>
      </c>
      <c r="F2" s="18" t="s">
        <v>71</v>
      </c>
      <c r="G2" s="18" t="s">
        <v>80</v>
      </c>
      <c r="H2" s="18" t="s">
        <v>76</v>
      </c>
      <c r="I2" s="18" t="s">
        <v>77</v>
      </c>
      <c r="J2" s="6" t="s">
        <v>81</v>
      </c>
      <c r="L2" s="18" t="s">
        <v>44</v>
      </c>
      <c r="M2" s="18" t="s">
        <v>45</v>
      </c>
      <c r="N2" s="18" t="s">
        <v>67</v>
      </c>
      <c r="O2" s="18" t="s">
        <v>157</v>
      </c>
    </row>
    <row r="3" spans="1:15">
      <c r="A3" s="6" t="s">
        <v>143</v>
      </c>
      <c r="B3" s="6" t="s">
        <v>158</v>
      </c>
      <c r="C3" s="6" t="s">
        <v>159</v>
      </c>
      <c r="D3" s="6" t="s">
        <v>160</v>
      </c>
      <c r="E3" s="6" t="s">
        <v>161</v>
      </c>
      <c r="F3" s="6" t="s">
        <v>162</v>
      </c>
      <c r="G3" s="6" t="s">
        <v>163</v>
      </c>
      <c r="H3" s="6" t="s">
        <v>164</v>
      </c>
      <c r="I3" s="6" t="s">
        <v>165</v>
      </c>
      <c r="J3" s="6" t="s">
        <v>166</v>
      </c>
      <c r="L3" s="6" t="s">
        <v>173</v>
      </c>
      <c r="M3" s="6" t="s">
        <v>174</v>
      </c>
      <c r="N3" s="6" t="s">
        <v>175</v>
      </c>
      <c r="O3" s="6" t="s">
        <v>176</v>
      </c>
    </row>
    <row r="4" spans="1:15">
      <c r="A4" s="6" t="s">
        <v>82</v>
      </c>
      <c r="B4" s="6">
        <f>5.5*1000</f>
        <v>5500</v>
      </c>
      <c r="C4" s="6">
        <v>0</v>
      </c>
      <c r="D4" s="6">
        <f>20</f>
        <v>20</v>
      </c>
      <c r="E4" s="6">
        <f t="shared" ref="E4:E11" si="0">0.475*1000</f>
        <v>475</v>
      </c>
      <c r="F4" s="6">
        <v>0</v>
      </c>
      <c r="G4" s="6">
        <f>1*1000</f>
        <v>1000</v>
      </c>
      <c r="H4" s="6">
        <v>2</v>
      </c>
      <c r="I4" s="6">
        <v>0</v>
      </c>
      <c r="J4" s="6">
        <f>8*1000</f>
        <v>8000</v>
      </c>
      <c r="L4" s="6">
        <f>6500*0.3*[1]条件输入!$E$5</f>
        <v>1560</v>
      </c>
      <c r="M4" s="6">
        <f>6500*0.3*[1]条件输入!$F$5</f>
        <v>389.99999999999989</v>
      </c>
      <c r="N4" s="6">
        <f>6.5*1000*0.5</f>
        <v>3250</v>
      </c>
      <c r="O4" s="6" t="str">
        <f>IF([1]条件输入!$G$5="无","","自定义")</f>
        <v/>
      </c>
    </row>
    <row r="5" spans="1:15">
      <c r="A5" s="6" t="s">
        <v>83</v>
      </c>
      <c r="B5" s="6">
        <f t="shared" ref="B5:B11" si="1">6*1000</f>
        <v>6000</v>
      </c>
      <c r="C5" s="6">
        <v>0</v>
      </c>
      <c r="D5" s="6">
        <v>20</v>
      </c>
      <c r="E5" s="6">
        <f t="shared" si="0"/>
        <v>475</v>
      </c>
      <c r="F5" s="6">
        <v>100</v>
      </c>
      <c r="G5" s="6">
        <f>2*1000</f>
        <v>2000</v>
      </c>
      <c r="H5" s="6">
        <v>2</v>
      </c>
      <c r="I5" s="6">
        <v>0</v>
      </c>
      <c r="J5" s="6">
        <f>10*1000</f>
        <v>10000</v>
      </c>
      <c r="L5" s="6">
        <f>6000*[1]条件输入!$E$5</f>
        <v>4800</v>
      </c>
      <c r="M5" s="6">
        <f>6000*[1]条件输入!$F$5</f>
        <v>1199.9999999999998</v>
      </c>
      <c r="N5" s="6">
        <f>6000*0.5</f>
        <v>3000</v>
      </c>
      <c r="O5" s="6" t="str">
        <f>IF([1]条件输入!$G$5="无","","自定义")</f>
        <v/>
      </c>
    </row>
    <row r="6" spans="1:15">
      <c r="A6" s="6" t="s">
        <v>84</v>
      </c>
      <c r="B6" s="6">
        <f t="shared" si="1"/>
        <v>6000</v>
      </c>
      <c r="C6" s="6">
        <v>0</v>
      </c>
      <c r="D6" s="6">
        <v>20</v>
      </c>
      <c r="E6" s="6">
        <f t="shared" si="0"/>
        <v>475</v>
      </c>
      <c r="F6" s="6">
        <v>200</v>
      </c>
      <c r="G6" s="6">
        <v>5000</v>
      </c>
      <c r="H6" s="6">
        <v>4</v>
      </c>
      <c r="I6" s="6">
        <v>160</v>
      </c>
      <c r="J6" s="6">
        <f>10*1000</f>
        <v>10000</v>
      </c>
      <c r="L6" s="6">
        <f>8000*[1]条件输入!$E$5</f>
        <v>6400</v>
      </c>
      <c r="M6" s="6">
        <f>8000*[1]条件输入!$F$5</f>
        <v>1599.9999999999995</v>
      </c>
      <c r="N6" s="6">
        <f>8000*0.5</f>
        <v>4000</v>
      </c>
      <c r="O6" s="6" t="str">
        <f>IF([1]条件输入!$G$5="无","","自定义")</f>
        <v/>
      </c>
    </row>
    <row r="7" spans="1:15">
      <c r="A7" s="6" t="s">
        <v>85</v>
      </c>
      <c r="B7" s="6">
        <f t="shared" si="1"/>
        <v>6000</v>
      </c>
      <c r="C7" s="6">
        <v>0</v>
      </c>
      <c r="D7" s="6">
        <v>20</v>
      </c>
      <c r="E7" s="6">
        <f t="shared" si="0"/>
        <v>475</v>
      </c>
      <c r="F7" s="6">
        <v>300</v>
      </c>
      <c r="G7" s="6">
        <v>6000</v>
      </c>
      <c r="H7" s="6">
        <v>4</v>
      </c>
      <c r="I7" s="6">
        <v>200</v>
      </c>
      <c r="J7" s="6">
        <f>12*1000</f>
        <v>12000</v>
      </c>
      <c r="L7" s="6">
        <f>15000*[1]条件输入!$E$5</f>
        <v>12000</v>
      </c>
      <c r="M7" s="6">
        <f>15000*[1]条件输入!$F$5</f>
        <v>2999.9999999999995</v>
      </c>
      <c r="N7" s="6">
        <f>15000*0.3</f>
        <v>4500</v>
      </c>
      <c r="O7" s="6" t="str">
        <f>IF([1]条件输入!$G$5="无","","自定义")</f>
        <v/>
      </c>
    </row>
    <row r="8" spans="1:15">
      <c r="A8" s="6" t="s">
        <v>86</v>
      </c>
      <c r="B8" s="6">
        <f t="shared" si="1"/>
        <v>6000</v>
      </c>
      <c r="C8" s="6">
        <v>0</v>
      </c>
      <c r="D8" s="6">
        <v>20</v>
      </c>
      <c r="E8" s="6">
        <f t="shared" si="0"/>
        <v>475</v>
      </c>
      <c r="F8" s="6">
        <v>250</v>
      </c>
      <c r="G8" s="6">
        <v>5000</v>
      </c>
      <c r="H8" s="6">
        <v>4</v>
      </c>
      <c r="I8" s="6">
        <v>180</v>
      </c>
      <c r="J8" s="6">
        <f>11*1000</f>
        <v>11000</v>
      </c>
      <c r="L8" s="6">
        <f>10000*[1]条件输入!$E$5</f>
        <v>8000</v>
      </c>
      <c r="M8" s="6">
        <f>10000*[1]条件输入!$F$5</f>
        <v>1999.9999999999995</v>
      </c>
      <c r="N8" s="6">
        <f>10000*0.5</f>
        <v>5000</v>
      </c>
      <c r="O8" s="6" t="str">
        <f>IF([1]条件输入!$G$5="无","","自定义")</f>
        <v/>
      </c>
    </row>
    <row r="9" spans="1:15">
      <c r="A9" s="6" t="s">
        <v>87</v>
      </c>
      <c r="B9" s="6">
        <f t="shared" si="1"/>
        <v>6000</v>
      </c>
      <c r="C9" s="6">
        <v>0</v>
      </c>
      <c r="D9" s="6">
        <v>20</v>
      </c>
      <c r="E9" s="6">
        <f t="shared" si="0"/>
        <v>475</v>
      </c>
      <c r="F9" s="6">
        <v>350</v>
      </c>
      <c r="G9" s="6">
        <v>7000</v>
      </c>
      <c r="H9" s="6">
        <v>4</v>
      </c>
      <c r="I9" s="6">
        <v>250</v>
      </c>
      <c r="J9" s="6">
        <f>13*1000</f>
        <v>13000</v>
      </c>
      <c r="L9" s="6">
        <f>18000*[1]条件输入!$E$5</f>
        <v>14400</v>
      </c>
      <c r="M9" s="6">
        <f>18000*[1]条件输入!$F$5</f>
        <v>3599.9999999999991</v>
      </c>
      <c r="N9" s="6">
        <f>18000*0.3</f>
        <v>5400</v>
      </c>
      <c r="O9" s="6" t="str">
        <f>IF([1]条件输入!$G$5="无","","自定义")</f>
        <v/>
      </c>
    </row>
    <row r="10" spans="1:15">
      <c r="A10" s="6" t="s">
        <v>88</v>
      </c>
      <c r="B10" s="6">
        <f t="shared" si="1"/>
        <v>6000</v>
      </c>
      <c r="C10" s="6">
        <v>0</v>
      </c>
      <c r="D10" s="6">
        <v>20</v>
      </c>
      <c r="E10" s="6">
        <f t="shared" si="0"/>
        <v>475</v>
      </c>
      <c r="F10" s="6">
        <v>300</v>
      </c>
      <c r="G10" s="6">
        <v>6000</v>
      </c>
      <c r="H10" s="6">
        <v>4</v>
      </c>
      <c r="I10" s="6">
        <v>200</v>
      </c>
      <c r="J10" s="6">
        <f>12*1000</f>
        <v>12000</v>
      </c>
      <c r="L10" s="6">
        <f>12000*[1]条件输入!$E$5</f>
        <v>9600</v>
      </c>
      <c r="M10" s="6">
        <f>12000*[1]条件输入!$F$5</f>
        <v>2399.9999999999995</v>
      </c>
      <c r="N10" s="6">
        <f>12000*0.5</f>
        <v>6000</v>
      </c>
      <c r="O10" s="6" t="str">
        <f>IF([1]条件输入!$G$5="无","","自定义")</f>
        <v/>
      </c>
    </row>
    <row r="11" spans="1:15">
      <c r="A11" s="6" t="s">
        <v>89</v>
      </c>
      <c r="B11" s="6">
        <f t="shared" si="1"/>
        <v>6000</v>
      </c>
      <c r="C11" s="6">
        <v>0</v>
      </c>
      <c r="D11" s="6">
        <v>20</v>
      </c>
      <c r="E11" s="6">
        <f t="shared" si="0"/>
        <v>475</v>
      </c>
      <c r="F11" s="6">
        <v>400</v>
      </c>
      <c r="G11" s="6">
        <v>8000</v>
      </c>
      <c r="H11" s="6">
        <v>4</v>
      </c>
      <c r="I11" s="6">
        <v>300</v>
      </c>
      <c r="J11" s="6">
        <f>14*1000</f>
        <v>14000</v>
      </c>
      <c r="L11" s="6">
        <f>20000*[1]条件输入!$E$5</f>
        <v>16000</v>
      </c>
      <c r="M11" s="6">
        <f>20000*[1]条件输入!$F$5</f>
        <v>3999.9999999999991</v>
      </c>
      <c r="N11" s="6">
        <f>20000*0.3</f>
        <v>6000</v>
      </c>
      <c r="O11" s="6" t="str">
        <f>IF([1]条件输入!$G$5="无","","自定义")</f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1AE-2865-4A3D-9A4D-9928FFEFE705}">
  <dimension ref="A1:J11"/>
  <sheetViews>
    <sheetView workbookViewId="0">
      <selection activeCell="F13" sqref="F13"/>
    </sheetView>
  </sheetViews>
  <sheetFormatPr defaultRowHeight="14.25"/>
  <cols>
    <col min="2" max="2" width="18.5" bestFit="1" customWidth="1"/>
    <col min="3" max="4" width="27.75" bestFit="1" customWidth="1"/>
    <col min="5" max="5" width="20.25" bestFit="1" customWidth="1"/>
    <col min="7" max="7" width="15" bestFit="1" customWidth="1"/>
    <col min="8" max="8" width="15.5" bestFit="1" customWidth="1"/>
    <col min="9" max="9" width="15.875" bestFit="1" customWidth="1"/>
  </cols>
  <sheetData>
    <row r="1" spans="1:10">
      <c r="A1" s="6"/>
      <c r="B1" s="6"/>
      <c r="C1" s="6"/>
      <c r="D1" s="6"/>
      <c r="E1" s="6"/>
      <c r="G1" s="6"/>
      <c r="H1" s="6"/>
      <c r="I1" s="6"/>
      <c r="J1" s="6"/>
    </row>
    <row r="2" spans="1:10" ht="28.5">
      <c r="A2" s="21" t="s">
        <v>142</v>
      </c>
      <c r="B2" s="18" t="s">
        <v>91</v>
      </c>
      <c r="C2" s="18" t="s">
        <v>70</v>
      </c>
      <c r="D2" s="18" t="s">
        <v>92</v>
      </c>
      <c r="E2" s="18" t="s">
        <v>80</v>
      </c>
      <c r="G2" s="18" t="s">
        <v>44</v>
      </c>
      <c r="H2" s="18" t="s">
        <v>45</v>
      </c>
      <c r="I2" s="18" t="s">
        <v>67</v>
      </c>
      <c r="J2" s="18" t="s">
        <v>90</v>
      </c>
    </row>
    <row r="3" spans="1:10">
      <c r="A3" s="6" t="s">
        <v>143</v>
      </c>
      <c r="B3" s="6" t="s">
        <v>177</v>
      </c>
      <c r="C3" s="6" t="s">
        <v>178</v>
      </c>
      <c r="D3" s="6" t="s">
        <v>179</v>
      </c>
      <c r="E3" s="6" t="s">
        <v>180</v>
      </c>
      <c r="G3" s="6" t="s">
        <v>181</v>
      </c>
      <c r="H3" s="6" t="s">
        <v>182</v>
      </c>
      <c r="I3" s="6" t="s">
        <v>183</v>
      </c>
      <c r="J3" s="18"/>
    </row>
    <row r="4" spans="1:10">
      <c r="A4" s="6" t="s">
        <v>82</v>
      </c>
      <c r="B4" s="6">
        <v>1800</v>
      </c>
      <c r="C4" s="6">
        <v>0</v>
      </c>
      <c r="D4" s="6">
        <v>0</v>
      </c>
      <c r="E4" s="6">
        <f t="shared" ref="E4:E11" si="0">B4</f>
        <v>1800</v>
      </c>
      <c r="G4" s="6">
        <f>B4*0.2*[1]条件输入!$E$5</f>
        <v>288</v>
      </c>
      <c r="H4" s="6">
        <f>B4*0.2*[1]条件输入!$F$5</f>
        <v>71.999999999999986</v>
      </c>
      <c r="I4" s="6">
        <f>B4*0.2</f>
        <v>360</v>
      </c>
      <c r="J4" s="6"/>
    </row>
    <row r="5" spans="1:10">
      <c r="A5" s="6" t="s">
        <v>83</v>
      </c>
      <c r="B5" s="6">
        <v>1800</v>
      </c>
      <c r="C5" s="6">
        <f t="shared" ref="C5:C11" si="1">40*0.475</f>
        <v>19</v>
      </c>
      <c r="D5" s="6">
        <v>0</v>
      </c>
      <c r="E5" s="6">
        <f t="shared" si="0"/>
        <v>1800</v>
      </c>
      <c r="G5" s="6">
        <f>B5*2*[1]条件输入!$E$5</f>
        <v>2880</v>
      </c>
      <c r="H5" s="6">
        <f>B5*2*[1]条件输入!$F$5</f>
        <v>719.99999999999989</v>
      </c>
      <c r="I5" s="6">
        <f>B5*1</f>
        <v>1800</v>
      </c>
      <c r="J5" s="6"/>
    </row>
    <row r="6" spans="1:10">
      <c r="A6" s="6" t="s">
        <v>84</v>
      </c>
      <c r="B6" s="6">
        <v>1800</v>
      </c>
      <c r="C6" s="6">
        <f t="shared" si="1"/>
        <v>19</v>
      </c>
      <c r="D6" s="6">
        <v>0</v>
      </c>
      <c r="E6" s="6">
        <f t="shared" si="0"/>
        <v>1800</v>
      </c>
      <c r="G6" s="6">
        <f>B6*2*[1]条件输入!$E$5</f>
        <v>2880</v>
      </c>
      <c r="H6" s="6">
        <f>B6*2*[1]条件输入!$F$5</f>
        <v>719.99999999999989</v>
      </c>
      <c r="I6" s="6">
        <f>B6*1</f>
        <v>1800</v>
      </c>
      <c r="J6" s="6"/>
    </row>
    <row r="7" spans="1:10">
      <c r="A7" s="6" t="s">
        <v>85</v>
      </c>
      <c r="B7" s="6">
        <v>1800</v>
      </c>
      <c r="C7" s="6">
        <f t="shared" si="1"/>
        <v>19</v>
      </c>
      <c r="D7" s="6">
        <v>50</v>
      </c>
      <c r="E7" s="6">
        <f t="shared" si="0"/>
        <v>1800</v>
      </c>
      <c r="G7" s="6">
        <f>B7*3*[1]条件输入!$E$5</f>
        <v>4320</v>
      </c>
      <c r="H7" s="6">
        <f>B7*3*[1]条件输入!$F$5</f>
        <v>1079.9999999999998</v>
      </c>
      <c r="I7" s="6">
        <f>B7*0.5</f>
        <v>900</v>
      </c>
      <c r="J7" s="6"/>
    </row>
    <row r="8" spans="1:10">
      <c r="A8" s="6" t="s">
        <v>86</v>
      </c>
      <c r="B8" s="6">
        <v>1800</v>
      </c>
      <c r="C8" s="6">
        <f t="shared" si="1"/>
        <v>19</v>
      </c>
      <c r="D8" s="6">
        <v>20</v>
      </c>
      <c r="E8" s="6">
        <f t="shared" si="0"/>
        <v>1800</v>
      </c>
      <c r="G8" s="6">
        <f>B8*2.5*[1]条件输入!$E$5</f>
        <v>3600</v>
      </c>
      <c r="H8" s="6">
        <f>B8*2.5*[1]条件输入!$F$5</f>
        <v>899.99999999999977</v>
      </c>
      <c r="I8" s="6">
        <f>B8*1</f>
        <v>1800</v>
      </c>
      <c r="J8" s="6"/>
    </row>
    <row r="9" spans="1:10">
      <c r="A9" s="6" t="s">
        <v>87</v>
      </c>
      <c r="B9" s="6">
        <v>1800</v>
      </c>
      <c r="C9" s="6">
        <f t="shared" si="1"/>
        <v>19</v>
      </c>
      <c r="D9" s="6">
        <v>50</v>
      </c>
      <c r="E9" s="6">
        <f t="shared" si="0"/>
        <v>1800</v>
      </c>
      <c r="G9" s="6">
        <f>B9*3.5*[1]条件输入!$E$5</f>
        <v>5040</v>
      </c>
      <c r="H9" s="6">
        <f>B9*3.5*[1]条件输入!$F$5</f>
        <v>1259.9999999999998</v>
      </c>
      <c r="I9" s="6">
        <f>B9*0.5</f>
        <v>900</v>
      </c>
      <c r="J9" s="6"/>
    </row>
    <row r="10" spans="1:10">
      <c r="A10" s="6" t="s">
        <v>88</v>
      </c>
      <c r="B10" s="6">
        <v>1800</v>
      </c>
      <c r="C10" s="6">
        <f t="shared" si="1"/>
        <v>19</v>
      </c>
      <c r="D10" s="6">
        <v>20</v>
      </c>
      <c r="E10" s="6">
        <f t="shared" si="0"/>
        <v>1800</v>
      </c>
      <c r="G10" s="6">
        <f>B10*2.5*[1]条件输入!$E$5</f>
        <v>3600</v>
      </c>
      <c r="H10" s="6">
        <f>B10*2.5*[1]条件输入!$F$5</f>
        <v>899.99999999999977</v>
      </c>
      <c r="I10" s="6">
        <f>B10*1</f>
        <v>1800</v>
      </c>
      <c r="J10" s="6"/>
    </row>
    <row r="11" spans="1:10">
      <c r="A11" s="6" t="s">
        <v>89</v>
      </c>
      <c r="B11" s="6">
        <v>1800</v>
      </c>
      <c r="C11" s="6">
        <f t="shared" si="1"/>
        <v>19</v>
      </c>
      <c r="D11" s="6">
        <v>50</v>
      </c>
      <c r="E11" s="6">
        <f t="shared" si="0"/>
        <v>1800</v>
      </c>
      <c r="G11" s="6">
        <f>B11*4*[1]条件输入!$E$5</f>
        <v>5760</v>
      </c>
      <c r="H11" s="6">
        <f>B11*4*[1]条件输入!$F$5</f>
        <v>1439.9999999999998</v>
      </c>
      <c r="I11" s="6">
        <f>B11*0.5</f>
        <v>900</v>
      </c>
      <c r="J11" s="6"/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风机基础数据</vt:lpstr>
      <vt:lpstr>箱变基础数据</vt:lpstr>
      <vt:lpstr>升压站基础数据</vt:lpstr>
      <vt:lpstr>道路基础数据1</vt:lpstr>
      <vt:lpstr>道路基础数据2</vt:lpstr>
      <vt:lpstr>道路基础数据3</vt:lpstr>
      <vt:lpstr>道路基础数据4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2019-03-12T08:50:43Z</dcterms:modified>
</cp:coreProperties>
</file>