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6F0049DA-9FE0-4A19-A716-234FEF1A238D}" xr6:coauthVersionLast="41" xr6:coauthVersionMax="41" xr10:uidLastSave="{00000000-0000-0000-0000-000000000000}"/>
  <bookViews>
    <workbookView xWindow="7740" yWindow="6630" windowWidth="27450" windowHeight="13830" activeTab="4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1" sheetId="4" r:id="rId4"/>
    <sheet name="道路基础数据2" sheetId="5" r:id="rId5"/>
    <sheet name="道路基础数据3" sheetId="6" r:id="rId6"/>
    <sheet name="道路基础数据4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H4" i="4" l="1"/>
  <c r="D6" i="4" l="1"/>
  <c r="J4" i="4"/>
  <c r="E11" i="7"/>
  <c r="C11" i="7"/>
  <c r="I11" i="7"/>
  <c r="H11" i="7"/>
  <c r="G11" i="7"/>
  <c r="E10" i="7"/>
  <c r="C10" i="7"/>
  <c r="I10" i="7"/>
  <c r="H10" i="7"/>
  <c r="G10" i="7"/>
  <c r="E9" i="7"/>
  <c r="C9" i="7"/>
  <c r="I9" i="7"/>
  <c r="H9" i="7"/>
  <c r="G9" i="7"/>
  <c r="E8" i="7"/>
  <c r="C8" i="7"/>
  <c r="I8" i="7"/>
  <c r="H8" i="7"/>
  <c r="G8" i="7"/>
  <c r="E7" i="7"/>
  <c r="C7" i="7"/>
  <c r="I7" i="7"/>
  <c r="H7" i="7"/>
  <c r="G7" i="7"/>
  <c r="E6" i="7"/>
  <c r="C6" i="7"/>
  <c r="I6" i="7"/>
  <c r="H6" i="7"/>
  <c r="G6" i="7"/>
  <c r="E5" i="7"/>
  <c r="C5" i="7"/>
  <c r="I5" i="7"/>
  <c r="H5" i="7"/>
  <c r="G5" i="7"/>
  <c r="E4" i="7"/>
  <c r="I4" i="7"/>
  <c r="H4" i="7"/>
  <c r="G4" i="7"/>
  <c r="J11" i="6"/>
  <c r="O11" i="6"/>
  <c r="E11" i="6"/>
  <c r="B11" i="6"/>
  <c r="N11" i="6"/>
  <c r="M11" i="6"/>
  <c r="L11" i="6"/>
  <c r="J10" i="6"/>
  <c r="O10" i="6"/>
  <c r="E10" i="6"/>
  <c r="B10" i="6"/>
  <c r="N10" i="6"/>
  <c r="M10" i="6"/>
  <c r="L10" i="6"/>
  <c r="J9" i="6"/>
  <c r="O9" i="6"/>
  <c r="E9" i="6"/>
  <c r="B9" i="6"/>
  <c r="N9" i="6"/>
  <c r="M9" i="6"/>
  <c r="L9" i="6"/>
  <c r="J8" i="6"/>
  <c r="O8" i="6"/>
  <c r="E8" i="6"/>
  <c r="B8" i="6"/>
  <c r="N8" i="6"/>
  <c r="M8" i="6"/>
  <c r="L8" i="6"/>
  <c r="J7" i="6"/>
  <c r="O7" i="6"/>
  <c r="E7" i="6"/>
  <c r="B7" i="6"/>
  <c r="N7" i="6"/>
  <c r="M7" i="6"/>
  <c r="L7" i="6"/>
  <c r="J6" i="6"/>
  <c r="O6" i="6"/>
  <c r="E6" i="6"/>
  <c r="B6" i="6"/>
  <c r="N6" i="6"/>
  <c r="M6" i="6"/>
  <c r="L6" i="6"/>
  <c r="J5" i="6"/>
  <c r="O5" i="6"/>
  <c r="G5" i="6"/>
  <c r="E5" i="6"/>
  <c r="B5" i="6"/>
  <c r="N5" i="6"/>
  <c r="M5" i="6"/>
  <c r="L5" i="6"/>
  <c r="J4" i="6"/>
  <c r="O4" i="6"/>
  <c r="G4" i="6"/>
  <c r="E4" i="6"/>
  <c r="D4" i="6"/>
  <c r="B4" i="6"/>
  <c r="N4" i="6"/>
  <c r="M4" i="6"/>
  <c r="E11" i="5"/>
  <c r="C11" i="5"/>
  <c r="B11" i="5"/>
  <c r="M11" i="5"/>
  <c r="L11" i="5"/>
  <c r="K11" i="5"/>
  <c r="E10" i="5"/>
  <c r="C10" i="5"/>
  <c r="B10" i="5"/>
  <c r="M10" i="5"/>
  <c r="L10" i="5"/>
  <c r="K10" i="5"/>
  <c r="E9" i="5"/>
  <c r="C9" i="5"/>
  <c r="B9" i="5"/>
  <c r="M9" i="5"/>
  <c r="L9" i="5"/>
  <c r="K9" i="5"/>
  <c r="E8" i="5"/>
  <c r="C8" i="5"/>
  <c r="B8" i="5"/>
  <c r="M8" i="5"/>
  <c r="L8" i="5"/>
  <c r="K8" i="5"/>
  <c r="E7" i="5"/>
  <c r="C7" i="5"/>
  <c r="B7" i="5"/>
  <c r="M7" i="5"/>
  <c r="L7" i="5"/>
  <c r="K7" i="5"/>
  <c r="E6" i="5"/>
  <c r="C6" i="5"/>
  <c r="B6" i="5"/>
  <c r="M6" i="5"/>
  <c r="L6" i="5"/>
  <c r="K6" i="5"/>
  <c r="G5" i="5"/>
  <c r="E5" i="5"/>
  <c r="C5" i="5"/>
  <c r="B5" i="5"/>
  <c r="M5" i="5"/>
  <c r="L5" i="5"/>
  <c r="K5" i="5"/>
  <c r="G4" i="5"/>
  <c r="E4" i="5"/>
  <c r="C4" i="5"/>
  <c r="B4" i="5"/>
  <c r="M4" i="5"/>
  <c r="L4" i="5"/>
  <c r="K4" i="5"/>
  <c r="J6" i="4"/>
  <c r="B7" i="4"/>
  <c r="B4" i="4"/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F11" i="4"/>
  <c r="D11" i="4"/>
  <c r="B11" i="4"/>
  <c r="J11" i="4"/>
  <c r="I11" i="4"/>
  <c r="H11" i="4"/>
  <c r="F10" i="4"/>
  <c r="D10" i="4"/>
  <c r="B10" i="4"/>
  <c r="J10" i="4"/>
  <c r="I10" i="4"/>
  <c r="H10" i="4"/>
  <c r="F9" i="4"/>
  <c r="D9" i="4"/>
  <c r="B9" i="4"/>
  <c r="J9" i="4"/>
  <c r="I9" i="4"/>
  <c r="H9" i="4"/>
  <c r="F8" i="4"/>
  <c r="D8" i="4"/>
  <c r="B8" i="4"/>
  <c r="J8" i="4"/>
  <c r="I8" i="4"/>
  <c r="H8" i="4"/>
  <c r="F7" i="4"/>
  <c r="D7" i="4"/>
  <c r="J7" i="4"/>
  <c r="I7" i="4"/>
  <c r="H7" i="4"/>
  <c r="F6" i="4"/>
  <c r="B6" i="4"/>
  <c r="I6" i="4"/>
  <c r="H6" i="4"/>
  <c r="F5" i="4"/>
  <c r="D5" i="4"/>
  <c r="B5" i="4"/>
  <c r="J5" i="4"/>
  <c r="I5" i="4"/>
  <c r="H5" i="4"/>
  <c r="F4" i="4"/>
  <c r="D4" i="4"/>
  <c r="I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<sst xmlns="http://schemas.openxmlformats.org/spreadsheetml/2006/main" count="340" uniqueCount="195">
  <si>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</si>
  <si>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</si>
  <si>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</si>
  <si>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</si>
  <si>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</si>
  <si>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</si>
  <si>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</si>
  <si>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</si>
  <si>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</si>
  <si>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</si>
  <si>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</si>
  <si>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</si>
  <si>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</si>
  <si>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</si>
  <si>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</si>
  <si>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</si>
  <si>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</si>
  <si>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</si>
  <si>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</si>
  <si>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</si>
  <si>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</si>
  <si>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</si>
  <si>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</si>
  <si>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</si>
  <si>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</si>
  <si>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</si>
  <si>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</si>
  <si>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</si>
  <si>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</si>
  <si>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</si>
  <si>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</si>
  <si>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</si>
  <si>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</si>
  <si>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</si>
  <si>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</si>
  <si>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</si>
  <si>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</si>
  <si>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</si>
  <si>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</si>
  <si>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</si>
  <si>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</si>
  <si>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</si>
  <si>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</si>
  <si>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</si>
  <si>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</si>
  <si>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</si>
  <si>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</si>
  <si>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</si>
  <si>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</si>
  <si>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</si>
  <si>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</si>
  <si>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</si>
  <si>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</si>
  <si>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</si>
  <si>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</si>
  <si>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</si>
  <si>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</si>
  <si>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</si>
  <si>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</si>
  <si>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</si>
  <si>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</si>
  <si>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</si>
  <si>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</si>
  <si>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</si>
  <si>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新建</t>
    <phoneticPr fontId="6" type="noConversion"/>
  </si>
  <si>
    <t>利用原有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</si>
  <si>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</si>
  <si>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</si>
  <si>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</si>
  <si>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</si>
  <si>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</si>
  <si>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</si>
  <si>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</si>
  <si>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</si>
  <si>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</si>
  <si>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</si>
  <si>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</si>
  <si>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</si>
  <si>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</si>
  <si>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</si>
  <si>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</si>
  <si>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用地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</si>
  <si>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</si>
  <si>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</si>
  <si>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</si>
  <si>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</si>
  <si>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</si>
  <si>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</si>
  <si>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</si>
  <si>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</si>
  <si>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</si>
  <si>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</si>
  <si>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</si>
  <si>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H1</t>
    <phoneticPr fontId="5" type="noConversion"/>
  </si>
  <si>
    <t>H2</t>
    <phoneticPr fontId="5" type="noConversion"/>
  </si>
  <si>
    <t>H3</t>
    <phoneticPr fontId="5" type="noConversion"/>
  </si>
  <si>
    <t>R1</t>
    <phoneticPr fontId="5" type="noConversion"/>
  </si>
  <si>
    <t>R2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</si>
  <si>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</si>
  <si>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</si>
  <si>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</si>
  <si>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扩展基础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</si>
  <si>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</si>
  <si>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</si>
  <si>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</si>
  <si>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Reinforcement</t>
    <phoneticPr fontId="5" type="noConversion"/>
  </si>
  <si>
    <t>FoundationC25Concrete</t>
    <phoneticPr fontId="5" type="noConversion"/>
  </si>
  <si>
    <t>Slopearea</t>
    <phoneticPr fontId="5" type="noConversion"/>
  </si>
  <si>
    <t>山地类型</t>
    <phoneticPr fontId="5" type="noConversion"/>
  </si>
  <si>
    <t>Signage_2</t>
    <phoneticPr fontId="6" type="noConversion"/>
  </si>
  <si>
    <t>桥梁</t>
  </si>
  <si>
    <t>Signage_3</t>
    <phoneticPr fontId="6" type="noConversion"/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</si>
  <si>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</si>
  <si>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</si>
  <si>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</si>
  <si>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</si>
  <si>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</si>
  <si>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PileDiameter</t>
    <phoneticPr fontId="5" type="noConversion"/>
  </si>
  <si>
    <t>Number</t>
    <phoneticPr fontId="5" type="noConversion"/>
  </si>
  <si>
    <t>Length</t>
    <phoneticPr fontId="5" type="noConversion"/>
  </si>
  <si>
    <t>SinglePileLength</t>
    <phoneticPr fontId="5" type="noConversion"/>
  </si>
  <si>
    <t>M48PreStressedAnchor</t>
    <phoneticPr fontId="5" type="noConversion"/>
  </si>
  <si>
    <t>C80SecondaryGrouting</t>
    <phoneticPr fontId="5" type="noConversion"/>
  </si>
  <si>
    <t>EarthExcavation_Turbine</t>
    <phoneticPr fontId="5" type="noConversion"/>
  </si>
  <si>
    <t>StoneExcavation_Turbine</t>
    <phoneticPr fontId="5" type="noConversion"/>
  </si>
  <si>
    <t>EarthWorkBackFill_Turbine</t>
    <phoneticPr fontId="5" type="noConversion"/>
  </si>
  <si>
    <t>TurbineCapacity</t>
    <phoneticPr fontId="5" type="noConversion"/>
  </si>
  <si>
    <t>ConvertStation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</si>
  <si>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</si>
  <si>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</si>
  <si>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</si>
  <si>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</si>
  <si>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</si>
  <si>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</si>
  <si>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</si>
  <si>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</si>
  <si>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Status</t>
    <phoneticPr fontId="5" type="noConversion"/>
  </si>
  <si>
    <t>Grade</t>
    <phoneticPr fontId="5" type="noConversion"/>
  </si>
  <si>
    <t>Capacity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</si>
  <si>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</si>
  <si>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</si>
  <si>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</si>
  <si>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</si>
  <si>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</si>
  <si>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</si>
  <si>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</si>
  <si>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</si>
  <si>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</si>
  <si>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</si>
  <si>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</si>
  <si>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</si>
  <si>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</si>
  <si>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</si>
  <si>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</si>
  <si>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</si>
  <si>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</si>
  <si>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</si>
  <si>
    <t>TerrainType</t>
    <phoneticPr fontId="6" type="noConversion"/>
  </si>
  <si>
    <t>GradedGravelPavement_1</t>
    <phoneticPr fontId="6" type="noConversion"/>
  </si>
  <si>
    <t>RoundTubeCulvert_1</t>
    <phoneticPr fontId="6" type="noConversion"/>
  </si>
  <si>
    <t>StoneMasonryDrainageDitch_1</t>
    <phoneticPr fontId="6" type="noConversion"/>
  </si>
  <si>
    <t>MortarStoneRetainingWall_1</t>
    <phoneticPr fontId="6" type="noConversion"/>
  </si>
  <si>
    <t>TurfSlopeProtection_1</t>
    <phoneticPr fontId="6" type="noConversion"/>
  </si>
  <si>
    <t>EarthExcavation_RoadBase_1</t>
    <phoneticPr fontId="6" type="noConversion"/>
  </si>
  <si>
    <t>StoneExcavation_RoadBase_1</t>
    <phoneticPr fontId="6" type="noConversion"/>
  </si>
  <si>
    <t>EarthWorkBackFill_RoadBase_1</t>
    <phoneticPr fontId="6" type="noConversion"/>
  </si>
  <si>
    <t>GradedGravelBase_2</t>
    <phoneticPr fontId="6" type="noConversion"/>
  </si>
  <si>
    <t>C30ConcretePavement_2</t>
    <phoneticPr fontId="6" type="noConversion"/>
  </si>
  <si>
    <t>RoundTubeCulvert_2</t>
    <phoneticPr fontId="6" type="noConversion"/>
  </si>
  <si>
    <t>StoneMasonryDrainageDitch_2</t>
    <phoneticPr fontId="6" type="noConversion"/>
  </si>
  <si>
    <t>MortarStoneRetainingWall_2</t>
    <phoneticPr fontId="6" type="noConversion"/>
  </si>
  <si>
    <t>WaveGuardrail_2</t>
    <phoneticPr fontId="6" type="noConversion"/>
  </si>
  <si>
    <t>EarthExcavation_RoadBase_2</t>
    <phoneticPr fontId="6" type="noConversion"/>
  </si>
  <si>
    <t>StoneExcavation_RoadBase_2</t>
    <phoneticPr fontId="6" type="noConversion"/>
  </si>
  <si>
    <t>EarthWorkBackFill_RoadBase_2</t>
    <phoneticPr fontId="6" type="noConversion"/>
  </si>
  <si>
    <t>MountainPavement_3</t>
    <phoneticPr fontId="6" type="noConversion"/>
  </si>
  <si>
    <t>C30ConcretePavement_3</t>
    <phoneticPr fontId="6" type="noConversion"/>
  </si>
  <si>
    <t>RoundTubeCulvert_3</t>
    <phoneticPr fontId="6" type="noConversion"/>
  </si>
  <si>
    <t>StoneMasonryDrainageDitch_3</t>
    <phoneticPr fontId="6" type="noConversion"/>
  </si>
  <si>
    <t>MortarStoneRetainingWall_3</t>
    <phoneticPr fontId="6" type="noConversion"/>
  </si>
  <si>
    <t>TurfSlopeProtection_3</t>
    <phoneticPr fontId="6" type="noConversion"/>
  </si>
  <si>
    <t>WaveGuardrail_3</t>
    <phoneticPr fontId="6" type="noConversion"/>
  </si>
  <si>
    <t>LandUse_3</t>
    <phoneticPr fontId="6" type="noConversion"/>
  </si>
  <si>
    <t>EarthExcavation_RoadBase_3</t>
    <phoneticPr fontId="6" type="noConversion"/>
  </si>
  <si>
    <t>StoneExcavation_RoadBase_3</t>
    <phoneticPr fontId="6" type="noConversion"/>
  </si>
  <si>
    <t>EarthWorkBackFill_RoadBase_3</t>
    <phoneticPr fontId="6" type="noConversion"/>
  </si>
  <si>
    <t>Bridge_3</t>
    <phoneticPr fontId="6" type="noConversion"/>
  </si>
  <si>
    <t>GeneralSiteLeveling_4</t>
    <phoneticPr fontId="6" type="noConversion"/>
  </si>
  <si>
    <t>StoneMasonryDrainageDitch_4</t>
    <phoneticPr fontId="6" type="noConversion"/>
  </si>
  <si>
    <t>MortarStoneProtectionSlope_4</t>
    <phoneticPr fontId="6" type="noConversion"/>
  </si>
  <si>
    <t>TurfSlopeProtection_4</t>
    <phoneticPr fontId="6" type="noConversion"/>
  </si>
  <si>
    <t>EarthExcavation_RoadBase_4</t>
    <phoneticPr fontId="6" type="noConversion"/>
  </si>
  <si>
    <t>StoneExcavation_RoadBase_4</t>
    <phoneticPr fontId="6" type="noConversion"/>
  </si>
  <si>
    <t>EarthWorkBackFill_RoadBase_4</t>
    <phoneticPr fontId="6" type="noConversion"/>
  </si>
  <si>
    <t>TurfSlopeProtection_2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</si>
</sst>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丘陵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opLeftCell="E1" zoomScale="85" zoomScaleNormal="85" workbookViewId="0">
      <selection activeCell="W7" sqref="W7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27.5" bestFit="1" customWidth="1"/>
    <col min="22" max="22" width="27.875" bestFit="1" customWidth="1"/>
    <col min="23" max="23" width="29.8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s="22" customFormat="1" ht="15">
      <c r="A2" s="22" t="s">
        <v>112</v>
      </c>
      <c r="B2" s="22" t="s">
        <v>113</v>
      </c>
      <c r="C2" s="22" t="s">
        <v>114</v>
      </c>
      <c r="D2" s="22" t="s">
        <v>115</v>
      </c>
      <c r="E2" s="22" t="s">
        <v>116</v>
      </c>
      <c r="F2" s="22" t="s">
        <v>96</v>
      </c>
      <c r="G2" s="22" t="s">
        <v>97</v>
      </c>
      <c r="H2" s="22" t="s">
        <v>93</v>
      </c>
      <c r="I2" s="22" t="s">
        <v>94</v>
      </c>
      <c r="J2" s="22" t="s">
        <v>95</v>
      </c>
      <c r="K2" s="22" t="s">
        <v>117</v>
      </c>
      <c r="L2" s="22" t="s">
        <v>118</v>
      </c>
      <c r="M2" s="22" t="s">
        <v>119</v>
      </c>
      <c r="N2" s="22" t="s">
        <v>120</v>
      </c>
      <c r="O2" s="22" t="s">
        <v>98</v>
      </c>
      <c r="P2" s="22" t="s">
        <v>99</v>
      </c>
      <c r="Q2" s="22" t="s">
        <v>100</v>
      </c>
      <c r="R2" s="22" t="s">
        <v>121</v>
      </c>
      <c r="S2" s="22" t="s">
        <v>122</v>
      </c>
      <c r="U2" s="22" t="s">
        <v>123</v>
      </c>
      <c r="V2" s="22" t="s">
        <v>124</v>
      </c>
      <c r="W2" s="22" t="s">
        <v>125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101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workbookViewId="0">
      <selection activeCell="B13" sqref="B1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s="22" customFormat="1" ht="15">
      <c r="A3" s="22" t="s">
        <v>126</v>
      </c>
      <c r="B3" s="22" t="s">
        <v>127</v>
      </c>
      <c r="C3" s="22" t="s">
        <v>128</v>
      </c>
      <c r="D3" s="22" t="s">
        <v>129</v>
      </c>
      <c r="E3" s="22" t="s">
        <v>130</v>
      </c>
      <c r="F3" s="22" t="s">
        <v>131</v>
      </c>
      <c r="G3" s="22" t="s">
        <v>132</v>
      </c>
      <c r="H3" s="22" t="s">
        <v>133</v>
      </c>
      <c r="I3" s="22" t="s">
        <v>134</v>
      </c>
      <c r="J3" s="22" t="s">
        <v>135</v>
      </c>
      <c r="K3" s="22" t="s">
        <v>105</v>
      </c>
      <c r="L3" s="22" t="s">
        <v>98</v>
      </c>
      <c r="N3" s="22" t="s">
        <v>102</v>
      </c>
      <c r="O3" s="22" t="s">
        <v>103</v>
      </c>
      <c r="P3" s="22" t="s">
        <v>104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topLeftCell="G1" workbookViewId="0">
      <selection activeCell="I14" sqref="I14"/>
    </sheetView>
  </sheetViews>
  <sheetFormatPr defaultRowHeight="14.25"/>
  <cols>
    <col min="1" max="1" width="9.5" bestFit="1" customWidth="1"/>
    <col min="2" max="2" width="7.25" bestFit="1" customWidth="1"/>
    <col min="3" max="3" width="9.5" bestFit="1" customWidth="1"/>
    <col min="4" max="4" width="6.5" bestFit="1" customWidth="1"/>
    <col min="5" max="5" width="6.75" bestFit="1" customWidth="1"/>
    <col min="6" max="6" width="14.25" bestFit="1" customWidth="1"/>
    <col min="7" max="7" width="11.5" bestFit="1" customWidth="1"/>
    <col min="8" max="8" width="19.125" bestFit="1" customWidth="1"/>
    <col min="9" max="9" width="28.625" bestFit="1" customWidth="1"/>
    <col min="10" max="10" width="10.75" bestFit="1" customWidth="1"/>
    <col min="11" max="11" width="11.5" bestFit="1" customWidth="1"/>
    <col min="12" max="12" width="23.875" bestFit="1" customWidth="1"/>
    <col min="13" max="13" width="19" bestFit="1" customWidth="1"/>
    <col min="14" max="14" width="17" bestFit="1" customWidth="1"/>
    <col min="15" max="15" width="17.375" bestFit="1" customWidth="1"/>
    <col min="16" max="16" width="21.75" bestFit="1" customWidth="1"/>
    <col min="17" max="17" width="28" bestFit="1" customWidth="1"/>
    <col min="18" max="18" width="29.375" bestFit="1" customWidth="1"/>
    <col min="19" max="19" width="28.375" bestFit="1" customWidth="1"/>
    <col min="20" max="20" width="30.375" bestFit="1" customWidth="1"/>
    <col min="21" max="21" width="24.625" bestFit="1" customWidth="1"/>
    <col min="22" max="22" width="17.125" bestFit="1" customWidth="1"/>
    <col min="23" max="23" width="21.625" bestFit="1" customWidth="1"/>
    <col min="24" max="24" width="13.625" bestFit="1" customWidth="1"/>
    <col min="26" max="26" width="16.25" bestFit="1" customWidth="1"/>
    <col min="27" max="27" width="16.75" bestFit="1" customWidth="1"/>
    <col min="28" max="28" width="17.125" bestFit="1" customWidth="1"/>
    <col min="29" max="29" width="10.87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2" t="s">
        <v>136</v>
      </c>
      <c r="B3" s="22" t="s">
        <v>137</v>
      </c>
      <c r="C3" s="22" t="s">
        <v>138</v>
      </c>
      <c r="D3" s="22" t="s">
        <v>128</v>
      </c>
      <c r="E3" s="22" t="s">
        <v>129</v>
      </c>
      <c r="F3" s="22" t="s">
        <v>139</v>
      </c>
      <c r="G3" s="22" t="s">
        <v>140</v>
      </c>
      <c r="H3" s="22" t="s">
        <v>141</v>
      </c>
      <c r="I3" s="22" t="s">
        <v>142</v>
      </c>
      <c r="J3" s="22" t="s">
        <v>143</v>
      </c>
      <c r="K3" s="22" t="s">
        <v>144</v>
      </c>
      <c r="L3" s="22" t="s">
        <v>145</v>
      </c>
      <c r="M3" s="22" t="s">
        <v>146</v>
      </c>
      <c r="N3" s="22" t="s">
        <v>147</v>
      </c>
      <c r="O3" s="22" t="s">
        <v>148</v>
      </c>
      <c r="P3" s="22" t="s">
        <v>149</v>
      </c>
      <c r="Q3" s="22" t="s">
        <v>150</v>
      </c>
      <c r="R3" s="22" t="s">
        <v>151</v>
      </c>
      <c r="S3" s="22" t="s">
        <v>152</v>
      </c>
      <c r="T3" s="22" t="s">
        <v>153</v>
      </c>
      <c r="U3" s="22" t="s">
        <v>106</v>
      </c>
      <c r="V3" s="22" t="s">
        <v>154</v>
      </c>
      <c r="W3" s="22" t="s">
        <v>155</v>
      </c>
      <c r="X3" s="22" t="s">
        <v>156</v>
      </c>
      <c r="Z3" s="22" t="s">
        <v>102</v>
      </c>
      <c r="AA3" s="22" t="s">
        <v>103</v>
      </c>
      <c r="AB3" s="22" t="s">
        <v>104</v>
      </c>
      <c r="AC3" s="22" t="s">
        <v>107</v>
      </c>
    </row>
    <row r="4" spans="1:29">
      <c r="A4" s="1" t="s">
        <v>64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64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64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64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64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64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64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64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65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65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65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65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65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65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65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65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K11"/>
  <sheetViews>
    <sheetView workbookViewId="0">
      <selection activeCell="C14" sqref="C14"/>
    </sheetView>
  </sheetViews>
  <sheetFormatPr defaultRowHeight="14.25"/>
  <cols>
    <col min="1" max="1" width="15.125" bestFit="1" customWidth="1"/>
    <col min="2" max="2" width="24" bestFit="1" customWidth="1"/>
    <col min="3" max="3" width="19.25" bestFit="1" customWidth="1"/>
    <col min="4" max="4" width="28.25" bestFit="1" customWidth="1"/>
    <col min="5" max="5" width="26.375" bestFit="1" customWidth="1"/>
    <col min="6" max="6" width="20.375" bestFit="1" customWidth="1"/>
    <col min="8" max="8" width="26.75" bestFit="1" customWidth="1"/>
    <col min="9" max="9" width="27.375" bestFit="1" customWidth="1"/>
    <col min="10" max="10" width="28.25" bestFit="1" customWidth="1"/>
  </cols>
  <sheetData>
    <row r="1" spans="1:11">
      <c r="A1" s="21" t="s">
        <v>66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H1" s="6">
        <v>6</v>
      </c>
      <c r="I1" s="6">
        <v>7</v>
      </c>
      <c r="J1" s="6">
        <v>8</v>
      </c>
    </row>
    <row r="2" spans="1:11">
      <c r="A2" s="21" t="s">
        <v>108</v>
      </c>
      <c r="B2" s="18" t="s">
        <v>68</v>
      </c>
      <c r="C2" s="18" t="s">
        <v>69</v>
      </c>
      <c r="D2" s="18" t="s">
        <v>70</v>
      </c>
      <c r="E2" s="18" t="s">
        <v>71</v>
      </c>
      <c r="F2" s="18" t="s">
        <v>80</v>
      </c>
      <c r="H2" s="18" t="s">
        <v>44</v>
      </c>
      <c r="I2" s="18" t="s">
        <v>45</v>
      </c>
      <c r="J2" s="18" t="s">
        <v>67</v>
      </c>
    </row>
    <row r="3" spans="1:11" ht="15">
      <c r="A3" s="6" t="s">
        <v>157</v>
      </c>
      <c r="B3" s="6" t="s">
        <v>158</v>
      </c>
      <c r="C3" s="6" t="s">
        <v>159</v>
      </c>
      <c r="D3" s="6" t="s">
        <v>160</v>
      </c>
      <c r="E3" s="6" t="s">
        <v>161</v>
      </c>
      <c r="F3" s="6" t="s">
        <v>162</v>
      </c>
      <c r="G3" s="6"/>
      <c r="H3" s="6" t="s">
        <v>163</v>
      </c>
      <c r="I3" s="6" t="s">
        <v>164</v>
      </c>
      <c r="J3" s="6" t="s">
        <v>165</v>
      </c>
      <c r="K3" s="22"/>
    </row>
    <row r="4" spans="1:11">
      <c r="A4" s="6" t="s">
        <v>82</v>
      </c>
      <c r="B4" s="6">
        <f>2.5*1000</f>
        <v>2500</v>
      </c>
      <c r="C4" s="6">
        <v>0</v>
      </c>
      <c r="D4" s="6">
        <f>0.475*1000</f>
        <v>475</v>
      </c>
      <c r="E4" s="6">
        <v>0</v>
      </c>
      <c r="F4" s="6">
        <f>1*1000</f>
        <v>1000</v>
      </c>
      <c r="H4" s="6">
        <f>2.5*1000*0.4*[1]条件输入!$E$5</f>
        <v>800</v>
      </c>
      <c r="I4" s="6">
        <f>2.5*1000*0.4*[1]条件输入!$F$5</f>
        <v>199.99999999999994</v>
      </c>
      <c r="J4" s="6">
        <f>2.5*1000*0.4</f>
        <v>1000</v>
      </c>
    </row>
    <row r="5" spans="1:11">
      <c r="A5" s="6" t="s">
        <v>83</v>
      </c>
      <c r="B5" s="6">
        <f>2.5*1000</f>
        <v>2500</v>
      </c>
      <c r="C5" s="6">
        <v>0</v>
      </c>
      <c r="D5" s="6">
        <f>0.475*1000</f>
        <v>475</v>
      </c>
      <c r="E5" s="6">
        <v>0</v>
      </c>
      <c r="F5" s="6">
        <f>1*1000</f>
        <v>1000</v>
      </c>
      <c r="H5" s="6">
        <f>2.5*1000*0.4*[1]条件输入!$E$5</f>
        <v>800</v>
      </c>
      <c r="I5" s="6">
        <f>2.5*1000*0.4*[1]条件输入!$F$5</f>
        <v>199.99999999999994</v>
      </c>
      <c r="J5" s="6">
        <f>2.5*1000*0.4</f>
        <v>1000</v>
      </c>
    </row>
    <row r="6" spans="1:11">
      <c r="A6" s="6" t="s">
        <v>84</v>
      </c>
      <c r="B6" s="6">
        <f t="shared" ref="B6:B11" si="0">2.5*1000</f>
        <v>2500</v>
      </c>
      <c r="C6" s="6">
        <v>0</v>
      </c>
      <c r="D6" s="6">
        <f>0.475*1000</f>
        <v>475</v>
      </c>
      <c r="E6" s="6">
        <v>100</v>
      </c>
      <c r="F6" s="6">
        <f>1.5*1000</f>
        <v>1500</v>
      </c>
      <c r="H6" s="6">
        <f>2.5*1000*1*[1]条件输入!$E$5</f>
        <v>2000</v>
      </c>
      <c r="I6" s="6">
        <f>2.5*1000*1*[1]条件输入!$F$5</f>
        <v>499.99999999999989</v>
      </c>
      <c r="J6" s="6">
        <f>2.5*1000*0.5</f>
        <v>1250</v>
      </c>
    </row>
    <row r="7" spans="1:11">
      <c r="A7" s="6" t="s">
        <v>85</v>
      </c>
      <c r="B7" s="6">
        <f>2.5*1000</f>
        <v>2500</v>
      </c>
      <c r="C7" s="6">
        <v>0</v>
      </c>
      <c r="D7" s="6">
        <f t="shared" ref="D7:D11" si="1">0.475*1000</f>
        <v>475</v>
      </c>
      <c r="E7" s="6">
        <v>150</v>
      </c>
      <c r="F7" s="6">
        <f>2*1000</f>
        <v>2000</v>
      </c>
      <c r="H7" s="6">
        <f>2.5*1000*2*[1]条件输入!$E$5</f>
        <v>4000</v>
      </c>
      <c r="I7" s="6">
        <f>2.5*1000*2*[1]条件输入!$F$5</f>
        <v>999.99999999999977</v>
      </c>
      <c r="J7" s="6">
        <f t="shared" ref="J7:J11" si="2">2.5*1000*0.5</f>
        <v>1250</v>
      </c>
    </row>
    <row r="8" spans="1:11">
      <c r="A8" s="6" t="s">
        <v>86</v>
      </c>
      <c r="B8" s="6">
        <f t="shared" si="0"/>
        <v>2500</v>
      </c>
      <c r="C8" s="6">
        <v>0</v>
      </c>
      <c r="D8" s="6">
        <f t="shared" si="1"/>
        <v>475</v>
      </c>
      <c r="E8" s="6">
        <v>100</v>
      </c>
      <c r="F8" s="6">
        <f t="shared" ref="F8:F11" si="3">1*1000</f>
        <v>1000</v>
      </c>
      <c r="H8" s="6">
        <f>2.5*1000*1.5*[1]条件输入!$E$5</f>
        <v>3000</v>
      </c>
      <c r="I8" s="6">
        <f>2.5*1000*1.5*[1]条件输入!$F$5</f>
        <v>749.99999999999989</v>
      </c>
      <c r="J8" s="6">
        <f t="shared" si="2"/>
        <v>1250</v>
      </c>
    </row>
    <row r="9" spans="1:11">
      <c r="A9" s="6" t="s">
        <v>87</v>
      </c>
      <c r="B9" s="6">
        <f t="shared" si="0"/>
        <v>2500</v>
      </c>
      <c r="C9" s="6">
        <v>0</v>
      </c>
      <c r="D9" s="6">
        <f t="shared" si="1"/>
        <v>475</v>
      </c>
      <c r="E9" s="6">
        <v>200</v>
      </c>
      <c r="F9" s="6">
        <f t="shared" si="3"/>
        <v>1000</v>
      </c>
      <c r="H9" s="6">
        <f>2.5*1000*2.5*[1]条件输入!$E$5</f>
        <v>5000</v>
      </c>
      <c r="I9" s="6">
        <f>2.5*1000*2.5*[1]条件输入!$F$5</f>
        <v>1249.9999999999998</v>
      </c>
      <c r="J9" s="6">
        <f t="shared" si="2"/>
        <v>1250</v>
      </c>
    </row>
    <row r="10" spans="1:11">
      <c r="A10" s="6" t="s">
        <v>88</v>
      </c>
      <c r="B10" s="6">
        <f t="shared" si="0"/>
        <v>2500</v>
      </c>
      <c r="C10" s="6">
        <v>0</v>
      </c>
      <c r="D10" s="6">
        <f t="shared" si="1"/>
        <v>475</v>
      </c>
      <c r="E10" s="6">
        <v>100</v>
      </c>
      <c r="F10" s="6">
        <f t="shared" si="3"/>
        <v>1000</v>
      </c>
      <c r="H10" s="6">
        <f>2.5*1000*2*[1]条件输入!$E$5</f>
        <v>4000</v>
      </c>
      <c r="I10" s="6">
        <f>2.5*1000*2*[1]条件输入!$F$5</f>
        <v>999.99999999999977</v>
      </c>
      <c r="J10" s="6">
        <f t="shared" si="2"/>
        <v>1250</v>
      </c>
    </row>
    <row r="11" spans="1:11">
      <c r="A11" s="6" t="s">
        <v>89</v>
      </c>
      <c r="B11" s="6">
        <f t="shared" si="0"/>
        <v>2500</v>
      </c>
      <c r="C11" s="6">
        <v>0</v>
      </c>
      <c r="D11" s="6">
        <f t="shared" si="1"/>
        <v>475</v>
      </c>
      <c r="E11" s="6">
        <v>250</v>
      </c>
      <c r="F11" s="6">
        <f t="shared" si="3"/>
        <v>1000</v>
      </c>
      <c r="H11" s="6">
        <f>2.5*1000*3*[1]条件输入!$E$5</f>
        <v>6000</v>
      </c>
      <c r="I11" s="6">
        <f>2.5*1000*3*[1]条件输入!$F$5</f>
        <v>1499.9999999999998</v>
      </c>
      <c r="J11" s="6">
        <f t="shared" si="2"/>
        <v>1250</v>
      </c>
    </row>
  </sheetData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B96-49E7-4AF1-99A5-1885089E0E0E}">
  <dimension ref="A1:M11"/>
  <sheetViews>
    <sheetView tabSelected="1" topLeftCell="E1" workbookViewId="0">
      <selection activeCell="G3" sqref="G3"/>
    </sheetView>
  </sheetViews>
  <sheetFormatPr defaultRowHeight="14.25"/>
  <cols>
    <col min="1" max="1" width="11.25" bestFit="1" customWidth="1"/>
    <col min="2" max="2" width="19.125" bestFit="1" customWidth="1"/>
    <col min="3" max="3" width="23.125" bestFit="1" customWidth="1"/>
    <col min="4" max="4" width="19.25" bestFit="1" customWidth="1"/>
    <col min="5" max="5" width="28.25" bestFit="1" customWidth="1"/>
    <col min="6" max="6" width="26.375" bestFit="1" customWidth="1"/>
    <col min="7" max="7" width="20.25" bestFit="1" customWidth="1"/>
    <col min="8" max="8" width="9.875" bestFit="1" customWidth="1"/>
    <col min="9" max="9" width="15.875" bestFit="1" customWidth="1"/>
    <col min="11" max="11" width="26.75" bestFit="1" customWidth="1"/>
    <col min="12" max="12" width="27.375" bestFit="1" customWidth="1"/>
    <col min="13" max="13" width="28.25" bestFit="1" customWidth="1"/>
  </cols>
  <sheetData>
    <row r="1" spans="1:13">
      <c r="A1" s="21" t="s">
        <v>73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K1" s="6">
        <v>9</v>
      </c>
      <c r="L1" s="6">
        <v>10</v>
      </c>
      <c r="M1" s="6">
        <v>11</v>
      </c>
    </row>
    <row r="2" spans="1:13" ht="28.5">
      <c r="A2" s="21" t="s">
        <v>108</v>
      </c>
      <c r="B2" s="18" t="s">
        <v>74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76</v>
      </c>
      <c r="I2" s="18" t="s">
        <v>77</v>
      </c>
      <c r="K2" s="18" t="s">
        <v>44</v>
      </c>
      <c r="L2" s="18" t="s">
        <v>45</v>
      </c>
      <c r="M2" s="18" t="s">
        <v>67</v>
      </c>
    </row>
    <row r="3" spans="1:13">
      <c r="A3" s="6" t="s">
        <v>157</v>
      </c>
      <c r="B3" s="6" t="s">
        <v>166</v>
      </c>
      <c r="C3" s="6" t="s">
        <v>167</v>
      </c>
      <c r="D3" s="6" t="s">
        <v>168</v>
      </c>
      <c r="E3" s="6" t="s">
        <v>169</v>
      </c>
      <c r="F3" s="6" t="s">
        <v>170</v>
      </c>
      <c r="G3" s="6" t="s">
        <v>194</v>
      </c>
      <c r="H3" s="6" t="s">
        <v>109</v>
      </c>
      <c r="I3" s="6" t="s">
        <v>171</v>
      </c>
      <c r="J3" s="6"/>
      <c r="K3" s="6" t="s">
        <v>172</v>
      </c>
      <c r="L3" s="6" t="s">
        <v>173</v>
      </c>
      <c r="M3" s="6" t="s">
        <v>174</v>
      </c>
    </row>
    <row r="4" spans="1:13">
      <c r="A4" s="6" t="s">
        <v>82</v>
      </c>
      <c r="B4" s="6">
        <f t="shared" ref="B4:B11" si="0">6.5*1000</f>
        <v>6500</v>
      </c>
      <c r="C4" s="6">
        <f t="shared" ref="C4:C11" si="1">6*1000</f>
        <v>6000</v>
      </c>
      <c r="D4" s="6">
        <v>0</v>
      </c>
      <c r="E4" s="6">
        <f t="shared" ref="E4:E11" si="2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K4" s="6">
        <f>6500*0.3*[1]条件输入!$E$5</f>
        <v>1560</v>
      </c>
      <c r="L4" s="6">
        <f>6500*0.3*[1]条件输入!$F$5</f>
        <v>389.99999999999989</v>
      </c>
      <c r="M4" s="6">
        <f>6.5*1000*0.5</f>
        <v>3250</v>
      </c>
    </row>
    <row r="5" spans="1:13">
      <c r="A5" s="6" t="s">
        <v>83</v>
      </c>
      <c r="B5" s="6">
        <f t="shared" si="0"/>
        <v>6500</v>
      </c>
      <c r="C5" s="6">
        <f t="shared" si="1"/>
        <v>6000</v>
      </c>
      <c r="D5" s="6">
        <v>0</v>
      </c>
      <c r="E5" s="6">
        <f t="shared" si="2"/>
        <v>475</v>
      </c>
      <c r="F5" s="6">
        <v>100</v>
      </c>
      <c r="G5" s="6">
        <f>2*1000</f>
        <v>2000</v>
      </c>
      <c r="H5" s="6">
        <v>2</v>
      </c>
      <c r="I5" s="6">
        <v>0</v>
      </c>
      <c r="K5" s="6">
        <f>6000*[1]条件输入!$E$5</f>
        <v>4800</v>
      </c>
      <c r="L5" s="6">
        <f>6000*[1]条件输入!$F$5</f>
        <v>1199.9999999999998</v>
      </c>
      <c r="M5" s="6">
        <f>6000*0.5</f>
        <v>3000</v>
      </c>
    </row>
    <row r="6" spans="1:13">
      <c r="A6" s="6" t="s">
        <v>84</v>
      </c>
      <c r="B6" s="6">
        <f t="shared" si="0"/>
        <v>6500</v>
      </c>
      <c r="C6" s="6">
        <f t="shared" si="1"/>
        <v>6000</v>
      </c>
      <c r="D6" s="6">
        <v>20</v>
      </c>
      <c r="E6" s="6">
        <f t="shared" si="2"/>
        <v>475</v>
      </c>
      <c r="F6" s="6">
        <v>200</v>
      </c>
      <c r="G6" s="6">
        <v>5000</v>
      </c>
      <c r="H6" s="6">
        <v>2</v>
      </c>
      <c r="I6" s="6">
        <v>160</v>
      </c>
      <c r="K6" s="6">
        <f>8000*[1]条件输入!$E$5</f>
        <v>6400</v>
      </c>
      <c r="L6" s="6">
        <f>8000*[1]条件输入!$F$5</f>
        <v>1599.9999999999995</v>
      </c>
      <c r="M6" s="6">
        <f>8000*0.5</f>
        <v>4000</v>
      </c>
    </row>
    <row r="7" spans="1:13">
      <c r="A7" s="6" t="s">
        <v>85</v>
      </c>
      <c r="B7" s="6">
        <f t="shared" si="0"/>
        <v>6500</v>
      </c>
      <c r="C7" s="6">
        <f t="shared" si="1"/>
        <v>6000</v>
      </c>
      <c r="D7" s="6">
        <v>20</v>
      </c>
      <c r="E7" s="6">
        <f t="shared" si="2"/>
        <v>475</v>
      </c>
      <c r="F7" s="6">
        <v>300</v>
      </c>
      <c r="G7" s="6">
        <v>6000</v>
      </c>
      <c r="H7" s="6">
        <v>2</v>
      </c>
      <c r="I7" s="6">
        <v>200</v>
      </c>
      <c r="K7" s="6">
        <f>15000*[1]条件输入!$E$5</f>
        <v>12000</v>
      </c>
      <c r="L7" s="6">
        <f>15000*[1]条件输入!$F$5</f>
        <v>2999.9999999999995</v>
      </c>
      <c r="M7" s="6">
        <f>15000*0.3</f>
        <v>4500</v>
      </c>
    </row>
    <row r="8" spans="1:13">
      <c r="A8" s="6" t="s">
        <v>86</v>
      </c>
      <c r="B8" s="6">
        <f t="shared" si="0"/>
        <v>6500</v>
      </c>
      <c r="C8" s="6">
        <f t="shared" si="1"/>
        <v>6000</v>
      </c>
      <c r="D8" s="6">
        <v>20</v>
      </c>
      <c r="E8" s="6">
        <f t="shared" si="2"/>
        <v>475</v>
      </c>
      <c r="F8" s="6">
        <v>250</v>
      </c>
      <c r="G8" s="6">
        <v>5000</v>
      </c>
      <c r="H8" s="6">
        <v>2</v>
      </c>
      <c r="I8" s="6">
        <v>180</v>
      </c>
      <c r="K8" s="6">
        <f>10000*[1]条件输入!$E$5</f>
        <v>8000</v>
      </c>
      <c r="L8" s="6">
        <f>10000*[1]条件输入!$F$5</f>
        <v>1999.9999999999995</v>
      </c>
      <c r="M8" s="6">
        <f>10000*0.5</f>
        <v>5000</v>
      </c>
    </row>
    <row r="9" spans="1:13">
      <c r="A9" s="6" t="s">
        <v>87</v>
      </c>
      <c r="B9" s="6">
        <f t="shared" si="0"/>
        <v>6500</v>
      </c>
      <c r="C9" s="6">
        <f t="shared" si="1"/>
        <v>6000</v>
      </c>
      <c r="D9" s="6">
        <v>20</v>
      </c>
      <c r="E9" s="6">
        <f t="shared" si="2"/>
        <v>475</v>
      </c>
      <c r="F9" s="6">
        <v>350</v>
      </c>
      <c r="G9" s="6">
        <v>7000</v>
      </c>
      <c r="H9" s="6">
        <v>2</v>
      </c>
      <c r="I9" s="6">
        <v>250</v>
      </c>
      <c r="K9" s="6">
        <f>18000*[1]条件输入!$E$5</f>
        <v>14400</v>
      </c>
      <c r="L9" s="6">
        <f>18000*[1]条件输入!$F$5</f>
        <v>3599.9999999999991</v>
      </c>
      <c r="M9" s="6">
        <f>18000*0.3</f>
        <v>5400</v>
      </c>
    </row>
    <row r="10" spans="1:13">
      <c r="A10" s="6" t="s">
        <v>88</v>
      </c>
      <c r="B10" s="6">
        <f t="shared" si="0"/>
        <v>6500</v>
      </c>
      <c r="C10" s="6">
        <f t="shared" si="1"/>
        <v>6000</v>
      </c>
      <c r="D10" s="6">
        <v>20</v>
      </c>
      <c r="E10" s="6">
        <f t="shared" si="2"/>
        <v>475</v>
      </c>
      <c r="F10" s="6">
        <v>300</v>
      </c>
      <c r="G10" s="6">
        <v>6000</v>
      </c>
      <c r="H10" s="6">
        <v>2</v>
      </c>
      <c r="I10" s="6">
        <v>200</v>
      </c>
      <c r="K10" s="6">
        <f>12000*[1]条件输入!$E$5</f>
        <v>9600</v>
      </c>
      <c r="L10" s="6">
        <f>12000*[1]条件输入!$F$5</f>
        <v>2399.9999999999995</v>
      </c>
      <c r="M10" s="6">
        <f>12000*0.5</f>
        <v>6000</v>
      </c>
    </row>
    <row r="11" spans="1:13">
      <c r="A11" s="6" t="s">
        <v>89</v>
      </c>
      <c r="B11" s="6">
        <f t="shared" si="0"/>
        <v>6500</v>
      </c>
      <c r="C11" s="6">
        <f t="shared" si="1"/>
        <v>6000</v>
      </c>
      <c r="D11" s="6">
        <v>20</v>
      </c>
      <c r="E11" s="6">
        <f t="shared" si="2"/>
        <v>475</v>
      </c>
      <c r="F11" s="6">
        <v>400</v>
      </c>
      <c r="G11" s="6">
        <v>8000</v>
      </c>
      <c r="H11" s="6">
        <v>2</v>
      </c>
      <c r="I11" s="6">
        <v>300</v>
      </c>
      <c r="K11" s="6">
        <f>20000*[1]条件输入!$E$5</f>
        <v>16000</v>
      </c>
      <c r="L11" s="6">
        <f>20000*[1]条件输入!$F$5</f>
        <v>3999.9999999999991</v>
      </c>
      <c r="M11" s="6">
        <f>20000*0.3</f>
        <v>6000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D049-4633-42E3-9CD9-63531EF6C06B}">
  <dimension ref="A1:O11"/>
  <sheetViews>
    <sheetView topLeftCell="E1" workbookViewId="0">
      <selection activeCell="L18" sqref="L18"/>
    </sheetView>
  </sheetViews>
  <sheetFormatPr defaultRowHeight="14.25"/>
  <cols>
    <col min="1" max="1" width="11.25" bestFit="1" customWidth="1"/>
    <col min="2" max="2" width="20.125" bestFit="1" customWidth="1"/>
    <col min="3" max="3" width="23.125" bestFit="1" customWidth="1"/>
    <col min="4" max="4" width="19.25" bestFit="1" customWidth="1"/>
    <col min="5" max="5" width="28.25" bestFit="1" customWidth="1"/>
    <col min="6" max="6" width="26.375" bestFit="1" customWidth="1"/>
    <col min="7" max="7" width="20.375" bestFit="1" customWidth="1"/>
    <col min="8" max="8" width="9.875" bestFit="1" customWidth="1"/>
    <col min="9" max="9" width="15.875" bestFit="1" customWidth="1"/>
    <col min="10" max="10" width="10.25" bestFit="1" customWidth="1"/>
    <col min="12" max="12" width="26.75" bestFit="1" customWidth="1"/>
    <col min="13" max="13" width="27.375" bestFit="1" customWidth="1"/>
    <col min="14" max="14" width="28.25" bestFit="1" customWidth="1"/>
    <col min="15" max="15" width="8.5" bestFit="1" customWidth="1"/>
  </cols>
  <sheetData>
    <row r="1" spans="1:15" ht="28.5">
      <c r="A1" s="21" t="s">
        <v>78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6">
        <v>10</v>
      </c>
      <c r="M1" s="6">
        <v>11</v>
      </c>
      <c r="N1" s="6">
        <v>12</v>
      </c>
      <c r="O1" s="6">
        <v>13</v>
      </c>
    </row>
    <row r="2" spans="1:15" ht="42.75">
      <c r="A2" s="21" t="s">
        <v>108</v>
      </c>
      <c r="B2" s="18" t="s">
        <v>79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80</v>
      </c>
      <c r="H2" s="18" t="s">
        <v>76</v>
      </c>
      <c r="I2" s="18" t="s">
        <v>77</v>
      </c>
      <c r="J2" s="6" t="s">
        <v>81</v>
      </c>
      <c r="L2" s="18" t="s">
        <v>44</v>
      </c>
      <c r="M2" s="18" t="s">
        <v>45</v>
      </c>
      <c r="N2" s="18" t="s">
        <v>67</v>
      </c>
      <c r="O2" s="18" t="s">
        <v>110</v>
      </c>
    </row>
    <row r="3" spans="1:15">
      <c r="A3" s="6" t="s">
        <v>157</v>
      </c>
      <c r="B3" s="6" t="s">
        <v>175</v>
      </c>
      <c r="C3" s="6" t="s">
        <v>176</v>
      </c>
      <c r="D3" s="6" t="s">
        <v>177</v>
      </c>
      <c r="E3" s="6" t="s">
        <v>178</v>
      </c>
      <c r="F3" s="6" t="s">
        <v>179</v>
      </c>
      <c r="G3" s="6" t="s">
        <v>180</v>
      </c>
      <c r="H3" s="6" t="s">
        <v>111</v>
      </c>
      <c r="I3" s="6" t="s">
        <v>181</v>
      </c>
      <c r="J3" s="6" t="s">
        <v>182</v>
      </c>
      <c r="L3" s="6" t="s">
        <v>183</v>
      </c>
      <c r="M3" s="6" t="s">
        <v>184</v>
      </c>
      <c r="N3" s="6" t="s">
        <v>185</v>
      </c>
      <c r="O3" s="6" t="s">
        <v>186</v>
      </c>
    </row>
    <row r="4" spans="1:15">
      <c r="A4" s="6" t="s">
        <v>82</v>
      </c>
      <c r="B4" s="6">
        <f>5.5*1000</f>
        <v>5500</v>
      </c>
      <c r="C4" s="6">
        <v>0</v>
      </c>
      <c r="D4" s="6">
        <f>20</f>
        <v>20</v>
      </c>
      <c r="E4" s="6">
        <f t="shared" ref="E4:E11" si="0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J4" s="6">
        <f>8*1000</f>
        <v>8000</v>
      </c>
      <c r="L4" s="6">
        <f>6500*0.3*[1]条件输入!$E$5</f>
        <v>1560</v>
      </c>
      <c r="M4" s="6">
        <f>6500*0.3*[1]条件输入!$F$5</f>
        <v>389.99999999999989</v>
      </c>
      <c r="N4" s="6">
        <f>6.5*1000*0.5</f>
        <v>3250</v>
      </c>
      <c r="O4" s="6" t="str">
        <f>IF([1]条件输入!$G$5="无","","自定义")</f>
        <v/>
      </c>
    </row>
    <row r="5" spans="1:15">
      <c r="A5" s="6" t="s">
        <v>83</v>
      </c>
      <c r="B5" s="6">
        <f t="shared" ref="B5:B11" si="1">6*1000</f>
        <v>6000</v>
      </c>
      <c r="C5" s="6">
        <v>0</v>
      </c>
      <c r="D5" s="6">
        <v>20</v>
      </c>
      <c r="E5" s="6">
        <f t="shared" si="0"/>
        <v>475</v>
      </c>
      <c r="F5" s="6">
        <v>100</v>
      </c>
      <c r="G5" s="6">
        <f>2*1000</f>
        <v>2000</v>
      </c>
      <c r="H5" s="6">
        <v>2</v>
      </c>
      <c r="I5" s="6">
        <v>0</v>
      </c>
      <c r="J5" s="6">
        <f>10*1000</f>
        <v>10000</v>
      </c>
      <c r="L5" s="6">
        <f>6000*[1]条件输入!$E$5</f>
        <v>4800</v>
      </c>
      <c r="M5" s="6">
        <f>6000*[1]条件输入!$F$5</f>
        <v>1199.9999999999998</v>
      </c>
      <c r="N5" s="6">
        <f>6000*0.5</f>
        <v>3000</v>
      </c>
      <c r="O5" s="6" t="str">
        <f>IF([1]条件输入!$G$5="无","","自定义")</f>
        <v/>
      </c>
    </row>
    <row r="6" spans="1:15">
      <c r="A6" s="6" t="s">
        <v>84</v>
      </c>
      <c r="B6" s="6">
        <f t="shared" si="1"/>
        <v>6000</v>
      </c>
      <c r="C6" s="6">
        <v>0</v>
      </c>
      <c r="D6" s="6">
        <v>20</v>
      </c>
      <c r="E6" s="6">
        <f t="shared" si="0"/>
        <v>475</v>
      </c>
      <c r="F6" s="6">
        <v>200</v>
      </c>
      <c r="G6" s="6">
        <v>5000</v>
      </c>
      <c r="H6" s="6">
        <v>4</v>
      </c>
      <c r="I6" s="6">
        <v>160</v>
      </c>
      <c r="J6" s="6">
        <f>10*1000</f>
        <v>10000</v>
      </c>
      <c r="L6" s="6">
        <f>8000*[1]条件输入!$E$5</f>
        <v>6400</v>
      </c>
      <c r="M6" s="6">
        <f>8000*[1]条件输入!$F$5</f>
        <v>1599.9999999999995</v>
      </c>
      <c r="N6" s="6">
        <f>8000*0.5</f>
        <v>4000</v>
      </c>
      <c r="O6" s="6" t="str">
        <f>IF([1]条件输入!$G$5="无","","自定义")</f>
        <v/>
      </c>
    </row>
    <row r="7" spans="1:15">
      <c r="A7" s="6" t="s">
        <v>85</v>
      </c>
      <c r="B7" s="6">
        <f t="shared" si="1"/>
        <v>6000</v>
      </c>
      <c r="C7" s="6">
        <v>0</v>
      </c>
      <c r="D7" s="6">
        <v>20</v>
      </c>
      <c r="E7" s="6">
        <f t="shared" si="0"/>
        <v>475</v>
      </c>
      <c r="F7" s="6">
        <v>300</v>
      </c>
      <c r="G7" s="6">
        <v>6000</v>
      </c>
      <c r="H7" s="6">
        <v>4</v>
      </c>
      <c r="I7" s="6">
        <v>200</v>
      </c>
      <c r="J7" s="6">
        <f>12*1000</f>
        <v>12000</v>
      </c>
      <c r="L7" s="6">
        <f>15000*[1]条件输入!$E$5</f>
        <v>12000</v>
      </c>
      <c r="M7" s="6">
        <f>15000*[1]条件输入!$F$5</f>
        <v>2999.9999999999995</v>
      </c>
      <c r="N7" s="6">
        <f>15000*0.3</f>
        <v>4500</v>
      </c>
      <c r="O7" s="6" t="str">
        <f>IF([1]条件输入!$G$5="无","","自定义")</f>
        <v/>
      </c>
    </row>
    <row r="8" spans="1:15">
      <c r="A8" s="6" t="s">
        <v>86</v>
      </c>
      <c r="B8" s="6">
        <f t="shared" si="1"/>
        <v>6000</v>
      </c>
      <c r="C8" s="6">
        <v>0</v>
      </c>
      <c r="D8" s="6">
        <v>20</v>
      </c>
      <c r="E8" s="6">
        <f t="shared" si="0"/>
        <v>475</v>
      </c>
      <c r="F8" s="6">
        <v>250</v>
      </c>
      <c r="G8" s="6">
        <v>5000</v>
      </c>
      <c r="H8" s="6">
        <v>4</v>
      </c>
      <c r="I8" s="6">
        <v>180</v>
      </c>
      <c r="J8" s="6">
        <f>11*1000</f>
        <v>11000</v>
      </c>
      <c r="L8" s="6">
        <f>10000*[1]条件输入!$E$5</f>
        <v>8000</v>
      </c>
      <c r="M8" s="6">
        <f>10000*[1]条件输入!$F$5</f>
        <v>1999.9999999999995</v>
      </c>
      <c r="N8" s="6">
        <f>10000*0.5</f>
        <v>5000</v>
      </c>
      <c r="O8" s="6" t="str">
        <f>IF([1]条件输入!$G$5="无","","自定义")</f>
        <v/>
      </c>
    </row>
    <row r="9" spans="1:15">
      <c r="A9" s="6" t="s">
        <v>87</v>
      </c>
      <c r="B9" s="6">
        <f t="shared" si="1"/>
        <v>6000</v>
      </c>
      <c r="C9" s="6">
        <v>0</v>
      </c>
      <c r="D9" s="6">
        <v>20</v>
      </c>
      <c r="E9" s="6">
        <f t="shared" si="0"/>
        <v>475</v>
      </c>
      <c r="F9" s="6">
        <v>350</v>
      </c>
      <c r="G9" s="6">
        <v>7000</v>
      </c>
      <c r="H9" s="6">
        <v>4</v>
      </c>
      <c r="I9" s="6">
        <v>250</v>
      </c>
      <c r="J9" s="6">
        <f>13*1000</f>
        <v>13000</v>
      </c>
      <c r="L9" s="6">
        <f>18000*[1]条件输入!$E$5</f>
        <v>14400</v>
      </c>
      <c r="M9" s="6">
        <f>18000*[1]条件输入!$F$5</f>
        <v>3599.9999999999991</v>
      </c>
      <c r="N9" s="6">
        <f>18000*0.3</f>
        <v>5400</v>
      </c>
      <c r="O9" s="6" t="str">
        <f>IF([1]条件输入!$G$5="无","","自定义")</f>
        <v/>
      </c>
    </row>
    <row r="10" spans="1:15">
      <c r="A10" s="6" t="s">
        <v>88</v>
      </c>
      <c r="B10" s="6">
        <f t="shared" si="1"/>
        <v>6000</v>
      </c>
      <c r="C10" s="6">
        <v>0</v>
      </c>
      <c r="D10" s="6">
        <v>20</v>
      </c>
      <c r="E10" s="6">
        <f t="shared" si="0"/>
        <v>475</v>
      </c>
      <c r="F10" s="6">
        <v>300</v>
      </c>
      <c r="G10" s="6">
        <v>6000</v>
      </c>
      <c r="H10" s="6">
        <v>4</v>
      </c>
      <c r="I10" s="6">
        <v>200</v>
      </c>
      <c r="J10" s="6">
        <f>12*1000</f>
        <v>12000</v>
      </c>
      <c r="L10" s="6">
        <f>12000*[1]条件输入!$E$5</f>
        <v>9600</v>
      </c>
      <c r="M10" s="6">
        <f>12000*[1]条件输入!$F$5</f>
        <v>2399.9999999999995</v>
      </c>
      <c r="N10" s="6">
        <f>12000*0.5</f>
        <v>6000</v>
      </c>
      <c r="O10" s="6" t="str">
        <f>IF([1]条件输入!$G$5="无","","自定义")</f>
        <v/>
      </c>
    </row>
    <row r="11" spans="1:15">
      <c r="A11" s="6" t="s">
        <v>89</v>
      </c>
      <c r="B11" s="6">
        <f t="shared" si="1"/>
        <v>6000</v>
      </c>
      <c r="C11" s="6">
        <v>0</v>
      </c>
      <c r="D11" s="6">
        <v>20</v>
      </c>
      <c r="E11" s="6">
        <f t="shared" si="0"/>
        <v>475</v>
      </c>
      <c r="F11" s="6">
        <v>400</v>
      </c>
      <c r="G11" s="6">
        <v>8000</v>
      </c>
      <c r="H11" s="6">
        <v>4</v>
      </c>
      <c r="I11" s="6">
        <v>300</v>
      </c>
      <c r="J11" s="6">
        <f>14*1000</f>
        <v>14000</v>
      </c>
      <c r="L11" s="6">
        <f>20000*[1]条件输入!$E$5</f>
        <v>16000</v>
      </c>
      <c r="M11" s="6">
        <f>20000*[1]条件输入!$F$5</f>
        <v>3999.9999999999991</v>
      </c>
      <c r="N11" s="6">
        <f>20000*0.3</f>
        <v>6000</v>
      </c>
      <c r="O11" s="6" t="str">
        <f>IF([1]条件输入!$G$5="无","","自定义")</f>
        <v/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1AE-2865-4A3D-9A4D-9928FFEFE705}">
  <dimension ref="A1:J11"/>
  <sheetViews>
    <sheetView workbookViewId="0">
      <selection activeCell="D22" sqref="D22"/>
    </sheetView>
  </sheetViews>
  <sheetFormatPr defaultRowHeight="14.25"/>
  <cols>
    <col min="1" max="1" width="11.25" bestFit="1" customWidth="1"/>
    <col min="2" max="2" width="19.25" bestFit="1" customWidth="1"/>
    <col min="3" max="4" width="28" bestFit="1" customWidth="1"/>
    <col min="5" max="5" width="20.25" bestFit="1" customWidth="1"/>
    <col min="7" max="7" width="26.75" bestFit="1" customWidth="1"/>
    <col min="8" max="8" width="27.375" bestFit="1" customWidth="1"/>
    <col min="9" max="9" width="28.25" bestFit="1" customWidth="1"/>
  </cols>
  <sheetData>
    <row r="1" spans="1:10">
      <c r="A1" s="6"/>
      <c r="B1" s="6"/>
      <c r="C1" s="6"/>
      <c r="D1" s="6"/>
      <c r="E1" s="6"/>
      <c r="G1" s="6"/>
      <c r="H1" s="6"/>
      <c r="I1" s="6"/>
      <c r="J1" s="6"/>
    </row>
    <row r="2" spans="1:10" ht="28.5">
      <c r="A2" s="21" t="s">
        <v>108</v>
      </c>
      <c r="B2" s="18" t="s">
        <v>91</v>
      </c>
      <c r="C2" s="18" t="s">
        <v>70</v>
      </c>
      <c r="D2" s="18" t="s">
        <v>92</v>
      </c>
      <c r="E2" s="18" t="s">
        <v>80</v>
      </c>
      <c r="G2" s="18" t="s">
        <v>44</v>
      </c>
      <c r="H2" s="18" t="s">
        <v>45</v>
      </c>
      <c r="I2" s="18" t="s">
        <v>67</v>
      </c>
      <c r="J2" s="18" t="s">
        <v>90</v>
      </c>
    </row>
    <row r="3" spans="1:10">
      <c r="A3" s="6" t="s">
        <v>157</v>
      </c>
      <c r="B3" s="6" t="s">
        <v>187</v>
      </c>
      <c r="C3" s="6" t="s">
        <v>188</v>
      </c>
      <c r="D3" s="6" t="s">
        <v>189</v>
      </c>
      <c r="E3" s="6" t="s">
        <v>190</v>
      </c>
      <c r="G3" s="6" t="s">
        <v>191</v>
      </c>
      <c r="H3" s="6" t="s">
        <v>192</v>
      </c>
      <c r="I3" s="6" t="s">
        <v>193</v>
      </c>
      <c r="J3" s="18"/>
    </row>
    <row r="4" spans="1:10">
      <c r="A4" s="6" t="s">
        <v>82</v>
      </c>
      <c r="B4" s="6">
        <v>1800</v>
      </c>
      <c r="C4" s="6">
        <v>0</v>
      </c>
      <c r="D4" s="6">
        <v>0</v>
      </c>
      <c r="E4" s="6">
        <f t="shared" ref="E4:E11" si="0">B4</f>
        <v>1800</v>
      </c>
      <c r="G4" s="6">
        <f>B4*0.2*[1]条件输入!$E$5</f>
        <v>288</v>
      </c>
      <c r="H4" s="6">
        <f>B4*0.2*[1]条件输入!$F$5</f>
        <v>71.999999999999986</v>
      </c>
      <c r="I4" s="6">
        <f>B4*0.2</f>
        <v>360</v>
      </c>
      <c r="J4" s="6"/>
    </row>
    <row r="5" spans="1:10">
      <c r="A5" s="6" t="s">
        <v>83</v>
      </c>
      <c r="B5" s="6">
        <v>1800</v>
      </c>
      <c r="C5" s="6">
        <f t="shared" ref="C5:C11" si="1">40*0.475</f>
        <v>19</v>
      </c>
      <c r="D5" s="6">
        <v>0</v>
      </c>
      <c r="E5" s="6">
        <f t="shared" si="0"/>
        <v>1800</v>
      </c>
      <c r="G5" s="6">
        <f>B5*2*[1]条件输入!$E$5</f>
        <v>2880</v>
      </c>
      <c r="H5" s="6">
        <f>B5*2*[1]条件输入!$F$5</f>
        <v>719.99999999999989</v>
      </c>
      <c r="I5" s="6">
        <f>B5*1</f>
        <v>1800</v>
      </c>
      <c r="J5" s="6"/>
    </row>
    <row r="6" spans="1:10">
      <c r="A6" s="6" t="s">
        <v>84</v>
      </c>
      <c r="B6" s="6">
        <v>1800</v>
      </c>
      <c r="C6" s="6">
        <f t="shared" si="1"/>
        <v>19</v>
      </c>
      <c r="D6" s="6">
        <v>0</v>
      </c>
      <c r="E6" s="6">
        <f t="shared" si="0"/>
        <v>1800</v>
      </c>
      <c r="G6" s="6">
        <f>B6*2*[1]条件输入!$E$5</f>
        <v>2880</v>
      </c>
      <c r="H6" s="6">
        <f>B6*2*[1]条件输入!$F$5</f>
        <v>719.99999999999989</v>
      </c>
      <c r="I6" s="6">
        <f>B6*1</f>
        <v>1800</v>
      </c>
      <c r="J6" s="6"/>
    </row>
    <row r="7" spans="1:10">
      <c r="A7" s="6" t="s">
        <v>85</v>
      </c>
      <c r="B7" s="6">
        <v>1800</v>
      </c>
      <c r="C7" s="6">
        <f t="shared" si="1"/>
        <v>19</v>
      </c>
      <c r="D7" s="6">
        <v>50</v>
      </c>
      <c r="E7" s="6">
        <f t="shared" si="0"/>
        <v>1800</v>
      </c>
      <c r="G7" s="6">
        <f>B7*3*[1]条件输入!$E$5</f>
        <v>4320</v>
      </c>
      <c r="H7" s="6">
        <f>B7*3*[1]条件输入!$F$5</f>
        <v>1079.9999999999998</v>
      </c>
      <c r="I7" s="6">
        <f>B7*0.5</f>
        <v>900</v>
      </c>
      <c r="J7" s="6"/>
    </row>
    <row r="8" spans="1:10">
      <c r="A8" s="6" t="s">
        <v>86</v>
      </c>
      <c r="B8" s="6">
        <v>1800</v>
      </c>
      <c r="C8" s="6">
        <f t="shared" si="1"/>
        <v>19</v>
      </c>
      <c r="D8" s="6">
        <v>20</v>
      </c>
      <c r="E8" s="6">
        <f t="shared" si="0"/>
        <v>1800</v>
      </c>
      <c r="G8" s="6">
        <f>B8*2.5*[1]条件输入!$E$5</f>
        <v>3600</v>
      </c>
      <c r="H8" s="6">
        <f>B8*2.5*[1]条件输入!$F$5</f>
        <v>899.99999999999977</v>
      </c>
      <c r="I8" s="6">
        <f>B8*1</f>
        <v>1800</v>
      </c>
      <c r="J8" s="6"/>
    </row>
    <row r="9" spans="1:10">
      <c r="A9" s="6" t="s">
        <v>87</v>
      </c>
      <c r="B9" s="6">
        <v>1800</v>
      </c>
      <c r="C9" s="6">
        <f t="shared" si="1"/>
        <v>19</v>
      </c>
      <c r="D9" s="6">
        <v>50</v>
      </c>
      <c r="E9" s="6">
        <f t="shared" si="0"/>
        <v>1800</v>
      </c>
      <c r="G9" s="6">
        <f>B9*3.5*[1]条件输入!$E$5</f>
        <v>5040</v>
      </c>
      <c r="H9" s="6">
        <f>B9*3.5*[1]条件输入!$F$5</f>
        <v>1259.9999999999998</v>
      </c>
      <c r="I9" s="6">
        <f>B9*0.5</f>
        <v>900</v>
      </c>
      <c r="J9" s="6"/>
    </row>
    <row r="10" spans="1:10">
      <c r="A10" s="6" t="s">
        <v>88</v>
      </c>
      <c r="B10" s="6">
        <v>1800</v>
      </c>
      <c r="C10" s="6">
        <f t="shared" si="1"/>
        <v>19</v>
      </c>
      <c r="D10" s="6">
        <v>20</v>
      </c>
      <c r="E10" s="6">
        <f t="shared" si="0"/>
        <v>1800</v>
      </c>
      <c r="G10" s="6">
        <f>B10*2.5*[1]条件输入!$E$5</f>
        <v>3600</v>
      </c>
      <c r="H10" s="6">
        <f>B10*2.5*[1]条件输入!$F$5</f>
        <v>899.99999999999977</v>
      </c>
      <c r="I10" s="6">
        <f>B10*1</f>
        <v>1800</v>
      </c>
      <c r="J10" s="6"/>
    </row>
    <row r="11" spans="1:10">
      <c r="A11" s="6" t="s">
        <v>89</v>
      </c>
      <c r="B11" s="6">
        <v>1800</v>
      </c>
      <c r="C11" s="6">
        <f t="shared" si="1"/>
        <v>19</v>
      </c>
      <c r="D11" s="6">
        <v>50</v>
      </c>
      <c r="E11" s="6">
        <f t="shared" si="0"/>
        <v>1800</v>
      </c>
      <c r="G11" s="6">
        <f>B11*4*[1]条件输入!$E$5</f>
        <v>5760</v>
      </c>
      <c r="H11" s="6">
        <f>B11*4*[1]条件输入!$F$5</f>
        <v>1439.9999999999998</v>
      </c>
      <c r="I11" s="6">
        <f>B11*0.5</f>
        <v>900</v>
      </c>
      <c r="J11" s="6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风机基础数据</vt:lpstr>
      <vt:lpstr>箱变基础数据</vt:lpstr>
      <vt:lpstr>升压站基础数据</vt:lpstr>
      <vt:lpstr>道路基础数据1</vt:lpstr>
      <vt:lpstr>道路基础数据2</vt:lpstr>
      <vt:lpstr>道路基础数据3</vt:lpstr>
      <vt:lpstr>道路基础数据4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2019-03-13T07:09:36Z</dcterms:modified>
</cp:coreProperties>
</file>