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69BFAA18-E906-4363-9F54-346CEB75EAFF}" xr6:coauthVersionLast="41" xr6:coauthVersionMax="41" xr10:uidLastSave="{00000000-0000-0000-0000-000000000000}"/>
  <bookViews>
    <workbookView xWindow="2685" yWindow="1080" windowWidth="19335" windowHeight="13830" tabRatio="569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O191" i="2" l="1"/>
  <c r="O192" i="2"/>
  <c r="O193" i="2"/>
  <c r="O194" i="2"/>
  <c r="O195" i="2"/>
  <c r="O196" i="2"/>
  <c r="O197" i="2"/>
  <c r="O198" i="2"/>
  <c r="O199" i="2"/>
  <c r="O190" i="2"/>
  <c r="D200" i="2"/>
  <c r="D199" i="2"/>
  <c r="E115" i="2"/>
  <c r="D198" i="2"/>
  <c r="D197" i="2"/>
  <c r="D196" i="2"/>
  <c r="D195" i="2"/>
  <c r="D194" i="2"/>
  <c r="D192" i="2"/>
  <c r="D191" i="2"/>
  <c r="C182" i="2" l="1"/>
  <c r="C186" i="2" s="1"/>
  <c r="N179" i="2"/>
  <c r="N180" i="2"/>
  <c r="N181" i="2"/>
  <c r="N182" i="2"/>
  <c r="N183" i="2"/>
  <c r="N184" i="2"/>
  <c r="N185" i="2"/>
  <c r="N178" i="2"/>
  <c r="C183" i="2"/>
  <c r="C181" i="2" l="1"/>
  <c r="C180" i="2"/>
  <c r="C179" i="2"/>
  <c r="N174" i="2" l="1"/>
  <c r="N172" i="2"/>
  <c r="N173" i="2"/>
  <c r="N171" i="2"/>
  <c r="D174" i="2"/>
  <c r="C174" i="2"/>
  <c r="C172" i="2"/>
  <c r="N166" i="2" l="1"/>
  <c r="O166" i="2"/>
  <c r="P166" i="2"/>
  <c r="Q166" i="2"/>
  <c r="R166" i="2"/>
  <c r="M166" i="2"/>
  <c r="G166" i="2"/>
  <c r="F166" i="2"/>
  <c r="E166" i="2"/>
  <c r="D166" i="2"/>
  <c r="B166" i="2"/>
  <c r="C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3" i="2" l="1"/>
  <c r="D160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84" i="1"/>
  <c r="D183" i="1"/>
  <c r="D182" i="1"/>
  <c r="D180" i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61" i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72" i="1" l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70" i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04" i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3" i="1" l="1"/>
  <c r="D158" i="2"/>
  <c r="E129" i="2"/>
  <c r="E118" i="1" s="1"/>
  <c r="D147" i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88" i="1"/>
  <c r="D38" i="1"/>
  <c r="E48" i="2"/>
  <c r="E49" i="2"/>
  <c r="D39" i="1"/>
  <c r="E39" i="1" l="1"/>
  <c r="C145" i="1"/>
  <c r="E146" i="1"/>
  <c r="C146" i="1"/>
  <c r="C161" i="2"/>
  <c r="E38" i="1"/>
  <c r="D185" i="1" l="1"/>
  <c r="C150" i="1"/>
  <c r="D161" i="2"/>
  <c r="E161" i="2" s="1"/>
  <c r="D145" i="1"/>
  <c r="E145" i="1"/>
  <c r="D46" i="1"/>
  <c r="E56" i="2"/>
  <c r="E46" i="1" s="1"/>
  <c r="E150" i="1" l="1"/>
  <c r="F155" i="1"/>
  <c r="C155" i="1"/>
  <c r="G155" i="1"/>
  <c r="D186" i="1"/>
  <c r="D150" i="1"/>
  <c r="D189" i="1" l="1"/>
  <c r="E155" i="1"/>
  <c r="D155" i="1"/>
  <c r="B155" i="1"/>
  <c r="D186" i="2"/>
  <c r="C171" i="1"/>
  <c r="C175" i="1" l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<sst xmlns="http://schemas.openxmlformats.org/spreadsheetml/2006/main" count="1237" uniqueCount="428">
  <si>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</si>
  <si>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</si>
  <si>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</si>
  <si>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</si>
  <si>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</si>
  <si>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</si>
  <si>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</si>
  <si>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</si>
  <si>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</si>
  <si>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</si>
  <si>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</si>
  <si>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</si>
  <si>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</si>
  <si>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</si>
  <si>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</si>
  <si>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</si>
  <si>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</si>
  <si>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</si>
  <si>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</si>
  <si>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</si>
  <si>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</si>
  <si>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</si>
  <si>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</si>
  <si>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</si>
  <si>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</si>
  <si>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</si>
  <si>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</si>
  <si>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</si>
  <si>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</si>
  <si>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</si>
  <si>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</si>
  <si>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</si>
  <si>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</si>
  <si>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</si>
  <si>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</si>
  <si>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</si>
  <si>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</si>
  <si>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</si>
  <si>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</si>
  <si>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</si>
  <si>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</si>
  <si>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</si>
  <si>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</si>
  <si>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</si>
  <si>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</si>
  <si>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</si>
  <si>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</si>
  <si>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</si>
  <si>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</si>
  <si>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</si>
  <si>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</si>
  <si>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</si>
  <si>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</si>
  <si>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</si>
  <si>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</si>
  <si>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</si>
  <si>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</si>
  <si>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</si>
  <si>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</si>
  <si>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</si>
  <si>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</si>
  <si>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</si>
  <si>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</si>
  <si>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</si>
  <si>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</si>
  <si>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</si>
  <si>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</si>
  <si>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</si>
  <si>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</si>
  <si>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</si>
  <si>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</si>
  <si>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</si>
  <si>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</si>
  <si>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</si>
  <si>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</si>
  <si>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</si>
  <si>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</si>
  <si>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</si>
  <si>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</si>
  <si>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</si>
  <si>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</si>
  <si>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</si>
  <si>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</si>
  <si>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</si>
  <si>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</si>
  <si>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</si>
  <si>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</si>
  <si>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</si>
  <si>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</si>
  <si>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</si>
  <si>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</si>
  <si>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</si>
  <si>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</si>
  <si>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</si>
  <si>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</si>
  <si>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</si>
  <si>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</si>
  <si>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</si>
  <si>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</si>
  <si>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</si>
  <si>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</si>
  <si>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</si>
  <si>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</si>
  <si>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</si>
  <si>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</si>
  <si>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</si>
  <si>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</si>
  <si>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</si>
  <si>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</si>
  <si>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</si>
  <si>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</si>
  <si>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</si>
  <si>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</si>
  <si>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</si>
  <si>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</si>
  <si>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</si>
  <si>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</si>
  <si>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</si>
  <si>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</si>
  <si>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</si>
  <si>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</si>
  <si>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</si>
  <si>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</si>
  <si>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</si>
  <si>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</si>
  <si>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</si>
  <si>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</si>
  <si>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</si>
  <si>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</si>
  <si>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</si>
  <si>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</si>
  <si>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</si>
  <si>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</si>
  <si>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</si>
  <si>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</si>
  <si>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</si>
  <si>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</si>
  <si>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</si>
  <si>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</si>
  <si>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</si>
  <si>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</si>
  <si>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</si>
  <si>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</si>
  <si>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</si>
  <si>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</si>
  <si>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</si>
  <si>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</si>
  <si>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</si>
  <si>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</si>
  <si>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</si>
  <si>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</si>
  <si>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</si>
  <si>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</si>
  <si>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</si>
  <si>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</si>
  <si>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</si>
  <si>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</si>
  <si>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</si>
  <si>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</si>
  <si>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</si>
  <si>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</si>
  <si>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</si>
  <si>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</si>
  <si>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</si>
  <si>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</si>
  <si>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</si>
  <si>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</si>
  <si>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</si>
  <si>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</si>
  <si>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</si>
  <si>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</si>
  <si>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</si>
  <si>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</si>
  <si>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</si>
  <si>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</si>
  <si>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</si>
  <si>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</si>
  <si>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</si>
  <si>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</si>
  <si>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</si>
  <si>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</si>
  <si>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</si>
  <si>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</si>
  <si>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</si>
  <si>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</si>
  <si>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</si>
  <si>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</si>
  <si>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</si>
  <si>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</si>
  <si>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</si>
  <si>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</si>
  <si>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</si>
  <si>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</si>
  <si>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</si>
  <si>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</si>
  <si>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</si>
  <si>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</si>
  <si>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</si>
  <si>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</si>
  <si>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</si>
  <si>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</si>
  <si>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</si>
  <si>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</si>
  <si>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</si>
  <si>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</si>
  <si>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</si>
  <si>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</si>
  <si>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</si>
  <si>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</si>
  <si>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</si>
  <si>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</si>
  <si>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</si>
  <si>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</si>
  <si>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</si>
  <si>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</si>
  <si>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</si>
  <si>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</si>
  <si>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</si>
  <si>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</si>
  <si>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</si>
  <si>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</si>
  <si>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</si>
  <si>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</si>
  <si>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</si>
  <si>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</si>
  <si>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</si>
  <si>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</si>
  <si>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</si>
  <si>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</si>
  <si>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</si>
  <si>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</si>
  <si>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</si>
  <si>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</si>
  <si>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</si>
  <si>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</si>
  <si>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</si>
  <si>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</si>
  <si>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</si>
  <si>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</si>
  <si>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</si>
  <si>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</si>
  <si>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</si>
  <si>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</si>
  <si>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</si>
  <si>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</si>
  <si>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</si>
  <si>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</si>
  <si>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</si>
  <si>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</si>
  <si>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</si>
  <si>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</si>
  <si>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</si>
  <si>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</si>
  <si>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</si>
  <si>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</si>
  <si>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</si>
  <si>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</si>
  <si>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</si>
  <si>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</si>
  <si>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</si>
  <si>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</si>
  <si>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</si>
  <si>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</si>
  <si>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</si>
  <si>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</si>
  <si>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</si>
  <si>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</si>
  <si>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</si>
  <si>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</si>
  <si>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</si>
  <si>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</si>
  <si>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</si>
  <si>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</si>
  <si>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</si>
  <si>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</si>
  <si>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</si>
  <si>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</si>
  <si>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</si>
  <si>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</si>
  <si>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</si>
  <si>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</si>
  <si>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</si>
  <si>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</si>
  <si>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</si>
  <si>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</si>
  <si>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</si>
  <si>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</si>
  <si>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</si>
  <si>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</si>
  <si>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</si>
  <si>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</si>
  <si>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</si>
  <si>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</si>
  <si>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</si>
  <si>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</si>
  <si>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</si>
  <si>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</si>
  <si>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</si>
  <si>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</si>
  <si>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</si>
  <si>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</si>
  <si>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</si>
  <si>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</si>
  <si>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</si>
  <si>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</si>
  <si>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</si>
  <si>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</si>
  <si>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</si>
  <si>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</si>
  <si>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</si>
  <si>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</si>
  <si>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</si>
  <si>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</si>
  <si>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</si>
  <si>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</si>
  <si>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</si>
  <si>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</si>
  <si>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</si>
  <si>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</si>
  <si>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</si>
  <si>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</si>
  <si>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</si>
  <si>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</si>
  <si>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</si>
  <si>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</si>
  <si>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</si>
  <si>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</si>
  <si>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</si>
  <si>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</si>
  <si>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</si>
  <si>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</si>
  <si>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</si>
  <si>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</si>
  <si>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</si>
  <si>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</si>
  <si>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</si>
  <si>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</si>
  <si>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</si>
  <si>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</si>
  <si>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</si>
  <si>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</si>
  <si>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</si>
  <si>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</si>
  <si>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</si>
  <si>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</si>
  <si>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</si>
  <si>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</si>
  <si>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</si>
  <si>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</si>
  <si>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</si>
  <si>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</si>
  <si>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</si>
  <si>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</si>
  <si>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</si>
  <si>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</si>
  <si>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</si>
  <si>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</si>
  <si>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</si>
  <si>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</si>
  <si>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</si>
  <si>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</si>
  <si>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</si>
  <si>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</si>
  <si>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</si>
  <si>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</si>
  <si>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</si>
  <si>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</si>
  <si>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</si>
  <si>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</si>
  <si>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</si>
  <si>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</si>
  <si>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</si>
  <si>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</si>
  <si>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</si>
  <si>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</si>
  <si>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</si>
  <si>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</si>
  <si>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</si>
  <si>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</si>
  <si>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</si>
  <si>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</si>
  <si>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</si>
  <si>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</si>
  <si>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</si>
  <si>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</si>
  <si>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</si>
  <si>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</si>
  <si>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</si>
  <si>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</si>
  <si>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</si>
  <si>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</si>
  <si>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</si>
  <si>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</si>
  <si>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</si>
  <si>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</si>
  <si>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</si>
  <si>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</si>
  <si>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</si>
  <si>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</si>
  <si>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</si>
  <si>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</si>
  <si>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</si>
  <si>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</si>
  <si>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</si>
  <si>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</si>
  <si>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</si>
  <si>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</si>
  <si>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</si>
  <si>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</si>
  <si>
    <t>变电站</t>
    <phoneticPr fontId="5" type="noConversion"/>
  </si>
  <si>
    <t>合计</t>
    <phoneticPr fontId="5" type="noConversion"/>
  </si>
  <si>
    <t>{{合计亩_永久用地面积}}</t>
    <phoneticPr fontId="5" type="noConversion"/>
  </si>
  <si>
    <t>施工辅企</t>
    <phoneticPr fontId="5" type="noConversion"/>
  </si>
  <si>
    <t>风电机组安装平台</t>
    <phoneticPr fontId="5" type="noConversion"/>
  </si>
  <si>
    <t>施工道路</t>
    <phoneticPr fontId="5" type="noConversion"/>
  </si>
  <si>
    <t>弃渣场</t>
    <phoneticPr fontId="5" type="noConversion"/>
  </si>
  <si>
    <t>进场道路</t>
    <phoneticPr fontId="5" type="noConversion"/>
  </si>
  <si>
    <t>电缆沟</t>
    <phoneticPr fontId="5" type="noConversion"/>
  </si>
  <si>
    <t>合计</t>
    <phoneticPr fontId="5" type="noConversion"/>
  </si>
  <si>
    <t>{{合计亩_临时用地面积}}</t>
    <phoneticPr fontId="5" type="noConversion"/>
  </si>
  <si>
    <t>建筑面积</t>
    <phoneticPr fontId="5" type="noConversion"/>
  </si>
  <si>
    <t>土石方开挖</t>
    <phoneticPr fontId="5" type="noConversion"/>
  </si>
  <si>
    <t>浆砌石</t>
    <phoneticPr fontId="5" type="noConversion"/>
  </si>
  <si>
    <t>风机机组</t>
    <phoneticPr fontId="5" type="noConversion"/>
  </si>
  <si>
    <t>主变压器</t>
    <phoneticPr fontId="5" type="noConversion"/>
  </si>
  <si>
    <t>土石方回填</t>
    <phoneticPr fontId="5" type="noConversion"/>
  </si>
  <si>
    <t>混凝土</t>
    <phoneticPr fontId="5" type="noConversion"/>
  </si>
  <si>
    <t>钢筋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</si>
</sst>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362</v>
      </c>
      <c r="B1" s="14"/>
      <c r="C1" s="14" t="s">
        <v>361</v>
      </c>
      <c r="D1" s="14"/>
      <c r="E1" s="14"/>
      <c r="F1" s="14"/>
    </row>
    <row r="2" spans="1:12" ht="18" customHeight="1" x14ac:dyDescent="0.15">
      <c r="A2" s="121" t="s">
        <v>310</v>
      </c>
      <c r="B2" s="174" t="s">
        <v>311</v>
      </c>
      <c r="C2" s="174" t="s">
        <v>312</v>
      </c>
      <c r="D2" s="174" t="s">
        <v>313</v>
      </c>
      <c r="E2" s="174" t="s">
        <v>314</v>
      </c>
      <c r="F2" s="174" t="s">
        <v>315</v>
      </c>
      <c r="G2" s="177" t="s">
        <v>316</v>
      </c>
    </row>
    <row r="3" spans="1:12" ht="18" customHeight="1" x14ac:dyDescent="0.15">
      <c r="A3" s="178" t="s">
        <v>317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318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319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320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321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322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364</v>
      </c>
      <c r="B11" s="14"/>
      <c r="C11" s="14" t="s">
        <v>363</v>
      </c>
      <c r="D11" s="14"/>
      <c r="E11" s="14"/>
      <c r="F11" s="14"/>
    </row>
    <row r="12" spans="1:12" ht="18" customHeight="1" x14ac:dyDescent="0.15">
      <c r="A12" s="121" t="s">
        <v>325</v>
      </c>
      <c r="B12" s="174" t="s">
        <v>326</v>
      </c>
      <c r="C12" s="174" t="s">
        <v>327</v>
      </c>
      <c r="D12" s="174" t="s">
        <v>340</v>
      </c>
      <c r="E12" s="174" t="s">
        <v>328</v>
      </c>
      <c r="F12" s="174" t="s">
        <v>329</v>
      </c>
      <c r="G12" s="174" t="s">
        <v>330</v>
      </c>
      <c r="H12" s="174" t="s">
        <v>331</v>
      </c>
      <c r="I12" s="174" t="s">
        <v>332</v>
      </c>
      <c r="J12" s="174" t="s">
        <v>333</v>
      </c>
      <c r="K12" s="174" t="s">
        <v>334</v>
      </c>
      <c r="L12" s="177" t="s">
        <v>335</v>
      </c>
    </row>
    <row r="13" spans="1:12" ht="18" customHeight="1" x14ac:dyDescent="0.15">
      <c r="A13" s="178">
        <v>1</v>
      </c>
      <c r="B13" s="175" t="s">
        <v>336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337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338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339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365</v>
      </c>
      <c r="C19" s="2" t="s">
        <v>366</v>
      </c>
    </row>
    <row r="20" spans="1:7" ht="18" customHeight="1" x14ac:dyDescent="0.15">
      <c r="A20" s="121" t="s">
        <v>342</v>
      </c>
      <c r="B20" s="174" t="s">
        <v>1</v>
      </c>
      <c r="C20" s="243" t="s">
        <v>317</v>
      </c>
      <c r="D20" s="244"/>
      <c r="E20" s="243" t="s">
        <v>318</v>
      </c>
      <c r="F20" s="244"/>
      <c r="G20" s="177" t="s">
        <v>343</v>
      </c>
    </row>
    <row r="21" spans="1:7" ht="18" customHeight="1" x14ac:dyDescent="0.15">
      <c r="A21" s="178"/>
      <c r="B21" s="175"/>
      <c r="C21" s="175" t="s">
        <v>344</v>
      </c>
      <c r="D21" s="175" t="s">
        <v>345</v>
      </c>
      <c r="E21" s="175" t="s">
        <v>344</v>
      </c>
      <c r="F21" s="175" t="s">
        <v>345</v>
      </c>
      <c r="G21" s="179"/>
    </row>
    <row r="22" spans="1:7" ht="18" customHeight="1" x14ac:dyDescent="0.15">
      <c r="A22" s="245" t="s">
        <v>346</v>
      </c>
      <c r="B22" s="246"/>
      <c r="C22" s="246"/>
      <c r="D22" s="246"/>
      <c r="E22" s="246"/>
      <c r="F22" s="246"/>
      <c r="G22" s="247"/>
    </row>
    <row r="23" spans="1:7" ht="18" customHeight="1" x14ac:dyDescent="0.15">
      <c r="A23" s="178" t="s">
        <v>347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348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349</v>
      </c>
      <c r="B25" s="175" t="s">
        <v>350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351</v>
      </c>
      <c r="B26" s="175" t="s">
        <v>350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5" t="s">
        <v>352</v>
      </c>
      <c r="B27" s="246"/>
      <c r="C27" s="246"/>
      <c r="D27" s="246"/>
      <c r="E27" s="246"/>
      <c r="F27" s="246"/>
      <c r="G27" s="247"/>
    </row>
    <row r="28" spans="1:7" ht="18" customHeight="1" x14ac:dyDescent="0.15">
      <c r="A28" s="178" t="s">
        <v>353</v>
      </c>
      <c r="B28" s="175" t="s">
        <v>354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355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5" t="s">
        <v>356</v>
      </c>
      <c r="B30" s="246"/>
      <c r="C30" s="246"/>
      <c r="D30" s="246"/>
      <c r="E30" s="246"/>
      <c r="F30" s="246"/>
      <c r="G30" s="247"/>
    </row>
    <row r="31" spans="1:7" ht="18" customHeight="1" x14ac:dyDescent="0.15">
      <c r="A31" s="178" t="s">
        <v>357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358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384</v>
      </c>
      <c r="B35" s="193"/>
      <c r="C35" s="193" t="s">
        <v>367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387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368</v>
      </c>
      <c r="C49" s="50" t="s">
        <v>369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371</v>
      </c>
      <c r="C60" s="14" t="s">
        <v>370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388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389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372</v>
      </c>
      <c r="C88" s="191" t="s">
        <v>390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391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392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393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394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385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392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395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386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396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393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373</v>
      </c>
      <c r="C133" s="192" t="s">
        <v>397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375</v>
      </c>
      <c r="C143" s="2" t="s">
        <v>374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377</v>
      </c>
      <c r="C153" s="2" t="s">
        <v>376</v>
      </c>
    </row>
    <row r="154" spans="1:7" x14ac:dyDescent="0.15">
      <c r="A154" s="225" t="s">
        <v>12</v>
      </c>
      <c r="B154" s="226" t="s">
        <v>398</v>
      </c>
      <c r="C154" s="226" t="s">
        <v>279</v>
      </c>
      <c r="D154" s="226" t="s">
        <v>399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381</v>
      </c>
      <c r="C158" s="2" t="s">
        <v>378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382</v>
      </c>
      <c r="C166" s="2" t="s">
        <v>379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383</v>
      </c>
      <c r="B178" s="14"/>
      <c r="C178" s="14" t="s">
        <v>380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298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296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3"/>
  <sheetViews>
    <sheetView tabSelected="1" topLeftCell="A181" zoomScale="85" zoomScaleNormal="85" workbookViewId="0">
      <selection activeCell="O194" sqref="O194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302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303</v>
      </c>
    </row>
    <row r="3" spans="1:13" ht="20.100000000000001" customHeight="1" x14ac:dyDescent="0.15">
      <c r="C3" s="10"/>
      <c r="M3" s="140" t="s">
        <v>304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307</v>
      </c>
      <c r="H4" s="14" t="s">
        <v>68</v>
      </c>
      <c r="I4" s="14" t="s">
        <v>201</v>
      </c>
      <c r="J4" s="14" t="s">
        <v>202</v>
      </c>
      <c r="K4" s="14" t="s">
        <v>301</v>
      </c>
      <c r="M4" s="142" t="s">
        <v>305</v>
      </c>
    </row>
    <row r="5" spans="1:13" ht="20.100000000000001" customHeight="1" x14ac:dyDescent="0.15">
      <c r="A5" s="241" t="s">
        <v>408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306</v>
      </c>
    </row>
    <row r="6" spans="1:13" ht="20.100000000000001" customHeight="1" x14ac:dyDescent="0.15"/>
    <row r="7" spans="1:13" ht="20.100000000000001" customHeight="1" x14ac:dyDescent="0.15">
      <c r="A7" s="2" t="s">
        <v>308</v>
      </c>
      <c r="B7" s="2" t="s">
        <v>309</v>
      </c>
      <c r="C7" s="2" t="s">
        <v>274</v>
      </c>
      <c r="D7" s="2" t="s">
        <v>275</v>
      </c>
      <c r="E7" s="2" t="s">
        <v>299</v>
      </c>
      <c r="F7" s="2" t="s">
        <v>300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323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310</v>
      </c>
      <c r="B12" s="166" t="s">
        <v>311</v>
      </c>
      <c r="C12" s="166" t="s">
        <v>312</v>
      </c>
      <c r="D12" s="166" t="s">
        <v>313</v>
      </c>
      <c r="E12" s="166" t="s">
        <v>314</v>
      </c>
      <c r="F12" s="166" t="s">
        <v>315</v>
      </c>
      <c r="G12" s="167" t="s">
        <v>316</v>
      </c>
    </row>
    <row r="13" spans="1:13" ht="20.100000000000001" customHeight="1" x14ac:dyDescent="0.15">
      <c r="A13" s="168" t="s">
        <v>317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318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319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320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321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322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324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325</v>
      </c>
      <c r="B22" s="160" t="s">
        <v>326</v>
      </c>
      <c r="C22" s="160" t="s">
        <v>327</v>
      </c>
      <c r="D22" s="161" t="s">
        <v>340</v>
      </c>
      <c r="E22" s="160" t="s">
        <v>328</v>
      </c>
      <c r="F22" s="160" t="s">
        <v>329</v>
      </c>
      <c r="G22" s="160" t="s">
        <v>330</v>
      </c>
      <c r="H22" s="160" t="s">
        <v>331</v>
      </c>
      <c r="I22" s="160" t="s">
        <v>332</v>
      </c>
      <c r="J22" s="160" t="s">
        <v>333</v>
      </c>
      <c r="K22" s="160" t="s">
        <v>334</v>
      </c>
      <c r="L22" s="162" t="s">
        <v>335</v>
      </c>
    </row>
    <row r="23" spans="1:12" ht="20.100000000000001" customHeight="1" x14ac:dyDescent="0.15">
      <c r="A23" s="163">
        <v>1</v>
      </c>
      <c r="B23" s="151" t="s">
        <v>336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337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338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339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341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342</v>
      </c>
      <c r="B30" s="157" t="s">
        <v>1</v>
      </c>
      <c r="C30" s="248" t="s">
        <v>317</v>
      </c>
      <c r="D30" s="250"/>
      <c r="E30" s="248" t="s">
        <v>318</v>
      </c>
      <c r="F30" s="250"/>
      <c r="G30" s="157" t="s">
        <v>343</v>
      </c>
    </row>
    <row r="31" spans="1:12" ht="20.100000000000001" customHeight="1" x14ac:dyDescent="0.15">
      <c r="A31" s="157"/>
      <c r="B31" s="157"/>
      <c r="C31" s="157" t="s">
        <v>344</v>
      </c>
      <c r="D31" s="157" t="s">
        <v>345</v>
      </c>
      <c r="E31" s="157" t="s">
        <v>344</v>
      </c>
      <c r="F31" s="157" t="s">
        <v>345</v>
      </c>
      <c r="G31" s="157"/>
    </row>
    <row r="32" spans="1:12" ht="20.100000000000001" customHeight="1" x14ac:dyDescent="0.15">
      <c r="A32" s="248" t="s">
        <v>346</v>
      </c>
      <c r="B32" s="249"/>
      <c r="C32" s="249"/>
      <c r="D32" s="249"/>
      <c r="E32" s="249"/>
      <c r="F32" s="249"/>
      <c r="G32" s="250"/>
    </row>
    <row r="33" spans="1:7" ht="20.100000000000001" customHeight="1" x14ac:dyDescent="0.15">
      <c r="A33" s="157" t="s">
        <v>347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348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349</v>
      </c>
      <c r="B35" s="157" t="s">
        <v>350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351</v>
      </c>
      <c r="B36" s="157" t="s">
        <v>350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8" t="s">
        <v>352</v>
      </c>
      <c r="B37" s="249"/>
      <c r="C37" s="249"/>
      <c r="D37" s="249"/>
      <c r="E37" s="249"/>
      <c r="F37" s="249"/>
      <c r="G37" s="250"/>
    </row>
    <row r="38" spans="1:7" ht="20.100000000000001" customHeight="1" x14ac:dyDescent="0.15">
      <c r="A38" s="157" t="s">
        <v>353</v>
      </c>
      <c r="B38" s="157" t="s">
        <v>354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355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8" t="s">
        <v>356</v>
      </c>
      <c r="B40" s="249"/>
      <c r="C40" s="249"/>
      <c r="D40" s="249"/>
      <c r="E40" s="249"/>
      <c r="F40" s="249"/>
      <c r="G40" s="250"/>
    </row>
    <row r="41" spans="1:7" ht="20.100000000000001" customHeight="1" x14ac:dyDescent="0.15">
      <c r="A41" s="157" t="s">
        <v>357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358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359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360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401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400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>D115*$E$110</f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402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403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404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405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405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406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406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0" t="s">
        <v>407</v>
      </c>
      <c r="C161" s="119">
        <f>SUM(C156:C160)</f>
        <v>354914.7066608413</v>
      </c>
      <c r="D161" s="119">
        <f>SUM(D156:D160)</f>
        <v>101731.11605807937</v>
      </c>
      <c r="E161" s="120">
        <f t="shared" ref="E161" si="19">C161-D161</f>
        <v>253183.59060276195</v>
      </c>
      <c r="L161" s="118">
        <v>6</v>
      </c>
      <c r="M161" s="240" t="s">
        <v>407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  <c r="L170" s="121" t="s">
        <v>12</v>
      </c>
      <c r="M170" s="58" t="s">
        <v>0</v>
      </c>
      <c r="N170" s="107" t="s">
        <v>257</v>
      </c>
      <c r="O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  <c r="L171" s="25">
        <v>1</v>
      </c>
      <c r="M171" s="122" t="s">
        <v>255</v>
      </c>
      <c r="N171" s="123" t="str">
        <f>"{{"&amp;M171&amp;"_永久用地面积}}"</f>
        <v>{{风电机组基础_永久用地面积}}</v>
      </c>
      <c r="O171" s="27"/>
    </row>
    <row r="172" spans="1:18" ht="20.100000000000001" customHeight="1" x14ac:dyDescent="0.15">
      <c r="A172" s="25">
        <v>2</v>
      </c>
      <c r="B172" s="122" t="s">
        <v>70</v>
      </c>
      <c r="C172" s="123">
        <f>VLOOKUP($C$2,风机基础数据!$A$98:$P$105,15)</f>
        <v>27</v>
      </c>
      <c r="D172" s="27"/>
      <c r="L172" s="25">
        <v>2</v>
      </c>
      <c r="M172" s="122" t="s">
        <v>70</v>
      </c>
      <c r="N172" s="123" t="str">
        <f t="shared" ref="N172:N173" si="21">"{{"&amp;M172&amp;"_永久用地面积}}"</f>
        <v>{{箱变基础_永久用地面积}}</v>
      </c>
      <c r="O172" s="27"/>
    </row>
    <row r="173" spans="1:18" ht="20.100000000000001" customHeight="1" x14ac:dyDescent="0.15">
      <c r="A173" s="25">
        <v>3</v>
      </c>
      <c r="B173" s="122" t="s">
        <v>409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  <c r="L173" s="25">
        <v>3</v>
      </c>
      <c r="M173" s="122" t="s">
        <v>409</v>
      </c>
      <c r="N173" s="123" t="str">
        <f t="shared" si="21"/>
        <v>{{变电站_永久用地面积}}</v>
      </c>
      <c r="O173" s="124" t="s">
        <v>256</v>
      </c>
    </row>
    <row r="174" spans="1:18" ht="20.100000000000001" customHeight="1" thickBot="1" x14ac:dyDescent="0.2">
      <c r="A174" s="106">
        <v>4</v>
      </c>
      <c r="B174" s="242" t="s">
        <v>410</v>
      </c>
      <c r="C174" s="125">
        <f>SUM(C171:C173)</f>
        <v>12662.576578167776</v>
      </c>
      <c r="D174" s="126">
        <f>C174/666.667</f>
        <v>18.993855370323978</v>
      </c>
      <c r="L174" s="106">
        <v>4</v>
      </c>
      <c r="M174" s="242" t="s">
        <v>410</v>
      </c>
      <c r="N174" s="123" t="str">
        <f>"{{"&amp;M174&amp;"_永久用地面积}}"</f>
        <v>{{合计_永久用地面积}}</v>
      </c>
      <c r="O174" s="126" t="s">
        <v>411</v>
      </c>
    </row>
    <row r="175" spans="1:18" ht="20.100000000000001" customHeight="1" x14ac:dyDescent="0.15"/>
    <row r="176" spans="1:18" ht="20.100000000000001" customHeight="1" thickBot="1" x14ac:dyDescent="0.2"/>
    <row r="177" spans="1:16" ht="20.100000000000001" customHeight="1" thickBot="1" x14ac:dyDescent="0.2">
      <c r="A177" s="2" t="s">
        <v>265</v>
      </c>
      <c r="L177" s="105" t="s">
        <v>85</v>
      </c>
      <c r="M177" s="58" t="s">
        <v>0</v>
      </c>
      <c r="N177" s="107" t="s">
        <v>252</v>
      </c>
      <c r="O177" s="61" t="s">
        <v>3</v>
      </c>
    </row>
    <row r="178" spans="1:16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  <c r="L178" s="25">
        <v>1</v>
      </c>
      <c r="M178" s="122" t="s">
        <v>412</v>
      </c>
      <c r="N178" s="108" t="str">
        <f>"{{"&amp;M178&amp;"_临时用地面积}}"</f>
        <v>{{施工辅企_临时用地面积}}</v>
      </c>
      <c r="O178" s="27"/>
    </row>
    <row r="179" spans="1:16" ht="20.100000000000001" customHeight="1" x14ac:dyDescent="0.15">
      <c r="A179" s="25">
        <v>1</v>
      </c>
      <c r="B179" s="122" t="s">
        <v>412</v>
      </c>
      <c r="C179" s="108">
        <f>D151</f>
        <v>10500</v>
      </c>
      <c r="D179" s="27"/>
      <c r="L179" s="25">
        <v>2</v>
      </c>
      <c r="M179" s="122" t="s">
        <v>413</v>
      </c>
      <c r="N179" s="108" t="str">
        <f t="shared" ref="N179:N185" si="22">"{{"&amp;M179&amp;"_临时用地面积}}"</f>
        <v>{{风电机组安装平台_临时用地面积}}</v>
      </c>
      <c r="O179" s="27"/>
    </row>
    <row r="180" spans="1:16" ht="20.100000000000001" customHeight="1" x14ac:dyDescent="0.15">
      <c r="A180" s="25">
        <v>2</v>
      </c>
      <c r="B180" s="122" t="s">
        <v>413</v>
      </c>
      <c r="C180" s="127">
        <f>D2*D136-C171-C172</f>
        <v>26642.936421832223</v>
      </c>
      <c r="D180" s="27"/>
      <c r="L180" s="25">
        <v>3</v>
      </c>
      <c r="M180" s="122" t="s">
        <v>414</v>
      </c>
      <c r="N180" s="108" t="str">
        <f t="shared" si="22"/>
        <v>{{施工道路_临时用地面积}}</v>
      </c>
      <c r="O180" s="27"/>
    </row>
    <row r="181" spans="1:16" ht="20.100000000000001" customHeight="1" x14ac:dyDescent="0.15">
      <c r="A181" s="25">
        <v>3</v>
      </c>
      <c r="B181" s="122" t="s">
        <v>414</v>
      </c>
      <c r="C181" s="108">
        <f>E101*2.5*1000+E122*(VLOOKUP($A$5,道路基础数据!$A$16:$AJ$23,36))</f>
        <v>132500</v>
      </c>
      <c r="D181" s="27"/>
      <c r="L181" s="25">
        <v>4</v>
      </c>
      <c r="M181" s="122" t="s">
        <v>415</v>
      </c>
      <c r="N181" s="108" t="str">
        <f t="shared" si="22"/>
        <v>{{弃渣场_临时用地面积}}</v>
      </c>
      <c r="O181" s="27"/>
    </row>
    <row r="182" spans="1:16" ht="20.100000000000001" customHeight="1" x14ac:dyDescent="0.15">
      <c r="A182" s="25">
        <v>4</v>
      </c>
      <c r="B182" s="122" t="s">
        <v>415</v>
      </c>
      <c r="C182" s="108">
        <f>(INT(E161/100000)+1)*10000</f>
        <v>30000</v>
      </c>
      <c r="D182" s="27"/>
      <c r="L182" s="25">
        <v>5</v>
      </c>
      <c r="M182" s="122" t="s">
        <v>416</v>
      </c>
      <c r="N182" s="108" t="str">
        <f t="shared" si="22"/>
        <v>{{进场道路_临时用地面积}}</v>
      </c>
      <c r="O182" s="27"/>
    </row>
    <row r="183" spans="1:16" ht="20.100000000000001" customHeight="1" x14ac:dyDescent="0.15">
      <c r="A183" s="25">
        <v>5</v>
      </c>
      <c r="B183" s="122" t="s">
        <v>416</v>
      </c>
      <c r="C183" s="108">
        <f>E110*(VLOOKUP($A$5,道路基础数据!$A$16:$AJ$23,36))</f>
        <v>18000</v>
      </c>
      <c r="D183" s="27"/>
      <c r="L183" s="25">
        <v>6</v>
      </c>
      <c r="M183" s="122" t="s">
        <v>273</v>
      </c>
      <c r="N183" s="108" t="str">
        <f t="shared" si="22"/>
        <v>{{架空线路_临时用地面积}}</v>
      </c>
      <c r="O183" s="27"/>
    </row>
    <row r="184" spans="1:16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  <c r="L184" s="25">
        <v>7</v>
      </c>
      <c r="M184" s="122" t="s">
        <v>417</v>
      </c>
      <c r="N184" s="108" t="str">
        <f t="shared" si="22"/>
        <v>{{电缆沟_临时用地面积}}</v>
      </c>
      <c r="O184" s="27"/>
    </row>
    <row r="185" spans="1:16" ht="20.100000000000001" customHeight="1" thickBot="1" x14ac:dyDescent="0.2">
      <c r="A185" s="25">
        <v>7</v>
      </c>
      <c r="B185" s="122" t="s">
        <v>417</v>
      </c>
      <c r="C185" s="108">
        <f>D8</f>
        <v>3000</v>
      </c>
      <c r="D185" s="27"/>
      <c r="L185" s="106">
        <v>8</v>
      </c>
      <c r="M185" s="242" t="s">
        <v>418</v>
      </c>
      <c r="N185" s="108" t="str">
        <f t="shared" si="22"/>
        <v>{{合计_临时用地面积}}</v>
      </c>
      <c r="O185" s="126" t="s">
        <v>419</v>
      </c>
    </row>
    <row r="186" spans="1:16" ht="20.100000000000001" customHeight="1" thickBot="1" x14ac:dyDescent="0.2">
      <c r="A186" s="106">
        <v>8</v>
      </c>
      <c r="B186" s="242" t="s">
        <v>418</v>
      </c>
      <c r="C186" s="128">
        <f>SUM(C179:C185)</f>
        <v>222142.93642183222</v>
      </c>
      <c r="D186" s="126">
        <f>C186/666.667</f>
        <v>333.2142380256293</v>
      </c>
    </row>
    <row r="187" spans="1:16" ht="20.100000000000001" customHeight="1" x14ac:dyDescent="0.15"/>
    <row r="188" spans="1:16" ht="20.100000000000001" customHeight="1" thickBot="1" x14ac:dyDescent="0.2"/>
    <row r="189" spans="1:16" ht="20.100000000000001" customHeight="1" thickBot="1" x14ac:dyDescent="0.2">
      <c r="A189" s="14" t="s">
        <v>285</v>
      </c>
      <c r="B189" s="24"/>
      <c r="C189" s="24"/>
      <c r="D189" s="24"/>
      <c r="E189" s="24"/>
      <c r="L189" s="121" t="s">
        <v>12</v>
      </c>
      <c r="M189" s="58" t="s">
        <v>0</v>
      </c>
      <c r="N189" s="58" t="s">
        <v>1</v>
      </c>
      <c r="O189" s="107" t="s">
        <v>286</v>
      </c>
      <c r="P189" s="61" t="s">
        <v>3</v>
      </c>
    </row>
    <row r="190" spans="1:16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  <c r="L190" s="25">
        <v>1</v>
      </c>
      <c r="M190" s="122" t="s">
        <v>423</v>
      </c>
      <c r="N190" s="26" t="s">
        <v>288</v>
      </c>
      <c r="O190" s="108" t="str">
        <f>"{{"&amp;M190&amp;"_主要施工工程量}}"</f>
        <v>{{风机机组_主要施工工程量}}</v>
      </c>
      <c r="P190" s="27"/>
    </row>
    <row r="191" spans="1:16" ht="20.100000000000001" customHeight="1" x14ac:dyDescent="0.15">
      <c r="A191" s="25">
        <v>1</v>
      </c>
      <c r="B191" s="122" t="s">
        <v>423</v>
      </c>
      <c r="C191" s="26" t="s">
        <v>288</v>
      </c>
      <c r="D191" s="108">
        <f>D2</f>
        <v>15</v>
      </c>
      <c r="E191" s="27"/>
      <c r="L191" s="25">
        <v>2</v>
      </c>
      <c r="M191" s="122" t="s">
        <v>420</v>
      </c>
      <c r="N191" s="26" t="s">
        <v>290</v>
      </c>
      <c r="O191" s="108" t="str">
        <f t="shared" ref="O191:O199" si="23">"{{"&amp;M191&amp;"_主要施工工程量}}"</f>
        <v>{{建筑面积_主要施工工程量}}</v>
      </c>
      <c r="P191" s="27"/>
    </row>
    <row r="192" spans="1:16" ht="20.100000000000001" customHeight="1" x14ac:dyDescent="0.15">
      <c r="A192" s="25">
        <v>2</v>
      </c>
      <c r="B192" s="122" t="s">
        <v>420</v>
      </c>
      <c r="C192" s="26" t="s">
        <v>290</v>
      </c>
      <c r="D192" s="123">
        <f>D83+D84+D85</f>
        <v>2197.2399999999998</v>
      </c>
      <c r="E192" s="27"/>
      <c r="L192" s="25">
        <v>3</v>
      </c>
      <c r="M192" s="122" t="s">
        <v>424</v>
      </c>
      <c r="N192" s="26" t="s">
        <v>288</v>
      </c>
      <c r="O192" s="108" t="str">
        <f t="shared" si="23"/>
        <v>{{主变压器_主要施工工程量}}</v>
      </c>
      <c r="P192" s="27"/>
    </row>
    <row r="193" spans="1:16" ht="20.100000000000001" customHeight="1" x14ac:dyDescent="0.15">
      <c r="A193" s="25">
        <v>3</v>
      </c>
      <c r="B193" s="122" t="s">
        <v>424</v>
      </c>
      <c r="C193" s="26" t="s">
        <v>288</v>
      </c>
      <c r="D193" s="108">
        <f>K5</f>
        <v>2</v>
      </c>
      <c r="E193" s="27"/>
      <c r="L193" s="25">
        <v>4</v>
      </c>
      <c r="M193" s="122" t="s">
        <v>273</v>
      </c>
      <c r="N193" s="122" t="s">
        <v>298</v>
      </c>
      <c r="O193" s="108" t="str">
        <f t="shared" si="23"/>
        <v>{{架空线路_主要施工工程量}}</v>
      </c>
      <c r="P193" s="27"/>
    </row>
    <row r="194" spans="1:16" ht="20.100000000000001" customHeight="1" x14ac:dyDescent="0.15">
      <c r="A194" s="25">
        <v>4</v>
      </c>
      <c r="B194" s="122" t="s">
        <v>273</v>
      </c>
      <c r="C194" s="122" t="s">
        <v>298</v>
      </c>
      <c r="D194" s="108">
        <f>E8</f>
        <v>20</v>
      </c>
      <c r="E194" s="27"/>
      <c r="L194" s="25">
        <v>5</v>
      </c>
      <c r="M194" s="122" t="s">
        <v>296</v>
      </c>
      <c r="N194" s="122" t="s">
        <v>98</v>
      </c>
      <c r="O194" s="108" t="str">
        <f t="shared" si="23"/>
        <v>{{直埋电缆_主要施工工程量}}</v>
      </c>
      <c r="P194" s="27"/>
    </row>
    <row r="195" spans="1:16" ht="20.100000000000001" customHeight="1" x14ac:dyDescent="0.15">
      <c r="A195" s="25">
        <v>5</v>
      </c>
      <c r="B195" s="122" t="s">
        <v>296</v>
      </c>
      <c r="C195" s="122" t="s">
        <v>297</v>
      </c>
      <c r="D195" s="108">
        <f>F8</f>
        <v>2</v>
      </c>
      <c r="E195" s="27"/>
      <c r="L195" s="25">
        <v>6</v>
      </c>
      <c r="M195" s="122" t="s">
        <v>421</v>
      </c>
      <c r="N195" s="26" t="s">
        <v>293</v>
      </c>
      <c r="O195" s="108" t="str">
        <f t="shared" si="23"/>
        <v>{{土石方开挖_主要施工工程量}}</v>
      </c>
      <c r="P195" s="27"/>
    </row>
    <row r="196" spans="1:16" ht="20.100000000000001" customHeight="1" x14ac:dyDescent="0.15">
      <c r="A196" s="25">
        <v>6</v>
      </c>
      <c r="B196" s="122" t="s">
        <v>421</v>
      </c>
      <c r="C196" s="26" t="s">
        <v>293</v>
      </c>
      <c r="D196" s="135">
        <f>C161/10000</f>
        <v>35.491470666084133</v>
      </c>
      <c r="E196" s="27"/>
      <c r="L196" s="25">
        <v>7</v>
      </c>
      <c r="M196" s="122" t="s">
        <v>425</v>
      </c>
      <c r="N196" s="26" t="s">
        <v>293</v>
      </c>
      <c r="O196" s="108" t="str">
        <f t="shared" si="23"/>
        <v>{{土石方回填_主要施工工程量}}</v>
      </c>
      <c r="P196" s="27"/>
    </row>
    <row r="197" spans="1:16" ht="20.100000000000001" customHeight="1" x14ac:dyDescent="0.15">
      <c r="A197" s="25">
        <v>7</v>
      </c>
      <c r="B197" s="122" t="s">
        <v>425</v>
      </c>
      <c r="C197" s="26" t="s">
        <v>293</v>
      </c>
      <c r="D197" s="135">
        <f>D161/10000</f>
        <v>10.173111605807936</v>
      </c>
      <c r="E197" s="27"/>
      <c r="L197" s="25">
        <v>8</v>
      </c>
      <c r="M197" s="122" t="s">
        <v>426</v>
      </c>
      <c r="N197" s="26" t="s">
        <v>293</v>
      </c>
      <c r="O197" s="108" t="str">
        <f t="shared" si="23"/>
        <v>{{混凝土_主要施工工程量}}</v>
      </c>
      <c r="P197" s="27"/>
    </row>
    <row r="198" spans="1:16" ht="20.100000000000001" customHeight="1" x14ac:dyDescent="0.15">
      <c r="A198" s="25">
        <v>8</v>
      </c>
      <c r="B198" s="122" t="s">
        <v>426</v>
      </c>
      <c r="C198" s="26" t="s">
        <v>293</v>
      </c>
      <c r="D198" s="135">
        <f>(E50+E51+E57+E65+E66+D87+D88+D90+D91+D93+E115*0.2+E127*0.2)/10000</f>
        <v>1.2135933102761951</v>
      </c>
      <c r="E198" s="27"/>
      <c r="L198" s="25">
        <v>9</v>
      </c>
      <c r="M198" s="122" t="s">
        <v>427</v>
      </c>
      <c r="N198" s="26" t="s">
        <v>10</v>
      </c>
      <c r="O198" s="108" t="str">
        <f t="shared" si="23"/>
        <v>{{钢筋_主要施工工程量}}</v>
      </c>
      <c r="P198" s="27"/>
    </row>
    <row r="199" spans="1:16" ht="20.100000000000001" customHeight="1" thickBot="1" x14ac:dyDescent="0.2">
      <c r="A199" s="25">
        <v>9</v>
      </c>
      <c r="B199" s="122" t="s">
        <v>427</v>
      </c>
      <c r="C199" s="26" t="s">
        <v>10</v>
      </c>
      <c r="D199" s="135">
        <f>E52+E68+D89+D92+D96</f>
        <v>919.21037699350632</v>
      </c>
      <c r="E199" s="27"/>
      <c r="L199" s="106">
        <v>10</v>
      </c>
      <c r="M199" s="242" t="s">
        <v>422</v>
      </c>
      <c r="N199" s="29" t="s">
        <v>293</v>
      </c>
      <c r="O199" s="108" t="str">
        <f t="shared" si="23"/>
        <v>{{浆砌石_主要施工工程量}}</v>
      </c>
      <c r="P199" s="30"/>
    </row>
    <row r="200" spans="1:16" ht="20.100000000000001" customHeight="1" thickBot="1" x14ac:dyDescent="0.2">
      <c r="A200" s="106">
        <v>10</v>
      </c>
      <c r="B200" s="242" t="s">
        <v>422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16" ht="20.100000000000001" customHeight="1" x14ac:dyDescent="0.15"/>
    <row r="202" spans="1:16" ht="20.100000000000001" customHeight="1" x14ac:dyDescent="0.15"/>
    <row r="203" spans="1:16" ht="20.100000000000001" customHeight="1" x14ac:dyDescent="0.15"/>
    <row r="204" spans="1:16" ht="20.100000000000001" customHeight="1" x14ac:dyDescent="0.15"/>
    <row r="205" spans="1:16" ht="20.100000000000001" customHeight="1" x14ac:dyDescent="0.15"/>
    <row r="206" spans="1:16" ht="20.100000000000001" customHeight="1" x14ac:dyDescent="0.15"/>
    <row r="207" spans="1:16" ht="20.100000000000001" customHeight="1" x14ac:dyDescent="0.15"/>
    <row r="208" spans="1:16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76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12" sqref="A12:B12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2019-03-15T08:53:22Z</dcterms:modified>
</cp:coreProperties>
</file>