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Odoo_addons_NB\autocrword\models\chapter_8\"/>
    </mc:Choice>
  </mc:AlternateContent>
  <xr:revisionPtr revIDLastSave="0" documentId="13_ncr:1_{EDB7CD3B-10A6-401C-950E-612AE523D58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成果输出" sheetId="1" r:id="rId1"/>
    <sheet name="条件输入" sheetId="2" r:id="rId2"/>
    <sheet name="风机基础数据" sheetId="3" r:id="rId3"/>
    <sheet name="升压站基础数据" sheetId="5" r:id="rId4"/>
    <sheet name="道路基础数据" sheetId="4" r:id="rId5"/>
  </sheets>
  <definedNames>
    <definedName name="_Hlk267228604" localSheetId="0">成果输出!$B$37</definedName>
    <definedName name="_Hlk336504501" localSheetId="0">成果输出!#REF!</definedName>
    <definedName name="_Toc294106962" localSheetId="0">成果输出!#REF!</definedName>
    <definedName name="OLE_LINK5" localSheetId="0">成果输出!#REF!</definedName>
  </definedNames>
  <calcPr calcId="181029"/>
</workbook>
</file>

<file path=xl/calcChain.xml><?xml version="1.0" encoding="utf-8"?>
<calcChain xmlns="http://schemas.openxmlformats.org/spreadsheetml/2006/main">
  <c r="D198" i="2" l="1"/>
  <c r="N166" i="2"/>
  <c r="O166" i="2"/>
  <c r="P166" i="2"/>
  <c r="Q166" i="2"/>
  <c r="R166" i="2"/>
  <c r="M166" i="2"/>
  <c r="G166" i="2"/>
  <c r="F166" i="2"/>
  <c r="E166" i="2"/>
  <c r="D166" i="2"/>
  <c r="B166" i="2"/>
  <c r="C166" i="2"/>
  <c r="C171" i="2" a="1"/>
  <c r="C171" i="2" s="1"/>
  <c r="C159" i="2"/>
  <c r="C160" i="2"/>
  <c r="D76" i="2" a="1"/>
  <c r="D76" i="2" s="1"/>
  <c r="G15" i="5"/>
  <c r="I15" i="5" s="1"/>
  <c r="P157" i="2"/>
  <c r="P158" i="2"/>
  <c r="P159" i="2"/>
  <c r="P160" i="2"/>
  <c r="P161" i="2"/>
  <c r="P156" i="2"/>
  <c r="O161" i="2"/>
  <c r="O157" i="2"/>
  <c r="O158" i="2"/>
  <c r="O159" i="2"/>
  <c r="O160" i="2"/>
  <c r="O156" i="2"/>
  <c r="N157" i="2"/>
  <c r="N158" i="2"/>
  <c r="N159" i="2"/>
  <c r="N160" i="2"/>
  <c r="N161" i="2"/>
  <c r="N156" i="2"/>
  <c r="N151" i="2"/>
  <c r="E160" i="2"/>
  <c r="D194" i="2" l="1"/>
  <c r="D193" i="2"/>
  <c r="D192" i="2"/>
  <c r="C181" i="2"/>
  <c r="C179" i="2"/>
  <c r="D160" i="2"/>
  <c r="E156" i="2"/>
  <c r="D156" i="2"/>
  <c r="C156" i="2" l="1"/>
  <c r="D52" i="2" l="1"/>
  <c r="D50" i="2" a="1"/>
  <c r="D50" i="2" s="1"/>
  <c r="O147" i="2"/>
  <c r="O148" i="2"/>
  <c r="O149" i="2"/>
  <c r="O150" i="2"/>
  <c r="O151" i="2"/>
  <c r="O146" i="2"/>
  <c r="N147" i="2"/>
  <c r="N148" i="2"/>
  <c r="N149" i="2"/>
  <c r="N150" i="2"/>
  <c r="N146" i="2"/>
  <c r="C146" i="2"/>
  <c r="D146" i="2"/>
  <c r="P137" i="2" l="1"/>
  <c r="P138" i="2"/>
  <c r="P139" i="2"/>
  <c r="P140" i="2"/>
  <c r="P141" i="2"/>
  <c r="P136" i="2"/>
  <c r="O137" i="2"/>
  <c r="O138" i="2"/>
  <c r="O139" i="2"/>
  <c r="O140" i="2"/>
  <c r="O141" i="2"/>
  <c r="O136" i="2"/>
  <c r="P124" i="2"/>
  <c r="P125" i="2"/>
  <c r="P126" i="2"/>
  <c r="P127" i="2"/>
  <c r="P128" i="2"/>
  <c r="P129" i="2"/>
  <c r="P130" i="2"/>
  <c r="P131" i="2"/>
  <c r="P132" i="2"/>
  <c r="P133" i="2"/>
  <c r="P134" i="2"/>
  <c r="P123" i="2"/>
  <c r="O124" i="2"/>
  <c r="O125" i="2"/>
  <c r="O126" i="2"/>
  <c r="O127" i="2"/>
  <c r="O128" i="2"/>
  <c r="O129" i="2"/>
  <c r="O130" i="2"/>
  <c r="O131" i="2"/>
  <c r="O132" i="2"/>
  <c r="O133" i="2"/>
  <c r="O134" i="2"/>
  <c r="O123" i="2"/>
  <c r="O112" i="2"/>
  <c r="O113" i="2"/>
  <c r="O114" i="2"/>
  <c r="O115" i="2"/>
  <c r="O116" i="2"/>
  <c r="O117" i="2"/>
  <c r="O118" i="2"/>
  <c r="O119" i="2"/>
  <c r="O120" i="2"/>
  <c r="O121" i="2"/>
  <c r="O111" i="2"/>
  <c r="P112" i="2"/>
  <c r="P113" i="2"/>
  <c r="P114" i="2"/>
  <c r="P115" i="2"/>
  <c r="P116" i="2"/>
  <c r="P117" i="2"/>
  <c r="P118" i="2"/>
  <c r="P119" i="2"/>
  <c r="P120" i="2"/>
  <c r="P121" i="2"/>
  <c r="P111" i="2"/>
  <c r="P103" i="2"/>
  <c r="P104" i="2"/>
  <c r="P105" i="2"/>
  <c r="P106" i="2"/>
  <c r="P107" i="2"/>
  <c r="P108" i="2"/>
  <c r="P109" i="2"/>
  <c r="P102" i="2"/>
  <c r="O103" i="2"/>
  <c r="O104" i="2"/>
  <c r="O105" i="2"/>
  <c r="O106" i="2"/>
  <c r="O107" i="2"/>
  <c r="O108" i="2"/>
  <c r="O109" i="2"/>
  <c r="O102" i="2"/>
  <c r="U17" i="3" l="1"/>
  <c r="Q17" i="3"/>
  <c r="P17" i="3"/>
  <c r="O17" i="3"/>
  <c r="D30" i="4"/>
  <c r="L15" i="5"/>
  <c r="K15" i="5"/>
  <c r="F15" i="5"/>
  <c r="D147" i="2"/>
  <c r="M21" i="4"/>
  <c r="F29" i="4"/>
  <c r="J16" i="4"/>
  <c r="H16" i="4"/>
  <c r="F16" i="4"/>
  <c r="D87" i="2" a="1"/>
  <c r="D87" i="2" s="1"/>
  <c r="L16" i="5"/>
  <c r="M15" i="5"/>
  <c r="J15" i="5"/>
  <c r="H15" i="5"/>
  <c r="D73" i="2" a="1"/>
  <c r="D73" i="2" s="1"/>
  <c r="R18" i="3"/>
  <c r="T18" i="3" s="1"/>
  <c r="H99" i="3"/>
  <c r="O98" i="3"/>
  <c r="N98" i="3"/>
  <c r="M98" i="3"/>
  <c r="L98" i="3"/>
  <c r="K98" i="3"/>
  <c r="J98" i="3"/>
  <c r="I98" i="3"/>
  <c r="H98" i="3"/>
  <c r="U18" i="3"/>
  <c r="S18" i="3"/>
  <c r="Q18" i="3"/>
  <c r="P18" i="3"/>
  <c r="O18" i="3"/>
  <c r="S83" i="3"/>
  <c r="Q26" i="3"/>
  <c r="D62" i="2"/>
  <c r="E46" i="2"/>
  <c r="U21" i="3"/>
  <c r="C16" i="4"/>
  <c r="G16" i="5"/>
  <c r="F16" i="5"/>
  <c r="D179" i="1" l="1"/>
  <c r="C167" i="1"/>
  <c r="C159" i="1"/>
  <c r="D144" i="1"/>
  <c r="E144" i="1"/>
  <c r="C144" i="1"/>
  <c r="D134" i="1"/>
  <c r="C134" i="1"/>
  <c r="D90" i="1"/>
  <c r="D99" i="1"/>
  <c r="D111" i="1"/>
  <c r="D124" i="1"/>
  <c r="E89" i="1"/>
  <c r="D89" i="1"/>
  <c r="D75" i="1"/>
  <c r="D61" i="1"/>
  <c r="D50" i="1"/>
  <c r="D36" i="1"/>
  <c r="F32" i="1"/>
  <c r="E32" i="1"/>
  <c r="D32" i="1"/>
  <c r="C32" i="1"/>
  <c r="F31" i="1"/>
  <c r="E31" i="1"/>
  <c r="D31" i="1"/>
  <c r="C31" i="1"/>
  <c r="F29" i="1"/>
  <c r="E29" i="1"/>
  <c r="D29" i="1"/>
  <c r="C29" i="1"/>
  <c r="F28" i="1"/>
  <c r="E28" i="1"/>
  <c r="D28" i="1"/>
  <c r="C28" i="1"/>
  <c r="C26" i="1"/>
  <c r="D26" i="1"/>
  <c r="E26" i="1"/>
  <c r="F26" i="1"/>
  <c r="F25" i="1"/>
  <c r="E25" i="1"/>
  <c r="D25" i="1"/>
  <c r="C25" i="1"/>
  <c r="D23" i="1"/>
  <c r="E23" i="1"/>
  <c r="F23" i="1"/>
  <c r="C23" i="1"/>
  <c r="C14" i="1"/>
  <c r="D14" i="1"/>
  <c r="E14" i="1"/>
  <c r="F14" i="1"/>
  <c r="G14" i="1"/>
  <c r="H14" i="1"/>
  <c r="I14" i="1"/>
  <c r="J14" i="1"/>
  <c r="K14" i="1"/>
  <c r="L14" i="1"/>
  <c r="C15" i="1"/>
  <c r="D15" i="1"/>
  <c r="E15" i="1"/>
  <c r="F15" i="1"/>
  <c r="G15" i="1"/>
  <c r="H15" i="1"/>
  <c r="I15" i="1"/>
  <c r="J15" i="1"/>
  <c r="K15" i="1"/>
  <c r="L15" i="1"/>
  <c r="C16" i="1"/>
  <c r="D16" i="1"/>
  <c r="E16" i="1"/>
  <c r="F16" i="1"/>
  <c r="G16" i="1"/>
  <c r="H16" i="1"/>
  <c r="I16" i="1"/>
  <c r="J16" i="1"/>
  <c r="K16" i="1"/>
  <c r="L16" i="1"/>
  <c r="D13" i="1"/>
  <c r="E13" i="1"/>
  <c r="F13" i="1"/>
  <c r="G13" i="1"/>
  <c r="H13" i="1"/>
  <c r="I13" i="1"/>
  <c r="J13" i="1"/>
  <c r="K13" i="1"/>
  <c r="L13" i="1"/>
  <c r="C1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C3" i="1"/>
  <c r="D3" i="1"/>
  <c r="E3" i="1"/>
  <c r="F3" i="1"/>
  <c r="G3" i="1"/>
  <c r="B3" i="1"/>
  <c r="D36" i="4" l="1"/>
  <c r="D35" i="4"/>
  <c r="D34" i="4"/>
  <c r="D33" i="4"/>
  <c r="D32" i="4"/>
  <c r="D31" i="4"/>
  <c r="D29" i="4"/>
  <c r="X23" i="4"/>
  <c r="L23" i="4"/>
  <c r="C23" i="4"/>
  <c r="X22" i="4"/>
  <c r="L22" i="4"/>
  <c r="C22" i="4"/>
  <c r="X21" i="4"/>
  <c r="L21" i="4"/>
  <c r="C21" i="4"/>
  <c r="X20" i="4"/>
  <c r="L20" i="4"/>
  <c r="C20" i="4"/>
  <c r="X19" i="4"/>
  <c r="L19" i="4"/>
  <c r="C19" i="4"/>
  <c r="X18" i="4"/>
  <c r="L18" i="4"/>
  <c r="C18" i="4"/>
  <c r="X17" i="4"/>
  <c r="L17" i="4"/>
  <c r="C17" i="4"/>
  <c r="X16" i="4"/>
  <c r="L16" i="4"/>
  <c r="H100" i="3"/>
  <c r="H101" i="3"/>
  <c r="H102" i="3"/>
  <c r="H103" i="3"/>
  <c r="H104" i="3"/>
  <c r="H105" i="3"/>
  <c r="R24" i="3"/>
  <c r="R19" i="3"/>
  <c r="R20" i="3"/>
  <c r="R21" i="3"/>
  <c r="R22" i="3"/>
  <c r="R23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17" i="3"/>
  <c r="F5" i="2"/>
  <c r="E36" i="4" s="1"/>
  <c r="H2" i="2"/>
  <c r="S24" i="3" s="1"/>
  <c r="I101" i="3" l="1"/>
  <c r="S71" i="3"/>
  <c r="S58" i="3"/>
  <c r="S45" i="3"/>
  <c r="S32" i="3"/>
  <c r="I100" i="3"/>
  <c r="S70" i="3"/>
  <c r="S57" i="3"/>
  <c r="S44" i="3"/>
  <c r="S31" i="3"/>
  <c r="S17" i="3"/>
  <c r="S82" i="3"/>
  <c r="S69" i="3"/>
  <c r="S56" i="3"/>
  <c r="S43" i="3"/>
  <c r="I102" i="3"/>
  <c r="Y18" i="4"/>
  <c r="Y22" i="4"/>
  <c r="S77" i="3"/>
  <c r="S64" i="3"/>
  <c r="S51" i="3"/>
  <c r="S38" i="3"/>
  <c r="S25" i="3"/>
  <c r="D19" i="4"/>
  <c r="D23" i="4"/>
  <c r="M19" i="4"/>
  <c r="M23" i="4"/>
  <c r="S76" i="3"/>
  <c r="S63" i="3"/>
  <c r="S50" i="3"/>
  <c r="S37" i="3"/>
  <c r="S23" i="3"/>
  <c r="Y19" i="4"/>
  <c r="Y23" i="4"/>
  <c r="E29" i="4"/>
  <c r="S88" i="3"/>
  <c r="S75" i="3"/>
  <c r="S62" i="3"/>
  <c r="S49" i="3"/>
  <c r="S29" i="3"/>
  <c r="S22" i="3"/>
  <c r="M16" i="4"/>
  <c r="M20" i="4"/>
  <c r="E30" i="4"/>
  <c r="D20" i="4"/>
  <c r="S81" i="3"/>
  <c r="S68" i="3"/>
  <c r="S55" i="3"/>
  <c r="S35" i="3"/>
  <c r="I105" i="3"/>
  <c r="I99" i="3"/>
  <c r="Y16" i="4"/>
  <c r="Y20" i="4"/>
  <c r="E31" i="4"/>
  <c r="S87" i="3"/>
  <c r="S74" i="3"/>
  <c r="S61" i="3"/>
  <c r="S41" i="3"/>
  <c r="S28" i="3"/>
  <c r="S21" i="3"/>
  <c r="D17" i="4"/>
  <c r="D21" i="4"/>
  <c r="E32" i="4"/>
  <c r="S80" i="3"/>
  <c r="S67" i="3"/>
  <c r="S47" i="3"/>
  <c r="S34" i="3"/>
  <c r="I104" i="3"/>
  <c r="M17" i="4"/>
  <c r="E33" i="4"/>
  <c r="S73" i="3"/>
  <c r="S53" i="3"/>
  <c r="S40" i="3"/>
  <c r="S27" i="3"/>
  <c r="S20" i="3"/>
  <c r="Y17" i="4"/>
  <c r="Y21" i="4"/>
  <c r="E34" i="4"/>
  <c r="D16" i="4"/>
  <c r="S79" i="3"/>
  <c r="S59" i="3"/>
  <c r="S46" i="3"/>
  <c r="S33" i="3"/>
  <c r="I103" i="3"/>
  <c r="D18" i="4"/>
  <c r="D22" i="4"/>
  <c r="E35" i="4"/>
  <c r="S86" i="3"/>
  <c r="S85" i="3"/>
  <c r="S65" i="3"/>
  <c r="S52" i="3"/>
  <c r="S39" i="3"/>
  <c r="S26" i="3"/>
  <c r="S19" i="3"/>
  <c r="M18" i="4"/>
  <c r="M22" i="4"/>
  <c r="S84" i="3"/>
  <c r="S78" i="3"/>
  <c r="S72" i="3"/>
  <c r="S66" i="3"/>
  <c r="S60" i="3"/>
  <c r="S54" i="3"/>
  <c r="S48" i="3"/>
  <c r="S42" i="3"/>
  <c r="S36" i="3"/>
  <c r="S30" i="3"/>
  <c r="AI17" i="4"/>
  <c r="AI18" i="4"/>
  <c r="AI19" i="4"/>
  <c r="AI20" i="4"/>
  <c r="AI21" i="4"/>
  <c r="AI22" i="4"/>
  <c r="AI23" i="4"/>
  <c r="AI16" i="4"/>
  <c r="D96" i="2" a="1"/>
  <c r="D96" i="2" s="1"/>
  <c r="D85" i="1" s="1"/>
  <c r="D95" i="2" a="1"/>
  <c r="D95" i="2" s="1"/>
  <c r="D84" i="1" s="1"/>
  <c r="D94" i="2" a="1"/>
  <c r="D94" i="2" s="1"/>
  <c r="D83" i="1" s="1"/>
  <c r="D93" i="2" a="1"/>
  <c r="D93" i="2" s="1"/>
  <c r="D82" i="1" s="1"/>
  <c r="D92" i="2" a="1"/>
  <c r="D92" i="2" s="1"/>
  <c r="D81" i="1" s="1"/>
  <c r="D91" i="2" a="1"/>
  <c r="D91" i="2" s="1"/>
  <c r="D80" i="1" s="1"/>
  <c r="D90" i="2" a="1"/>
  <c r="D90" i="2" s="1"/>
  <c r="D79" i="1" s="1"/>
  <c r="D89" i="2" a="1"/>
  <c r="D89" i="2" s="1"/>
  <c r="D78" i="1" s="1"/>
  <c r="D88" i="2" a="1"/>
  <c r="D88" i="2" s="1"/>
  <c r="D77" i="1" s="1"/>
  <c r="D76" i="1"/>
  <c r="D85" i="2" a="1"/>
  <c r="D85" i="2" s="1"/>
  <c r="D74" i="1" s="1"/>
  <c r="D84" i="2" a="1"/>
  <c r="D84" i="2" s="1"/>
  <c r="D73" i="1" s="1"/>
  <c r="D83" i="2" a="1"/>
  <c r="D83" i="2" s="1"/>
  <c r="D72" i="1" s="1"/>
  <c r="D82" i="2" a="1"/>
  <c r="D82" i="2" s="1"/>
  <c r="D71" i="1" s="1"/>
  <c r="D81" i="2" a="1"/>
  <c r="D81" i="2" s="1"/>
  <c r="D70" i="1" s="1"/>
  <c r="D195" i="2"/>
  <c r="D184" i="1" s="1"/>
  <c r="D183" i="1"/>
  <c r="D182" i="1"/>
  <c r="D191" i="2"/>
  <c r="D180" i="1" s="1"/>
  <c r="C185" i="2"/>
  <c r="C174" i="1" s="1"/>
  <c r="C184" i="2"/>
  <c r="C173" i="1" s="1"/>
  <c r="D149" i="1"/>
  <c r="C149" i="1"/>
  <c r="E110" i="2"/>
  <c r="AJ19" i="4"/>
  <c r="AJ21" i="4"/>
  <c r="AJ23" i="4"/>
  <c r="AJ22" i="4"/>
  <c r="AJ20" i="4"/>
  <c r="AJ18" i="4"/>
  <c r="AJ17" i="4"/>
  <c r="AJ16" i="4"/>
  <c r="C172" i="2"/>
  <c r="C161" i="1" s="1"/>
  <c r="O99" i="3"/>
  <c r="O100" i="3"/>
  <c r="O101" i="3"/>
  <c r="O102" i="3"/>
  <c r="O103" i="3"/>
  <c r="O104" i="3"/>
  <c r="O105" i="3"/>
  <c r="C150" i="2"/>
  <c r="C139" i="1" s="1"/>
  <c r="C149" i="2"/>
  <c r="C138" i="1" s="1"/>
  <c r="C148" i="2"/>
  <c r="C137" i="1" s="1"/>
  <c r="C147" i="2"/>
  <c r="C136" i="1" s="1"/>
  <c r="C135" i="1"/>
  <c r="D149" i="2"/>
  <c r="D138" i="1" s="1"/>
  <c r="D135" i="1"/>
  <c r="D150" i="2"/>
  <c r="D139" i="1" s="1"/>
  <c r="D148" i="2"/>
  <c r="D137" i="1" s="1"/>
  <c r="D136" i="1"/>
  <c r="C183" i="2" l="1"/>
  <c r="C172" i="1" s="1"/>
  <c r="E99" i="1"/>
  <c r="E149" i="1"/>
  <c r="C151" i="2"/>
  <c r="C140" i="1" s="1"/>
  <c r="D151" i="2"/>
  <c r="C168" i="1" l="1"/>
  <c r="D140" i="1"/>
  <c r="D181" i="1"/>
  <c r="H16" i="5"/>
  <c r="D62" i="1"/>
  <c r="I16" i="5" l="1"/>
  <c r="J16" i="5"/>
  <c r="D75" i="2" a="1"/>
  <c r="D75" i="2" s="1"/>
  <c r="D64" i="1" s="1"/>
  <c r="D74" i="2" a="1"/>
  <c r="D74" i="2" s="1"/>
  <c r="D63" i="1" s="1"/>
  <c r="C173" i="2" a="1"/>
  <c r="C173" i="2" s="1"/>
  <c r="M16" i="5"/>
  <c r="K16" i="5"/>
  <c r="D78" i="2" a="1"/>
  <c r="D78" i="2" s="1"/>
  <c r="D141" i="2"/>
  <c r="D130" i="1" s="1"/>
  <c r="D136" i="2"/>
  <c r="C180" i="2" s="1"/>
  <c r="D134" i="2"/>
  <c r="D133" i="2"/>
  <c r="D122" i="1" s="1"/>
  <c r="D132" i="2"/>
  <c r="D121" i="1" s="1"/>
  <c r="D131" i="2"/>
  <c r="D120" i="1" s="1"/>
  <c r="D130" i="2"/>
  <c r="D119" i="1" s="1"/>
  <c r="D128" i="2"/>
  <c r="D117" i="1" s="1"/>
  <c r="D127" i="2"/>
  <c r="D116" i="1" s="1"/>
  <c r="D121" i="2"/>
  <c r="D110" i="1" s="1"/>
  <c r="D120" i="2"/>
  <c r="D109" i="1" s="1"/>
  <c r="D119" i="2"/>
  <c r="D108" i="1" s="1"/>
  <c r="D118" i="2"/>
  <c r="D107" i="1" s="1"/>
  <c r="D116" i="2"/>
  <c r="D105" i="1" s="1"/>
  <c r="D108" i="2"/>
  <c r="D97" i="1" s="1"/>
  <c r="D106" i="2"/>
  <c r="D95" i="1" s="1"/>
  <c r="C99" i="2"/>
  <c r="D65" i="1" l="1"/>
  <c r="D67" i="1"/>
  <c r="D157" i="2"/>
  <c r="C162" i="1"/>
  <c r="E134" i="2"/>
  <c r="E123" i="1" s="1"/>
  <c r="D123" i="1"/>
  <c r="D125" i="1"/>
  <c r="D146" i="1"/>
  <c r="D79" i="2" a="1"/>
  <c r="D79" i="2" s="1"/>
  <c r="D68" i="1" s="1"/>
  <c r="D80" i="2" a="1"/>
  <c r="D80" i="2" s="1"/>
  <c r="D69" i="1" s="1"/>
  <c r="E135" i="2"/>
  <c r="E122" i="2"/>
  <c r="E118" i="2"/>
  <c r="E107" i="1" s="1"/>
  <c r="E101" i="2"/>
  <c r="E90" i="1" s="1"/>
  <c r="N23" i="4"/>
  <c r="N22" i="4"/>
  <c r="N21" i="4"/>
  <c r="N20" i="4"/>
  <c r="N19" i="4"/>
  <c r="D113" i="2" s="1"/>
  <c r="D102" i="1" s="1"/>
  <c r="D111" i="2"/>
  <c r="D100" i="1" s="1"/>
  <c r="N18" i="4"/>
  <c r="N17" i="4"/>
  <c r="N16" i="4"/>
  <c r="O18" i="4"/>
  <c r="P18" i="4"/>
  <c r="O19" i="4"/>
  <c r="D114" i="2" s="1"/>
  <c r="D103" i="1" s="1"/>
  <c r="P19" i="4"/>
  <c r="D115" i="2" s="1"/>
  <c r="D104" i="1" s="1"/>
  <c r="O20" i="4"/>
  <c r="P20" i="4"/>
  <c r="O21" i="4"/>
  <c r="P21" i="4"/>
  <c r="O22" i="4"/>
  <c r="P22" i="4"/>
  <c r="O23" i="4"/>
  <c r="P23" i="4"/>
  <c r="R23" i="4"/>
  <c r="R22" i="4"/>
  <c r="R21" i="4"/>
  <c r="R20" i="4"/>
  <c r="R19" i="4"/>
  <c r="D117" i="2" s="1"/>
  <c r="D106" i="1" s="1"/>
  <c r="R18" i="4"/>
  <c r="T17" i="4"/>
  <c r="R17" i="4"/>
  <c r="T16" i="4"/>
  <c r="R16" i="4"/>
  <c r="D102" i="2"/>
  <c r="E19" i="4"/>
  <c r="D104" i="2" s="1"/>
  <c r="D93" i="1" s="1"/>
  <c r="E20" i="4"/>
  <c r="E21" i="4"/>
  <c r="E22" i="4"/>
  <c r="E23" i="4"/>
  <c r="E18" i="4"/>
  <c r="J19" i="4"/>
  <c r="D109" i="2" s="1"/>
  <c r="D98" i="1" s="1"/>
  <c r="J18" i="4"/>
  <c r="F18" i="4"/>
  <c r="H18" i="4"/>
  <c r="F19" i="4"/>
  <c r="D105" i="2" s="1"/>
  <c r="D94" i="1" s="1"/>
  <c r="H19" i="4"/>
  <c r="D107" i="2" s="1"/>
  <c r="D96" i="1" s="1"/>
  <c r="F20" i="4"/>
  <c r="H20" i="4"/>
  <c r="J20" i="4"/>
  <c r="F21" i="4"/>
  <c r="H21" i="4"/>
  <c r="J21" i="4"/>
  <c r="F22" i="4"/>
  <c r="H22" i="4"/>
  <c r="J22" i="4"/>
  <c r="F23" i="4"/>
  <c r="H23" i="4"/>
  <c r="J23" i="4"/>
  <c r="Z23" i="4"/>
  <c r="Z22" i="4"/>
  <c r="Z21" i="4"/>
  <c r="Z20" i="4"/>
  <c r="AA19" i="4"/>
  <c r="D126" i="2" s="1"/>
  <c r="D115" i="1" s="1"/>
  <c r="AA20" i="4"/>
  <c r="AA21" i="4"/>
  <c r="AA22" i="4"/>
  <c r="AA23" i="4"/>
  <c r="Z19" i="4"/>
  <c r="D125" i="2" s="1"/>
  <c r="D114" i="1" s="1"/>
  <c r="D123" i="2"/>
  <c r="D112" i="1" s="1"/>
  <c r="Z18" i="4"/>
  <c r="Z17" i="4"/>
  <c r="D91" i="1" l="1"/>
  <c r="E102" i="2"/>
  <c r="E111" i="1"/>
  <c r="E136" i="2"/>
  <c r="E125" i="1" s="1"/>
  <c r="E124" i="1"/>
  <c r="E91" i="1"/>
  <c r="E106" i="2"/>
  <c r="E95" i="1" s="1"/>
  <c r="C170" i="1"/>
  <c r="E107" i="2"/>
  <c r="E96" i="1" s="1"/>
  <c r="E105" i="2"/>
  <c r="E94" i="1" s="1"/>
  <c r="E130" i="2"/>
  <c r="E119" i="1" s="1"/>
  <c r="E128" i="2"/>
  <c r="E117" i="1" s="1"/>
  <c r="E127" i="2"/>
  <c r="E116" i="1" s="1"/>
  <c r="E109" i="2"/>
  <c r="E98" i="1" s="1"/>
  <c r="E108" i="2"/>
  <c r="E97" i="1" s="1"/>
  <c r="E132" i="2"/>
  <c r="E121" i="1" s="1"/>
  <c r="E104" i="2"/>
  <c r="E123" i="2"/>
  <c r="E112" i="1" s="1"/>
  <c r="E131" i="2"/>
  <c r="E120" i="1" s="1"/>
  <c r="E121" i="2"/>
  <c r="E110" i="1" s="1"/>
  <c r="E141" i="2"/>
  <c r="E130" i="1" s="1"/>
  <c r="E120" i="2"/>
  <c r="E109" i="1" s="1"/>
  <c r="E115" i="2"/>
  <c r="E104" i="1" s="1"/>
  <c r="E114" i="2"/>
  <c r="E103" i="1" s="1"/>
  <c r="E119" i="2"/>
  <c r="E108" i="1" s="1"/>
  <c r="E117" i="2"/>
  <c r="E106" i="1" s="1"/>
  <c r="E126" i="2"/>
  <c r="E115" i="1" s="1"/>
  <c r="E116" i="2"/>
  <c r="E105" i="1" s="1"/>
  <c r="E111" i="2"/>
  <c r="E100" i="1" s="1"/>
  <c r="E125" i="2"/>
  <c r="E114" i="1" s="1"/>
  <c r="E113" i="2"/>
  <c r="E102" i="1" s="1"/>
  <c r="E133" i="2"/>
  <c r="E122" i="1" s="1"/>
  <c r="AD18" i="4"/>
  <c r="AD19" i="4"/>
  <c r="D129" i="2" s="1"/>
  <c r="D118" i="1" s="1"/>
  <c r="AD20" i="4"/>
  <c r="AD21" i="4"/>
  <c r="AD22" i="4"/>
  <c r="AD23" i="4"/>
  <c r="AA18" i="4"/>
  <c r="E93" i="1" l="1"/>
  <c r="D158" i="2"/>
  <c r="E129" i="2"/>
  <c r="E118" i="1" s="1"/>
  <c r="D147" i="1"/>
  <c r="D57" i="2" a="1"/>
  <c r="D57" i="2" s="1"/>
  <c r="U88" i="3" l="1"/>
  <c r="Q88" i="3"/>
  <c r="P88" i="3"/>
  <c r="O88" i="3"/>
  <c r="N88" i="3"/>
  <c r="U87" i="3"/>
  <c r="Q87" i="3"/>
  <c r="P87" i="3"/>
  <c r="O87" i="3"/>
  <c r="N87" i="3"/>
  <c r="U86" i="3"/>
  <c r="Q86" i="3"/>
  <c r="P86" i="3"/>
  <c r="O86" i="3"/>
  <c r="N86" i="3"/>
  <c r="U85" i="3"/>
  <c r="Q85" i="3"/>
  <c r="P85" i="3"/>
  <c r="O85" i="3"/>
  <c r="N85" i="3"/>
  <c r="U84" i="3"/>
  <c r="Q84" i="3"/>
  <c r="P84" i="3"/>
  <c r="O84" i="3"/>
  <c r="N84" i="3"/>
  <c r="U83" i="3"/>
  <c r="Q83" i="3"/>
  <c r="P83" i="3"/>
  <c r="O83" i="3"/>
  <c r="N83" i="3"/>
  <c r="U82" i="3"/>
  <c r="Q82" i="3"/>
  <c r="P82" i="3"/>
  <c r="O82" i="3"/>
  <c r="N82" i="3"/>
  <c r="U81" i="3"/>
  <c r="Q81" i="3"/>
  <c r="P81" i="3"/>
  <c r="O81" i="3"/>
  <c r="N81" i="3"/>
  <c r="U80" i="3"/>
  <c r="Q80" i="3"/>
  <c r="P80" i="3"/>
  <c r="O80" i="3"/>
  <c r="N80" i="3"/>
  <c r="U79" i="3"/>
  <c r="Q79" i="3"/>
  <c r="P79" i="3"/>
  <c r="O79" i="3"/>
  <c r="N79" i="3"/>
  <c r="U78" i="3"/>
  <c r="Q78" i="3"/>
  <c r="P78" i="3"/>
  <c r="O78" i="3"/>
  <c r="N78" i="3"/>
  <c r="U77" i="3"/>
  <c r="Q77" i="3"/>
  <c r="P77" i="3"/>
  <c r="O77" i="3"/>
  <c r="N77" i="3"/>
  <c r="U76" i="3"/>
  <c r="Q76" i="3"/>
  <c r="P76" i="3"/>
  <c r="O76" i="3"/>
  <c r="N76" i="3"/>
  <c r="U75" i="3"/>
  <c r="Q75" i="3"/>
  <c r="P75" i="3"/>
  <c r="O75" i="3"/>
  <c r="N75" i="3"/>
  <c r="U74" i="3"/>
  <c r="Q74" i="3"/>
  <c r="P74" i="3"/>
  <c r="O74" i="3"/>
  <c r="N74" i="3"/>
  <c r="U73" i="3"/>
  <c r="Q73" i="3"/>
  <c r="P73" i="3"/>
  <c r="O73" i="3"/>
  <c r="N73" i="3"/>
  <c r="U72" i="3"/>
  <c r="Q72" i="3"/>
  <c r="P72" i="3"/>
  <c r="O72" i="3"/>
  <c r="U71" i="3"/>
  <c r="Q71" i="3"/>
  <c r="P71" i="3"/>
  <c r="O71" i="3"/>
  <c r="U70" i="3"/>
  <c r="Q70" i="3"/>
  <c r="P70" i="3"/>
  <c r="O70" i="3"/>
  <c r="U69" i="3"/>
  <c r="Q69" i="3"/>
  <c r="P69" i="3"/>
  <c r="O69" i="3"/>
  <c r="U68" i="3"/>
  <c r="Q68" i="3"/>
  <c r="P68" i="3"/>
  <c r="O68" i="3"/>
  <c r="U67" i="3"/>
  <c r="Q67" i="3"/>
  <c r="P67" i="3"/>
  <c r="O67" i="3"/>
  <c r="U66" i="3"/>
  <c r="Q66" i="3"/>
  <c r="P66" i="3"/>
  <c r="O66" i="3"/>
  <c r="U65" i="3"/>
  <c r="Q65" i="3"/>
  <c r="P65" i="3"/>
  <c r="O65" i="3"/>
  <c r="U64" i="3"/>
  <c r="Q64" i="3"/>
  <c r="P64" i="3"/>
  <c r="O64" i="3"/>
  <c r="N64" i="3"/>
  <c r="U63" i="3"/>
  <c r="Q63" i="3"/>
  <c r="P63" i="3"/>
  <c r="O63" i="3"/>
  <c r="N63" i="3"/>
  <c r="U62" i="3"/>
  <c r="Q62" i="3"/>
  <c r="P62" i="3"/>
  <c r="O62" i="3"/>
  <c r="N62" i="3"/>
  <c r="U61" i="3"/>
  <c r="Q61" i="3"/>
  <c r="P61" i="3"/>
  <c r="O61" i="3"/>
  <c r="N61" i="3"/>
  <c r="U60" i="3"/>
  <c r="Q60" i="3"/>
  <c r="P60" i="3"/>
  <c r="O60" i="3"/>
  <c r="N60" i="3"/>
  <c r="U59" i="3"/>
  <c r="Q59" i="3"/>
  <c r="P59" i="3"/>
  <c r="O59" i="3"/>
  <c r="N59" i="3"/>
  <c r="U58" i="3"/>
  <c r="Q58" i="3"/>
  <c r="P58" i="3"/>
  <c r="O58" i="3"/>
  <c r="N58" i="3"/>
  <c r="U57" i="3"/>
  <c r="Q57" i="3"/>
  <c r="P57" i="3"/>
  <c r="O57" i="3"/>
  <c r="N57" i="3"/>
  <c r="U56" i="3"/>
  <c r="Q56" i="3"/>
  <c r="P56" i="3"/>
  <c r="O56" i="3"/>
  <c r="N56" i="3"/>
  <c r="U55" i="3"/>
  <c r="Q55" i="3"/>
  <c r="P55" i="3"/>
  <c r="O55" i="3"/>
  <c r="N55" i="3"/>
  <c r="U54" i="3"/>
  <c r="Q54" i="3"/>
  <c r="P54" i="3"/>
  <c r="O54" i="3"/>
  <c r="N54" i="3"/>
  <c r="U53" i="3"/>
  <c r="Q53" i="3"/>
  <c r="P53" i="3"/>
  <c r="O53" i="3"/>
  <c r="N53" i="3"/>
  <c r="U52" i="3"/>
  <c r="Q52" i="3"/>
  <c r="P52" i="3"/>
  <c r="O52" i="3"/>
  <c r="N52" i="3"/>
  <c r="U51" i="3"/>
  <c r="Q51" i="3"/>
  <c r="P51" i="3"/>
  <c r="O51" i="3"/>
  <c r="N51" i="3"/>
  <c r="U50" i="3"/>
  <c r="Q50" i="3"/>
  <c r="P50" i="3"/>
  <c r="O50" i="3"/>
  <c r="N50" i="3"/>
  <c r="U49" i="3"/>
  <c r="Q49" i="3"/>
  <c r="P49" i="3"/>
  <c r="O49" i="3"/>
  <c r="N49" i="3"/>
  <c r="U48" i="3"/>
  <c r="Q48" i="3"/>
  <c r="P48" i="3"/>
  <c r="O48" i="3"/>
  <c r="U47" i="3"/>
  <c r="Q47" i="3"/>
  <c r="P47" i="3"/>
  <c r="O47" i="3"/>
  <c r="U46" i="3"/>
  <c r="Q46" i="3"/>
  <c r="P46" i="3"/>
  <c r="O46" i="3"/>
  <c r="U45" i="3"/>
  <c r="Q45" i="3"/>
  <c r="P45" i="3"/>
  <c r="O45" i="3"/>
  <c r="U44" i="3"/>
  <c r="Q44" i="3"/>
  <c r="P44" i="3"/>
  <c r="O44" i="3"/>
  <c r="U43" i="3"/>
  <c r="Q43" i="3"/>
  <c r="P43" i="3"/>
  <c r="O43" i="3"/>
  <c r="U42" i="3"/>
  <c r="Q42" i="3"/>
  <c r="P42" i="3"/>
  <c r="O42" i="3"/>
  <c r="U41" i="3"/>
  <c r="Q41" i="3"/>
  <c r="P41" i="3"/>
  <c r="O41" i="3"/>
  <c r="U40" i="3"/>
  <c r="Q40" i="3"/>
  <c r="P40" i="3"/>
  <c r="O40" i="3"/>
  <c r="N40" i="3"/>
  <c r="U39" i="3"/>
  <c r="Q39" i="3"/>
  <c r="P39" i="3"/>
  <c r="O39" i="3"/>
  <c r="N39" i="3"/>
  <c r="U38" i="3"/>
  <c r="Q38" i="3"/>
  <c r="P38" i="3"/>
  <c r="O38" i="3"/>
  <c r="N38" i="3"/>
  <c r="U37" i="3"/>
  <c r="Q37" i="3"/>
  <c r="P37" i="3"/>
  <c r="O37" i="3"/>
  <c r="N37" i="3"/>
  <c r="U36" i="3"/>
  <c r="Q36" i="3"/>
  <c r="P36" i="3"/>
  <c r="O36" i="3"/>
  <c r="N36" i="3"/>
  <c r="U35" i="3"/>
  <c r="Q35" i="3"/>
  <c r="P35" i="3"/>
  <c r="O35" i="3"/>
  <c r="N35" i="3"/>
  <c r="U34" i="3"/>
  <c r="Q34" i="3"/>
  <c r="P34" i="3"/>
  <c r="O34" i="3"/>
  <c r="N34" i="3"/>
  <c r="U33" i="3"/>
  <c r="Q33" i="3"/>
  <c r="P33" i="3"/>
  <c r="O33" i="3"/>
  <c r="N33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U19" i="3"/>
  <c r="U20" i="3"/>
  <c r="U22" i="3"/>
  <c r="U23" i="3"/>
  <c r="U24" i="3"/>
  <c r="U25" i="3"/>
  <c r="U26" i="3"/>
  <c r="U27" i="3"/>
  <c r="U28" i="3"/>
  <c r="U29" i="3"/>
  <c r="U30" i="3"/>
  <c r="U31" i="3"/>
  <c r="U32" i="3"/>
  <c r="D56" i="2" a="1"/>
  <c r="D56" i="2" s="1"/>
  <c r="AF17" i="4"/>
  <c r="AD17" i="4"/>
  <c r="AA17" i="4"/>
  <c r="AA16" i="4"/>
  <c r="P17" i="4"/>
  <c r="O17" i="4"/>
  <c r="AC16" i="4"/>
  <c r="AD16" i="4"/>
  <c r="Z16" i="4"/>
  <c r="AF16" i="4"/>
  <c r="P16" i="4"/>
  <c r="O16" i="4"/>
  <c r="J17" i="4" l="1"/>
  <c r="H17" i="4"/>
  <c r="F17" i="4"/>
  <c r="E17" i="4"/>
  <c r="E16" i="4"/>
  <c r="G31" i="4" l="1"/>
  <c r="G32" i="4"/>
  <c r="D140" i="2" s="1"/>
  <c r="G33" i="4"/>
  <c r="G34" i="4"/>
  <c r="G35" i="4"/>
  <c r="G36" i="4"/>
  <c r="G30" i="4"/>
  <c r="F36" i="4"/>
  <c r="F34" i="4"/>
  <c r="F32" i="4"/>
  <c r="D139" i="2" s="1"/>
  <c r="F33" i="4"/>
  <c r="F35" i="4"/>
  <c r="F31" i="4"/>
  <c r="F30" i="4"/>
  <c r="D137" i="2"/>
  <c r="D129" i="1" l="1"/>
  <c r="E140" i="2"/>
  <c r="E129" i="1" s="1"/>
  <c r="D128" i="1"/>
  <c r="E139" i="2"/>
  <c r="D159" i="2" s="1"/>
  <c r="E137" i="2"/>
  <c r="D126" i="1"/>
  <c r="I30" i="4"/>
  <c r="I31" i="4"/>
  <c r="I32" i="4"/>
  <c r="I33" i="4"/>
  <c r="I34" i="4"/>
  <c r="I35" i="4"/>
  <c r="I36" i="4"/>
  <c r="I29" i="4"/>
  <c r="E126" i="1" l="1"/>
  <c r="D148" i="1"/>
  <c r="E128" i="1"/>
  <c r="D124" i="2"/>
  <c r="D103" i="2"/>
  <c r="D112" i="2"/>
  <c r="D138" i="2"/>
  <c r="E61" i="2"/>
  <c r="E50" i="1" s="1"/>
  <c r="M105" i="3"/>
  <c r="L105" i="3"/>
  <c r="K105" i="3"/>
  <c r="N105" i="3" s="1"/>
  <c r="M104" i="3"/>
  <c r="L104" i="3"/>
  <c r="K104" i="3"/>
  <c r="N104" i="3" s="1"/>
  <c r="M103" i="3"/>
  <c r="L103" i="3"/>
  <c r="K103" i="3"/>
  <c r="N103" i="3" s="1"/>
  <c r="M102" i="3"/>
  <c r="L102" i="3"/>
  <c r="K102" i="3"/>
  <c r="N102" i="3" s="1"/>
  <c r="M101" i="3"/>
  <c r="D67" i="2" s="1"/>
  <c r="D56" i="1" s="1"/>
  <c r="L101" i="3"/>
  <c r="D66" i="2" s="1"/>
  <c r="D55" i="1" s="1"/>
  <c r="K101" i="3"/>
  <c r="N101" i="3" s="1"/>
  <c r="D68" i="2" s="1"/>
  <c r="D57" i="1" s="1"/>
  <c r="M100" i="3"/>
  <c r="L100" i="3"/>
  <c r="K100" i="3"/>
  <c r="N100" i="3" s="1"/>
  <c r="M99" i="3"/>
  <c r="L99" i="3"/>
  <c r="K99" i="3"/>
  <c r="N99" i="3" s="1"/>
  <c r="E138" i="2" l="1"/>
  <c r="E159" i="2" s="1"/>
  <c r="D127" i="1"/>
  <c r="E112" i="2"/>
  <c r="E101" i="1" s="1"/>
  <c r="D101" i="1"/>
  <c r="E103" i="2"/>
  <c r="D92" i="1"/>
  <c r="E124" i="2"/>
  <c r="E113" i="1" s="1"/>
  <c r="D113" i="1"/>
  <c r="E67" i="2"/>
  <c r="E56" i="1" s="1"/>
  <c r="E68" i="2"/>
  <c r="E57" i="1" s="1"/>
  <c r="D65" i="2"/>
  <c r="E66" i="2"/>
  <c r="E55" i="1" s="1"/>
  <c r="D47" i="2" a="1"/>
  <c r="D47" i="2" s="1"/>
  <c r="E47" i="2" s="1"/>
  <c r="D51" i="2" a="1"/>
  <c r="D51" i="2" s="1"/>
  <c r="O19" i="3"/>
  <c r="Q19" i="3"/>
  <c r="O20" i="3"/>
  <c r="Q20" i="3"/>
  <c r="O21" i="3"/>
  <c r="Q21" i="3"/>
  <c r="O22" i="3"/>
  <c r="Q22" i="3"/>
  <c r="O23" i="3"/>
  <c r="Q23" i="3"/>
  <c r="O24" i="3"/>
  <c r="Q24" i="3"/>
  <c r="N25" i="3"/>
  <c r="D55" i="2" s="1" a="1"/>
  <c r="D55" i="2" s="1"/>
  <c r="O25" i="3"/>
  <c r="Q25" i="3"/>
  <c r="N26" i="3"/>
  <c r="O26" i="3"/>
  <c r="N27" i="3"/>
  <c r="O27" i="3"/>
  <c r="Q27" i="3"/>
  <c r="N28" i="3"/>
  <c r="O28" i="3"/>
  <c r="Q28" i="3"/>
  <c r="N29" i="3"/>
  <c r="O29" i="3"/>
  <c r="Q29" i="3"/>
  <c r="N30" i="3"/>
  <c r="O30" i="3"/>
  <c r="Q30" i="3"/>
  <c r="N31" i="3"/>
  <c r="O31" i="3"/>
  <c r="Q31" i="3"/>
  <c r="N32" i="3"/>
  <c r="O32" i="3"/>
  <c r="Q32" i="3"/>
  <c r="D43" i="1"/>
  <c r="D44" i="1"/>
  <c r="E54" i="2"/>
  <c r="E44" i="1" s="1"/>
  <c r="E92" i="1" l="1"/>
  <c r="C158" i="2"/>
  <c r="E158" i="2" s="1"/>
  <c r="C160" i="1"/>
  <c r="C169" i="1"/>
  <c r="C174" i="2"/>
  <c r="E62" i="2"/>
  <c r="E51" i="1" s="1"/>
  <c r="D51" i="1"/>
  <c r="E65" i="2"/>
  <c r="E54" i="1" s="1"/>
  <c r="D54" i="1"/>
  <c r="E127" i="1"/>
  <c r="E53" i="2"/>
  <c r="E43" i="1" s="1"/>
  <c r="E36" i="1"/>
  <c r="E57" i="2"/>
  <c r="T27" i="3"/>
  <c r="T63" i="3"/>
  <c r="T88" i="3"/>
  <c r="T76" i="3"/>
  <c r="T56" i="3"/>
  <c r="T36" i="3"/>
  <c r="T81" i="3"/>
  <c r="T61" i="3"/>
  <c r="T49" i="3"/>
  <c r="T86" i="3"/>
  <c r="T74" i="3"/>
  <c r="T54" i="3"/>
  <c r="T47" i="3"/>
  <c r="T45" i="3"/>
  <c r="T43" i="3"/>
  <c r="T41" i="3"/>
  <c r="T34" i="3"/>
  <c r="T79" i="3"/>
  <c r="T59" i="3"/>
  <c r="T84" i="3"/>
  <c r="T72" i="3"/>
  <c r="T70" i="3"/>
  <c r="T68" i="3"/>
  <c r="T66" i="3"/>
  <c r="T64" i="3"/>
  <c r="T52" i="3"/>
  <c r="T77" i="3"/>
  <c r="T57" i="3"/>
  <c r="T37" i="3"/>
  <c r="T69" i="3"/>
  <c r="T51" i="3"/>
  <c r="T82" i="3"/>
  <c r="T62" i="3"/>
  <c r="T50" i="3"/>
  <c r="T73" i="3"/>
  <c r="T53" i="3"/>
  <c r="T33" i="3"/>
  <c r="T78" i="3"/>
  <c r="T71" i="3"/>
  <c r="T65" i="3"/>
  <c r="T87" i="3"/>
  <c r="T75" i="3"/>
  <c r="T55" i="3"/>
  <c r="T35" i="3"/>
  <c r="T40" i="3"/>
  <c r="T80" i="3"/>
  <c r="T60" i="3"/>
  <c r="T48" i="3"/>
  <c r="T46" i="3"/>
  <c r="T44" i="3"/>
  <c r="T42" i="3"/>
  <c r="T85" i="3"/>
  <c r="T67" i="3"/>
  <c r="T58" i="3"/>
  <c r="T38" i="3"/>
  <c r="T83" i="3"/>
  <c r="T39" i="3"/>
  <c r="E37" i="1"/>
  <c r="T19" i="3"/>
  <c r="E51" i="2"/>
  <c r="E41" i="1" s="1"/>
  <c r="D41" i="1"/>
  <c r="D42" i="1"/>
  <c r="E50" i="2"/>
  <c r="E40" i="1" s="1"/>
  <c r="D40" i="1"/>
  <c r="E55" i="2"/>
  <c r="E45" i="1" s="1"/>
  <c r="D45" i="1"/>
  <c r="J102" i="3"/>
  <c r="J101" i="3"/>
  <c r="J100" i="3"/>
  <c r="J103" i="3"/>
  <c r="J105" i="3"/>
  <c r="J104" i="3"/>
  <c r="T23" i="3"/>
  <c r="T30" i="3"/>
  <c r="T28" i="3"/>
  <c r="T32" i="3"/>
  <c r="T24" i="3"/>
  <c r="T20" i="3"/>
  <c r="T22" i="3"/>
  <c r="T25" i="3"/>
  <c r="T26" i="3"/>
  <c r="T31" i="3"/>
  <c r="D48" i="2" a="1"/>
  <c r="D48" i="2" s="1"/>
  <c r="T29" i="3"/>
  <c r="T21" i="3"/>
  <c r="E147" i="1" l="1"/>
  <c r="C147" i="1"/>
  <c r="D174" i="2"/>
  <c r="C163" i="1"/>
  <c r="D163" i="1" s="1"/>
  <c r="E148" i="1"/>
  <c r="C148" i="1"/>
  <c r="D77" i="2" a="1"/>
  <c r="D77" i="2" s="1"/>
  <c r="C157" i="2" s="1"/>
  <c r="E157" i="2" s="1"/>
  <c r="D187" i="1"/>
  <c r="D37" i="1"/>
  <c r="E52" i="2"/>
  <c r="J99" i="3"/>
  <c r="D64" i="2" s="1"/>
  <c r="D63" i="2"/>
  <c r="T17" i="3"/>
  <c r="D49" i="2" s="1" a="1"/>
  <c r="D49" i="2" s="1"/>
  <c r="E64" i="2" l="1"/>
  <c r="E53" i="1" s="1"/>
  <c r="D53" i="1"/>
  <c r="E63" i="2"/>
  <c r="E52" i="1" s="1"/>
  <c r="D52" i="1"/>
  <c r="D66" i="1"/>
  <c r="E42" i="1"/>
  <c r="D199" i="2"/>
  <c r="D188" i="1" s="1"/>
  <c r="D38" i="1"/>
  <c r="E48" i="2"/>
  <c r="E49" i="2"/>
  <c r="D39" i="1"/>
  <c r="E39" i="1" l="1"/>
  <c r="C145" i="1"/>
  <c r="E146" i="1"/>
  <c r="C146" i="1"/>
  <c r="C161" i="2"/>
  <c r="E38" i="1"/>
  <c r="D196" i="2" l="1"/>
  <c r="D185" i="1" s="1"/>
  <c r="C150" i="1"/>
  <c r="D161" i="2"/>
  <c r="E161" i="2" s="1"/>
  <c r="D145" i="1"/>
  <c r="E145" i="1"/>
  <c r="D46" i="1"/>
  <c r="E56" i="2"/>
  <c r="E46" i="1" s="1"/>
  <c r="E150" i="1" l="1"/>
  <c r="F155" i="1"/>
  <c r="C155" i="1"/>
  <c r="G155" i="1"/>
  <c r="D197" i="2"/>
  <c r="D186" i="1" s="1"/>
  <c r="D150" i="1"/>
  <c r="C182" i="2"/>
  <c r="D200" i="2" l="1"/>
  <c r="D189" i="1" s="1"/>
  <c r="E155" i="1"/>
  <c r="D155" i="1"/>
  <c r="B155" i="1"/>
  <c r="C186" i="2"/>
  <c r="D186" i="2" s="1"/>
  <c r="C171" i="1"/>
  <c r="C175" i="1" l="1"/>
  <c r="D1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dxy</author>
  </authors>
  <commentList>
    <comment ref="D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
</t>
        </r>
      </text>
    </comment>
    <comment ref="F8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dxy:</t>
        </r>
        <r>
          <rPr>
            <sz val="9"/>
            <color indexed="81"/>
            <rFont val="宋体"/>
            <family val="3"/>
            <charset val="134"/>
          </rPr>
          <t xml:space="preserve">
线路专业提供</t>
        </r>
      </text>
    </comment>
  </commentList>
</comments>
</file>

<file path=xl/sharedStrings.xml><?xml version="1.0" encoding="utf-8"?>
<sst xmlns="http://schemas.openxmlformats.org/spreadsheetml/2006/main" count="1189" uniqueCount="410">
  <si>
    <t>项目</t>
  </si>
  <si>
    <t>单位</t>
  </si>
  <si>
    <t>单台</t>
  </si>
  <si>
    <t>备注</t>
  </si>
  <si>
    <t>土方开挖</t>
  </si>
  <si>
    <r>
      <t>m</t>
    </r>
    <r>
      <rPr>
        <vertAlign val="superscript"/>
        <sz val="10.5"/>
        <rFont val="Times New Roman"/>
        <family val="1"/>
      </rPr>
      <t>3</t>
    </r>
  </si>
  <si>
    <t>石方开挖</t>
  </si>
  <si>
    <t>土石方回填</t>
  </si>
  <si>
    <r>
      <t>C15</t>
    </r>
    <r>
      <rPr>
        <sz val="10.5"/>
        <rFont val="宋体"/>
        <family val="3"/>
        <charset val="134"/>
      </rPr>
      <t>混凝土</t>
    </r>
  </si>
  <si>
    <t>钢筋</t>
  </si>
  <si>
    <t>t</t>
  </si>
  <si>
    <t>项</t>
    <phoneticPr fontId="5" type="noConversion"/>
  </si>
  <si>
    <t>序号</t>
    <phoneticPr fontId="5" type="noConversion"/>
  </si>
  <si>
    <t>沉降观测</t>
    <phoneticPr fontId="5" type="noConversion"/>
  </si>
  <si>
    <t>处</t>
    <phoneticPr fontId="5" type="noConversion"/>
  </si>
  <si>
    <t>单机容量</t>
    <phoneticPr fontId="5" type="noConversion"/>
  </si>
  <si>
    <t>扩展基础</t>
  </si>
  <si>
    <t>极限荷载</t>
    <phoneticPr fontId="5" type="noConversion"/>
  </si>
  <si>
    <t>设防烈度</t>
    <phoneticPr fontId="5" type="noConversion"/>
  </si>
  <si>
    <t>设防烈度</t>
    <phoneticPr fontId="5" type="noConversion"/>
  </si>
  <si>
    <t>承载力标准值</t>
    <phoneticPr fontId="5" type="noConversion"/>
  </si>
  <si>
    <t>基础型式</t>
  </si>
  <si>
    <t>基础型式</t>
    <phoneticPr fontId="5" type="noConversion"/>
  </si>
  <si>
    <t>扩展基础</t>
    <phoneticPr fontId="5" type="noConversion"/>
  </si>
  <si>
    <t>基础型式</t>
    <phoneticPr fontId="5" type="noConversion"/>
  </si>
  <si>
    <t>复合地基</t>
    <phoneticPr fontId="5" type="noConversion"/>
  </si>
  <si>
    <t>风机台数</t>
    <phoneticPr fontId="5" type="noConversion"/>
  </si>
  <si>
    <t>底板半径R</t>
    <phoneticPr fontId="5" type="noConversion"/>
  </si>
  <si>
    <t>棱台顶面半径R1</t>
    <phoneticPr fontId="5" type="noConversion"/>
  </si>
  <si>
    <t>台柱半径R2</t>
    <phoneticPr fontId="5" type="noConversion"/>
  </si>
  <si>
    <t>底板外缘高度H1</t>
    <phoneticPr fontId="5" type="noConversion"/>
  </si>
  <si>
    <t>底板棱台高度H2</t>
    <phoneticPr fontId="5" type="noConversion"/>
  </si>
  <si>
    <t>台柱高度H3</t>
    <phoneticPr fontId="5" type="noConversion"/>
  </si>
  <si>
    <t>面积m2</t>
    <phoneticPr fontId="5" type="noConversion"/>
  </si>
  <si>
    <t>体积m3</t>
    <phoneticPr fontId="5" type="noConversion"/>
  </si>
  <si>
    <t>桩直径</t>
    <phoneticPr fontId="5" type="noConversion"/>
  </si>
  <si>
    <t>预制桩承台基础</t>
  </si>
  <si>
    <t>预制桩承台基础</t>
    <phoneticPr fontId="5" type="noConversion"/>
  </si>
  <si>
    <t>灌注桩承台基础</t>
    <phoneticPr fontId="5" type="noConversion"/>
  </si>
  <si>
    <t>根数</t>
    <phoneticPr fontId="5" type="noConversion"/>
  </si>
  <si>
    <t>长度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</si>
  <si>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</si>
  <si>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t>m</t>
    <phoneticPr fontId="5" type="noConversion"/>
  </si>
  <si>
    <t>土方开挖</t>
    <phoneticPr fontId="5" type="noConversion"/>
  </si>
  <si>
    <t>石方开挖</t>
    <phoneticPr fontId="5" type="noConversion"/>
  </si>
  <si>
    <t>土石方回填</t>
    <phoneticPr fontId="5" type="noConversion"/>
  </si>
  <si>
    <t>垫层</t>
    <phoneticPr fontId="5" type="noConversion"/>
  </si>
  <si>
    <t>预制桩长</t>
    <phoneticPr fontId="5" type="noConversion"/>
  </si>
  <si>
    <t>地基处理</t>
    <phoneticPr fontId="5" type="noConversion"/>
  </si>
  <si>
    <t>m3</t>
    <phoneticPr fontId="5" type="noConversion"/>
  </si>
  <si>
    <t>极限荷载</t>
    <phoneticPr fontId="5" type="noConversion"/>
  </si>
  <si>
    <t>地基承载力</t>
    <phoneticPr fontId="5" type="noConversion"/>
  </si>
  <si>
    <t>单机容量</t>
    <phoneticPr fontId="5" type="noConversion"/>
  </si>
  <si>
    <t>基础防水</t>
    <phoneticPr fontId="5" type="noConversion"/>
  </si>
  <si>
    <t>基础防水</t>
    <phoneticPr fontId="5" type="noConversion"/>
  </si>
  <si>
    <t>设防烈度</t>
    <phoneticPr fontId="5" type="noConversion"/>
  </si>
  <si>
    <t>承载力</t>
    <phoneticPr fontId="5" type="noConversion"/>
  </si>
  <si>
    <t>风机基础数据库</t>
    <phoneticPr fontId="5" type="noConversion"/>
  </si>
  <si>
    <t>土方比</t>
    <phoneticPr fontId="5" type="noConversion"/>
  </si>
  <si>
    <t>地形类别</t>
    <phoneticPr fontId="5" type="noConversion"/>
  </si>
  <si>
    <t>平原</t>
    <phoneticPr fontId="5" type="noConversion"/>
  </si>
  <si>
    <t>丘陵</t>
    <phoneticPr fontId="5" type="noConversion"/>
  </si>
  <si>
    <t>缓坡低山</t>
    <phoneticPr fontId="5" type="noConversion"/>
  </si>
  <si>
    <t>陡坡低山</t>
    <phoneticPr fontId="5" type="noConversion"/>
  </si>
  <si>
    <t>缓坡中山</t>
    <phoneticPr fontId="5" type="noConversion"/>
  </si>
  <si>
    <t>陡坡中山</t>
    <phoneticPr fontId="5" type="noConversion"/>
  </si>
  <si>
    <t>缓坡高山</t>
    <phoneticPr fontId="5" type="noConversion"/>
  </si>
  <si>
    <t>陡坡高山</t>
    <phoneticPr fontId="5" type="noConversion"/>
  </si>
  <si>
    <t>升压站</t>
    <phoneticPr fontId="5" type="noConversion"/>
  </si>
  <si>
    <t>桥梁</t>
    <phoneticPr fontId="5" type="noConversion"/>
  </si>
  <si>
    <t>箱变基础</t>
    <phoneticPr fontId="5" type="noConversion"/>
  </si>
  <si>
    <t>风机容量</t>
    <phoneticPr fontId="5" type="noConversion"/>
  </si>
  <si>
    <t>箱变容量</t>
    <phoneticPr fontId="5" type="noConversion"/>
  </si>
  <si>
    <t>长</t>
    <phoneticPr fontId="5" type="noConversion"/>
  </si>
  <si>
    <t>宽</t>
    <phoneticPr fontId="5" type="noConversion"/>
  </si>
  <si>
    <t>高</t>
    <phoneticPr fontId="5" type="noConversion"/>
  </si>
  <si>
    <t>壁厚</t>
    <phoneticPr fontId="5" type="noConversion"/>
  </si>
  <si>
    <t>压顶高</t>
    <phoneticPr fontId="5" type="noConversion"/>
  </si>
  <si>
    <t>土方开挖</t>
    <phoneticPr fontId="5" type="noConversion"/>
  </si>
  <si>
    <t>石方开挖</t>
    <phoneticPr fontId="5" type="noConversion"/>
  </si>
  <si>
    <t>土石回填</t>
    <phoneticPr fontId="5" type="noConversion"/>
  </si>
  <si>
    <t>C35混凝土压顶</t>
    <phoneticPr fontId="5" type="noConversion"/>
  </si>
  <si>
    <t>C15垫层</t>
    <phoneticPr fontId="5" type="noConversion"/>
  </si>
  <si>
    <t>MU10砖</t>
    <phoneticPr fontId="5" type="noConversion"/>
  </si>
  <si>
    <t>钢筋</t>
    <phoneticPr fontId="5" type="noConversion"/>
  </si>
  <si>
    <t>序号</t>
  </si>
  <si>
    <t>m3</t>
  </si>
  <si>
    <t>C35混凝土</t>
  </si>
  <si>
    <t>C15混凝土</t>
  </si>
  <si>
    <t>MU10砖</t>
  </si>
  <si>
    <t>地形类别</t>
    <phoneticPr fontId="5" type="noConversion"/>
  </si>
  <si>
    <t>改扩建道路</t>
    <phoneticPr fontId="5" type="noConversion"/>
  </si>
  <si>
    <t>进站道路</t>
    <phoneticPr fontId="5" type="noConversion"/>
  </si>
  <si>
    <t>施工检修道路</t>
    <phoneticPr fontId="5" type="noConversion"/>
  </si>
  <si>
    <t>道路平台工程</t>
    <phoneticPr fontId="5" type="noConversion"/>
  </si>
  <si>
    <t>序号</t>
    <phoneticPr fontId="5" type="noConversion"/>
  </si>
  <si>
    <t>备注</t>
    <phoneticPr fontId="5" type="noConversion"/>
  </si>
  <si>
    <t>场外改扩建道路</t>
    <phoneticPr fontId="5" type="noConversion"/>
  </si>
  <si>
    <t>km</t>
    <phoneticPr fontId="5" type="noConversion"/>
  </si>
  <si>
    <r>
      <t>m</t>
    </r>
    <r>
      <rPr>
        <vertAlign val="superscript"/>
        <sz val="10.5"/>
        <rFont val="Times New Roman"/>
        <family val="1"/>
      </rPr>
      <t>2</t>
    </r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</si>
  <si>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</si>
  <si>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m</t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</si>
  <si>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</si>
  <si>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</si>
  <si>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</si>
  <si>
    <t>施工检修道路工程</t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</si>
  <si>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</si>
  <si>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t>浆砌石排水沟</t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</si>
  <si>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</si>
  <si>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t>草皮护坡</t>
    <phoneticPr fontId="5" type="noConversion"/>
  </si>
  <si>
    <t>桥梁</t>
    <phoneticPr fontId="5" type="noConversion"/>
  </si>
  <si>
    <t>吊装平台工程</t>
  </si>
  <si>
    <t>一般场地平整</t>
  </si>
  <si>
    <r>
      <t>M7.5</t>
    </r>
    <r>
      <rPr>
        <sz val="10.5"/>
        <rFont val="宋体"/>
        <family val="3"/>
        <charset val="134"/>
      </rPr>
      <t>浆砌片石护坡</t>
    </r>
  </si>
  <si>
    <t>合计</t>
    <phoneticPr fontId="5" type="noConversion"/>
  </si>
  <si>
    <t>基础土方比</t>
    <phoneticPr fontId="5" type="noConversion"/>
  </si>
  <si>
    <t>基础石方比</t>
    <phoneticPr fontId="5" type="noConversion"/>
  </si>
  <si>
    <t>道路土方比</t>
    <phoneticPr fontId="5" type="noConversion"/>
  </si>
  <si>
    <t>道路石方比</t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</si>
  <si>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</si>
  <si>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山皮石路面(20cm厚)</t>
    <phoneticPr fontId="5" type="noConversion"/>
  </si>
  <si>
    <r>
      <t>C</t>
    </r>
    <r>
      <rPr>
        <sz val="10.5"/>
        <rFont val="宋体"/>
        <family val="3"/>
        <charset val="134"/>
      </rPr>
      <t>30</t>
    </r>
    <r>
      <rPr>
        <sz val="10.5"/>
        <rFont val="宋体"/>
        <family val="3"/>
        <charset val="134"/>
      </rPr>
      <t>混凝土路面(20cm厚)</t>
    </r>
    <phoneticPr fontId="5" type="noConversion"/>
  </si>
  <si>
    <t>进站道路</t>
    <phoneticPr fontId="5" type="noConversion"/>
  </si>
  <si>
    <t>km</t>
    <phoneticPr fontId="5" type="noConversion"/>
  </si>
  <si>
    <t>台</t>
    <phoneticPr fontId="5" type="noConversion"/>
  </si>
  <si>
    <t>数量/km</t>
    <phoneticPr fontId="5" type="noConversion"/>
  </si>
  <si>
    <t>浆砌石排水沟</t>
    <phoneticPr fontId="5" type="noConversion"/>
  </si>
  <si>
    <t>一</t>
    <phoneticPr fontId="5" type="noConversion"/>
  </si>
  <si>
    <t>二</t>
    <phoneticPr fontId="5" type="noConversion"/>
  </si>
  <si>
    <t>三</t>
    <phoneticPr fontId="5" type="noConversion"/>
  </si>
  <si>
    <t>四</t>
    <phoneticPr fontId="5" type="noConversion"/>
  </si>
  <si>
    <t>新建</t>
  </si>
  <si>
    <t>新建</t>
    <phoneticPr fontId="5" type="noConversion"/>
  </si>
  <si>
    <t>利用原有</t>
    <phoneticPr fontId="5" type="noConversion"/>
  </si>
  <si>
    <t>三</t>
    <phoneticPr fontId="5" type="noConversion"/>
  </si>
  <si>
    <t>浆砌石排水沟</t>
    <phoneticPr fontId="5" type="noConversion"/>
  </si>
  <si>
    <t>进站道路</t>
    <phoneticPr fontId="5" type="noConversion"/>
  </si>
  <si>
    <t>施工检修道路工程</t>
    <phoneticPr fontId="5" type="noConversion"/>
  </si>
  <si>
    <t>山皮石路面(20cm厚)</t>
    <phoneticPr fontId="5" type="noConversion"/>
  </si>
  <si>
    <t>草皮护坡</t>
    <phoneticPr fontId="5" type="noConversion"/>
  </si>
  <si>
    <t>桥梁</t>
    <phoneticPr fontId="5" type="noConversion"/>
  </si>
  <si>
    <t>km</t>
    <phoneticPr fontId="5" type="noConversion"/>
  </si>
  <si>
    <t>km</t>
    <phoneticPr fontId="5" type="noConversion"/>
  </si>
  <si>
    <t>四</t>
    <phoneticPr fontId="5" type="noConversion"/>
  </si>
  <si>
    <t>浆砌石排水沟</t>
    <phoneticPr fontId="5" type="noConversion"/>
  </si>
  <si>
    <t>台</t>
    <phoneticPr fontId="5" type="noConversion"/>
  </si>
  <si>
    <t>级配碎石基层(20cm厚)</t>
    <phoneticPr fontId="5" type="noConversion"/>
  </si>
  <si>
    <t>标志标牌</t>
    <phoneticPr fontId="5" type="noConversion"/>
  </si>
  <si>
    <t>波形护栏</t>
    <phoneticPr fontId="5" type="noConversion"/>
  </si>
  <si>
    <t>块</t>
    <phoneticPr fontId="5" type="noConversion"/>
  </si>
  <si>
    <t>m</t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</si>
  <si>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</si>
  <si>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t>标志标牌</t>
    <phoneticPr fontId="5" type="noConversion"/>
  </si>
  <si>
    <t>块</t>
    <phoneticPr fontId="5" type="noConversion"/>
  </si>
  <si>
    <t>m</t>
    <phoneticPr fontId="5" type="noConversion"/>
  </si>
  <si>
    <t>草皮护坡</t>
    <phoneticPr fontId="5" type="noConversion"/>
  </si>
  <si>
    <r>
      <t>C</t>
    </r>
    <r>
      <rPr>
        <sz val="10.5"/>
        <rFont val="宋体"/>
        <family val="3"/>
        <charset val="134"/>
      </rPr>
      <t>80二次灌浆</t>
    </r>
    <phoneticPr fontId="5" type="noConversion"/>
  </si>
  <si>
    <t>M48预应力
锚栓（m)</t>
    <phoneticPr fontId="5" type="noConversion"/>
  </si>
  <si>
    <t>灌注桩承台基础</t>
  </si>
  <si>
    <t>单台总桩长</t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</si>
  <si>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浆砌片石护坡</t>
    </r>
  </si>
  <si>
    <r>
      <t>m</t>
    </r>
    <r>
      <rPr>
        <sz val="11"/>
        <color rgb="FF3F3F76"/>
        <rFont val="宋体"/>
        <family val="3"/>
        <charset val="134"/>
        <scheme val="minor"/>
      </rPr>
      <t>2</t>
    </r>
  </si>
  <si>
    <r>
      <t>m</t>
    </r>
    <r>
      <rPr>
        <sz val="11"/>
        <color rgb="FF3F3F76"/>
        <rFont val="宋体"/>
        <family val="3"/>
        <charset val="134"/>
        <scheme val="minor"/>
      </rPr>
      <t>3</t>
    </r>
  </si>
  <si>
    <r>
      <t>级配碎石路面</t>
    </r>
    <r>
      <rPr>
        <sz val="11"/>
        <color rgb="FF3F3F76"/>
        <rFont val="宋体"/>
        <family val="3"/>
        <charset val="134"/>
        <scheme val="minor"/>
      </rPr>
      <t>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</si>
  <si>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</si>
  <si>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</si>
  <si>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</si>
  <si>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r>
      <t>M7.5</t>
    </r>
    <r>
      <rPr>
        <sz val="11"/>
        <color rgb="FF3F3F76"/>
        <rFont val="宋体"/>
        <family val="3"/>
        <charset val="134"/>
        <scheme val="minor"/>
      </rPr>
      <t>浆砌片石挡墙</t>
    </r>
    <phoneticPr fontId="5" type="noConversion"/>
  </si>
  <si>
    <r>
      <t>C</t>
    </r>
    <r>
      <rPr>
        <sz val="11"/>
        <color rgb="FF3F3F76"/>
        <rFont val="宋体"/>
        <family val="3"/>
        <charset val="134"/>
        <scheme val="minor"/>
      </rPr>
      <t>30混凝土路面(20cm厚)</t>
    </r>
    <phoneticPr fontId="5" type="noConversion"/>
  </si>
  <si>
    <r>
      <t>D1000mm</t>
    </r>
    <r>
      <rPr>
        <sz val="11"/>
        <color rgb="FF3F3F76"/>
        <rFont val="宋体"/>
        <family val="3"/>
        <charset val="134"/>
        <scheme val="minor"/>
      </rPr>
      <t>圆管涵</t>
    </r>
    <phoneticPr fontId="5" type="noConversion"/>
  </si>
  <si>
    <t>M48预应力锚栓</t>
    <phoneticPr fontId="5" type="noConversion"/>
  </si>
  <si>
    <t>m</t>
    <phoneticPr fontId="5" type="noConversion"/>
  </si>
  <si>
    <t>C80二次灌浆</t>
    <phoneticPr fontId="5" type="noConversion"/>
  </si>
  <si>
    <t>改建</t>
    <phoneticPr fontId="5" type="noConversion"/>
  </si>
  <si>
    <t>新建</t>
    <phoneticPr fontId="5" type="noConversion"/>
  </si>
  <si>
    <t>无</t>
  </si>
  <si>
    <t>无</t>
    <phoneticPr fontId="5" type="noConversion"/>
  </si>
  <si>
    <t>围墙长度</t>
  </si>
  <si>
    <t>土方回填</t>
  </si>
  <si>
    <t>浆砌石护脚</t>
  </si>
  <si>
    <t>浆砌石排水沟</t>
  </si>
  <si>
    <t>道路面积</t>
  </si>
  <si>
    <t>绿化面积</t>
  </si>
  <si>
    <t>综合楼</t>
  </si>
  <si>
    <t>设备楼</t>
  </si>
  <si>
    <t>附属楼</t>
  </si>
  <si>
    <t>户外主要构筑物工程</t>
  </si>
  <si>
    <r>
      <t>主变基础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</si>
  <si>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C15</t>
    </r>
    <r>
      <rPr>
        <sz val="10.5"/>
        <color theme="1"/>
        <rFont val="宋体"/>
        <family val="3"/>
        <charset val="134"/>
      </rPr>
      <t>混凝土垫层</t>
    </r>
  </si>
  <si>
    <t>主变压器基础钢筋</t>
  </si>
  <si>
    <r>
      <t>事故油池</t>
    </r>
    <r>
      <rPr>
        <sz val="10.5"/>
        <color theme="1"/>
        <rFont val="Times New Roman"/>
        <family val="1"/>
      </rPr>
      <t>C30</t>
    </r>
    <r>
      <rPr>
        <sz val="10.5"/>
        <color theme="1"/>
        <rFont val="宋体"/>
        <family val="3"/>
        <charset val="134"/>
      </rPr>
      <t>混凝土</t>
    </r>
  </si>
  <si>
    <r>
      <t>事故油池</t>
    </r>
    <r>
      <rPr>
        <sz val="10.5"/>
        <color theme="1"/>
        <rFont val="Times New Roman"/>
        <family val="1"/>
      </rPr>
      <t>C15</t>
    </r>
    <r>
      <rPr>
        <sz val="10.5"/>
        <color theme="1"/>
        <rFont val="宋体"/>
        <family val="3"/>
        <charset val="134"/>
      </rPr>
      <t>垫层</t>
    </r>
  </si>
  <si>
    <t>事故油池钢筋</t>
  </si>
  <si>
    <r>
      <t>设备及架构基础</t>
    </r>
    <r>
      <rPr>
        <sz val="10.5"/>
        <color theme="1"/>
        <rFont val="Times New Roman"/>
        <family val="1"/>
      </rPr>
      <t>C25</t>
    </r>
    <r>
      <rPr>
        <sz val="10.5"/>
        <color theme="1"/>
        <rFont val="宋体"/>
        <family val="3"/>
        <charset val="134"/>
      </rPr>
      <t>混凝土</t>
    </r>
  </si>
  <si>
    <t>室外架构（型钢）</t>
  </si>
  <si>
    <t>预制混凝土杆</t>
  </si>
  <si>
    <t>避雷针</t>
  </si>
  <si>
    <r>
      <t>m</t>
    </r>
    <r>
      <rPr>
        <vertAlign val="superscript"/>
        <sz val="10.5"/>
        <color theme="1"/>
        <rFont val="Times New Roman"/>
        <family val="1"/>
      </rPr>
      <t>2</t>
    </r>
  </si>
  <si>
    <r>
      <t>m</t>
    </r>
    <r>
      <rPr>
        <vertAlign val="superscript"/>
        <sz val="10.5"/>
        <color theme="1"/>
        <rFont val="Times New Roman"/>
        <family val="1"/>
      </rPr>
      <t>3</t>
    </r>
  </si>
  <si>
    <t>等级</t>
    <phoneticPr fontId="18" type="noConversion"/>
  </si>
  <si>
    <t>容量</t>
    <phoneticPr fontId="18" type="noConversion"/>
  </si>
  <si>
    <t>升压站等级</t>
    <phoneticPr fontId="5" type="noConversion"/>
  </si>
  <si>
    <t>容量</t>
    <phoneticPr fontId="5" type="noConversion"/>
  </si>
  <si>
    <t>等级</t>
    <phoneticPr fontId="18" type="noConversion"/>
  </si>
  <si>
    <t>容量</t>
    <phoneticPr fontId="18" type="noConversion"/>
  </si>
  <si>
    <t>长</t>
    <phoneticPr fontId="18" type="noConversion"/>
  </si>
  <si>
    <t>宽</t>
    <phoneticPr fontId="18" type="noConversion"/>
  </si>
  <si>
    <t>围墙内面积</t>
    <phoneticPr fontId="18" type="noConversion"/>
  </si>
  <si>
    <t>放坡面积</t>
    <phoneticPr fontId="18" type="noConversion"/>
  </si>
  <si>
    <t>状态</t>
    <phoneticPr fontId="18" type="noConversion"/>
  </si>
  <si>
    <t>新建</t>
    <phoneticPr fontId="18" type="noConversion"/>
  </si>
  <si>
    <t>利用原有</t>
    <phoneticPr fontId="18" type="noConversion"/>
  </si>
  <si>
    <t>围墙长度</t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</si>
  <si>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</si>
  <si>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t>土方回填</t>
    <phoneticPr fontId="5" type="noConversion"/>
  </si>
  <si>
    <t>浆砌石护脚</t>
    <phoneticPr fontId="5" type="noConversion"/>
  </si>
  <si>
    <t>浆砌石排水沟</t>
    <phoneticPr fontId="5" type="noConversion"/>
  </si>
  <si>
    <t>0.5×0.4</t>
    <phoneticPr fontId="5" type="noConversion"/>
  </si>
  <si>
    <t>道路面积</t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</si>
  <si>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</si>
  <si>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t>综合楼</t>
    <phoneticPr fontId="5" type="noConversion"/>
  </si>
  <si>
    <t>设备楼</t>
    <phoneticPr fontId="5" type="noConversion"/>
  </si>
  <si>
    <t>附属楼</t>
    <phoneticPr fontId="5" type="noConversion"/>
  </si>
  <si>
    <t>户外主要构筑物工程</t>
    <phoneticPr fontId="5" type="noConversion"/>
  </si>
  <si>
    <r>
      <t>主变基础</t>
    </r>
    <r>
      <rPr>
        <sz val="10.5"/>
        <rFont val="Times New Roman"/>
        <family val="1"/>
      </rPr>
      <t>C30</t>
    </r>
    <r>
      <rPr>
        <sz val="10.5"/>
        <rFont val="宋体"/>
        <family val="3"/>
        <charset val="134"/>
      </rPr>
      <t>混凝土</t>
    </r>
    <phoneticPr fontId="5" type="noConversion"/>
  </si>
  <si>
    <t>C15混凝土垫层</t>
    <phoneticPr fontId="5" type="noConversion"/>
  </si>
  <si>
    <t>事故油池C30混凝土</t>
    <phoneticPr fontId="5" type="noConversion"/>
  </si>
  <si>
    <t>事故油池C15垫层</t>
    <phoneticPr fontId="5" type="noConversion"/>
  </si>
  <si>
    <t>事故油池钢筋</t>
    <phoneticPr fontId="5" type="noConversion"/>
  </si>
  <si>
    <r>
      <t>设备及架构基础</t>
    </r>
    <r>
      <rPr>
        <sz val="10.5"/>
        <rFont val="Times New Roman"/>
        <family val="1"/>
      </rPr>
      <t>C25</t>
    </r>
    <r>
      <rPr>
        <sz val="10.5"/>
        <rFont val="宋体"/>
        <family val="3"/>
        <charset val="134"/>
      </rPr>
      <t>混凝土</t>
    </r>
    <phoneticPr fontId="5" type="noConversion"/>
  </si>
  <si>
    <t>预制混凝土杆</t>
    <phoneticPr fontId="5" type="noConversion"/>
  </si>
  <si>
    <t>避雷针</t>
    <phoneticPr fontId="5" type="noConversion"/>
  </si>
  <si>
    <t>t</t>
    <phoneticPr fontId="5" type="noConversion"/>
  </si>
  <si>
    <t>序号</t>
    <phoneticPr fontId="5" type="noConversion"/>
  </si>
  <si>
    <t>含放坡面积</t>
    <phoneticPr fontId="5" type="noConversion"/>
  </si>
  <si>
    <t>工程量</t>
    <phoneticPr fontId="5" type="noConversion"/>
  </si>
  <si>
    <t>材料仓库</t>
  </si>
  <si>
    <t>工棚</t>
  </si>
  <si>
    <t>临时住宅及办公室施工生活区</t>
  </si>
  <si>
    <t>钢筋加工厂</t>
  </si>
  <si>
    <t>设备存放场</t>
  </si>
  <si>
    <t>施工机械停放场</t>
  </si>
  <si>
    <t>合计</t>
  </si>
  <si>
    <t>建筑面积（m2）</t>
  </si>
  <si>
    <t>占地面积（m2）</t>
  </si>
  <si>
    <t>风机基础及箱变</t>
  </si>
  <si>
    <t>集电线路</t>
  </si>
  <si>
    <t>施工辅企用地汇总表</t>
    <phoneticPr fontId="5" type="noConversion"/>
  </si>
  <si>
    <t>土石方平衡表</t>
    <phoneticPr fontId="5" type="noConversion"/>
  </si>
  <si>
    <t>吊装平台</t>
    <phoneticPr fontId="5" type="noConversion"/>
  </si>
  <si>
    <t>升压站工程</t>
    <phoneticPr fontId="5" type="noConversion"/>
  </si>
  <si>
    <t>道路工程</t>
    <phoneticPr fontId="5" type="noConversion"/>
  </si>
  <si>
    <t>用地面积（m2）</t>
  </si>
  <si>
    <t>变电站</t>
  </si>
  <si>
    <t>箱变基础</t>
    <phoneticPr fontId="5" type="noConversion"/>
  </si>
  <si>
    <t>风电机组基础</t>
    <phoneticPr fontId="5" type="noConversion"/>
  </si>
  <si>
    <t>含放坡</t>
    <phoneticPr fontId="5" type="noConversion"/>
  </si>
  <si>
    <t>用地面积（m2）</t>
    <phoneticPr fontId="5" type="noConversion"/>
  </si>
  <si>
    <t>回填（m3）</t>
    <phoneticPr fontId="5" type="noConversion"/>
  </si>
  <si>
    <t>弃土（m3）</t>
    <phoneticPr fontId="5" type="noConversion"/>
  </si>
  <si>
    <t>面积</t>
    <phoneticPr fontId="5" type="noConversion"/>
  </si>
  <si>
    <t>变电站围墙内面积</t>
    <phoneticPr fontId="5" type="noConversion"/>
  </si>
  <si>
    <t>变电站工程数量表</t>
    <phoneticPr fontId="5" type="noConversion"/>
  </si>
  <si>
    <t>序号</t>
    <phoneticPr fontId="5" type="noConversion"/>
  </si>
  <si>
    <t>永久用地面积表</t>
    <phoneticPr fontId="5" type="noConversion"/>
  </si>
  <si>
    <t>临时用地面积表</t>
    <phoneticPr fontId="5" type="noConversion"/>
  </si>
  <si>
    <t>施工辅企</t>
  </si>
  <si>
    <t>风电机组安装平台</t>
  </si>
  <si>
    <t>施工道路</t>
  </si>
  <si>
    <t>弃渣场</t>
  </si>
  <si>
    <t>进场道路</t>
  </si>
  <si>
    <t>电缆沟</t>
  </si>
  <si>
    <t>用地</t>
    <phoneticPr fontId="5" type="noConversion"/>
  </si>
  <si>
    <t>架空线路</t>
    <phoneticPr fontId="5" type="noConversion"/>
  </si>
  <si>
    <t>架空线路用地</t>
    <phoneticPr fontId="5" type="noConversion"/>
  </si>
  <si>
    <t>直埋电缆用地</t>
    <phoneticPr fontId="5" type="noConversion"/>
  </si>
  <si>
    <t>序号</t>
    <phoneticPr fontId="5" type="noConversion"/>
  </si>
  <si>
    <t>弃渣场工程量表</t>
    <phoneticPr fontId="5" type="noConversion"/>
  </si>
  <si>
    <t>开挖（m3）</t>
    <phoneticPr fontId="5" type="noConversion"/>
  </si>
  <si>
    <t>容量（m3）</t>
    <phoneticPr fontId="5" type="noConversion"/>
  </si>
  <si>
    <t>M7.5挡土墙（m3）</t>
    <phoneticPr fontId="5" type="noConversion"/>
  </si>
  <si>
    <t>截水沟（m）</t>
    <phoneticPr fontId="5" type="noConversion"/>
  </si>
  <si>
    <t>排水沟（m）</t>
    <phoneticPr fontId="5" type="noConversion"/>
  </si>
  <si>
    <r>
      <t>面积（m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</si>
  <si>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b/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</si>
  <si>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主要施工工程量汇总表</t>
    <phoneticPr fontId="5" type="noConversion"/>
  </si>
  <si>
    <t>数量</t>
  </si>
  <si>
    <t>风机机组</t>
  </si>
  <si>
    <t>台</t>
  </si>
  <si>
    <t>建筑面积</t>
  </si>
  <si>
    <t>m2</t>
  </si>
  <si>
    <t>主变压器</t>
  </si>
  <si>
    <t>土石方开挖</t>
  </si>
  <si>
    <t>万m3</t>
  </si>
  <si>
    <t>混凝土</t>
  </si>
  <si>
    <t>浆砌石</t>
  </si>
  <si>
    <t>架空线路</t>
    <phoneticPr fontId="5" type="noConversion"/>
  </si>
  <si>
    <t>直埋电缆</t>
    <phoneticPr fontId="5" type="noConversion"/>
  </si>
  <si>
    <t>km</t>
    <phoneticPr fontId="5" type="noConversion"/>
  </si>
  <si>
    <t>基</t>
    <phoneticPr fontId="5" type="noConversion"/>
  </si>
  <si>
    <t>架空线路塔基数量</t>
    <phoneticPr fontId="5" type="noConversion"/>
  </si>
  <si>
    <t>直埋电缆长度</t>
    <phoneticPr fontId="5" type="noConversion"/>
  </si>
  <si>
    <t>主变数量</t>
    <phoneticPr fontId="5" type="noConversion"/>
  </si>
  <si>
    <t>由风资源专业提供</t>
    <phoneticPr fontId="5" type="noConversion"/>
  </si>
  <si>
    <t>由地质专业提供</t>
    <phoneticPr fontId="5" type="noConversion"/>
  </si>
  <si>
    <t>由线路专业提供</t>
    <phoneticPr fontId="5" type="noConversion"/>
  </si>
  <si>
    <t>由电气专业提供</t>
    <phoneticPr fontId="5" type="noConversion"/>
  </si>
  <si>
    <t>土建专业填写</t>
    <phoneticPr fontId="5" type="noConversion"/>
  </si>
  <si>
    <t>桥梁</t>
    <phoneticPr fontId="5" type="noConversion"/>
  </si>
  <si>
    <t>线路总挖方</t>
    <phoneticPr fontId="5" type="noConversion"/>
  </si>
  <si>
    <t>线路总填方</t>
    <phoneticPr fontId="5" type="noConversion"/>
  </si>
  <si>
    <t>工况名称</t>
  </si>
  <si>
    <t>Fr(kN)</t>
  </si>
  <si>
    <t>Fy(kN)</t>
  </si>
  <si>
    <t>Fz(kN)</t>
  </si>
  <si>
    <t>Mr(kNm)</t>
  </si>
  <si>
    <t>My(kNm)</t>
  </si>
  <si>
    <t>Mz(kNm)</t>
  </si>
  <si>
    <t>正常运行荷载工况</t>
  </si>
  <si>
    <t>极端荷载工况</t>
  </si>
  <si>
    <t>多遇地震工况</t>
  </si>
  <si>
    <t>罕遇地震工况</t>
  </si>
  <si>
    <t>疲劳荷载工况(上限)</t>
  </si>
  <si>
    <t>疲劳荷载工况(下限)</t>
  </si>
  <si>
    <t>主要工况荷载表（不含安全系数）</t>
    <phoneticPr fontId="5" type="noConversion"/>
  </si>
  <si>
    <t>岩土参数值表</t>
    <phoneticPr fontId="5" type="noConversion"/>
  </si>
  <si>
    <t>土层编号</t>
  </si>
  <si>
    <t>岩土名称</t>
  </si>
  <si>
    <t>厚度(m)</t>
  </si>
  <si>
    <t>压缩模量Es(MPa)</t>
  </si>
  <si>
    <t>内聚力C(kPa)</t>
  </si>
  <si>
    <t>摩擦角ψ(°)</t>
  </si>
  <si>
    <t>承载力特征值fak(kPa)</t>
  </si>
  <si>
    <t>宽度承载力修正系数ηb</t>
  </si>
  <si>
    <t>深度承载力修正系数ηd</t>
  </si>
  <si>
    <t>地基抗震承载力修正系数ζa</t>
  </si>
  <si>
    <t>承载力标准值(kPa)</t>
  </si>
  <si>
    <t>碎石土</t>
  </si>
  <si>
    <t>全风化岩</t>
  </si>
  <si>
    <t>强风化岩</t>
    <phoneticPr fontId="5" type="noConversion"/>
  </si>
  <si>
    <t>中风化岩</t>
    <phoneticPr fontId="5" type="noConversion"/>
  </si>
  <si>
    <t>重力密度(kN/m3)</t>
    <phoneticPr fontId="5" type="noConversion"/>
  </si>
  <si>
    <t>风机基础计算结果</t>
    <phoneticPr fontId="5" type="noConversion"/>
  </si>
  <si>
    <t>项   目</t>
  </si>
  <si>
    <t>备  注</t>
  </si>
  <si>
    <t>计算值</t>
  </si>
  <si>
    <t>允许值</t>
  </si>
  <si>
    <t>1、地基承载力复核</t>
  </si>
  <si>
    <t>偏心距e/基础底面半径</t>
  </si>
  <si>
    <t>R(控制脱空面积)</t>
  </si>
  <si>
    <t>基础底面平均压力</t>
  </si>
  <si>
    <t>kPa</t>
  </si>
  <si>
    <t>基础底面最大压力</t>
  </si>
  <si>
    <t>2、基础变形验算</t>
  </si>
  <si>
    <t>沉降变形验算</t>
  </si>
  <si>
    <t>mm</t>
  </si>
  <si>
    <t>倾斜变形验算</t>
  </si>
  <si>
    <t>3、基础稳定性验算</t>
  </si>
  <si>
    <t>抗倾覆验算</t>
  </si>
  <si>
    <t>抗滑验算</t>
  </si>
  <si>
    <t>风机基础工程数量表</t>
    <phoneticPr fontId="5" type="noConversion"/>
  </si>
  <si>
    <t>箱变基础工程数量表</t>
    <phoneticPr fontId="5" type="noConversion"/>
  </si>
  <si>
    <t>主要工况荷载表（不含安全系数）</t>
  </si>
  <si>
    <t>表8-1</t>
    <phoneticPr fontId="5" type="noConversion"/>
  </si>
  <si>
    <t>岩土参数值表</t>
    <phoneticPr fontId="5" type="noConversion"/>
  </si>
  <si>
    <t>表8-2</t>
    <phoneticPr fontId="5" type="noConversion"/>
  </si>
  <si>
    <t>表8-3</t>
    <phoneticPr fontId="5" type="noConversion"/>
  </si>
  <si>
    <t>风机基础计算结果</t>
  </si>
  <si>
    <t>风机基础工程量表</t>
    <phoneticPr fontId="5" type="noConversion"/>
  </si>
  <si>
    <t>表8-5</t>
    <phoneticPr fontId="5" type="noConversion"/>
  </si>
  <si>
    <t>箱变基础工程量表</t>
    <phoneticPr fontId="5" type="noConversion"/>
  </si>
  <si>
    <t>变电站工程数量表</t>
    <phoneticPr fontId="5" type="noConversion"/>
  </si>
  <si>
    <t>表8-6</t>
    <phoneticPr fontId="5" type="noConversion"/>
  </si>
  <si>
    <t>表8-7</t>
    <phoneticPr fontId="5" type="noConversion"/>
  </si>
  <si>
    <t>表9-1</t>
    <phoneticPr fontId="5" type="noConversion"/>
  </si>
  <si>
    <t>土石方平衡表</t>
    <phoneticPr fontId="5" type="noConversion"/>
  </si>
  <si>
    <t>表9-2</t>
    <phoneticPr fontId="5" type="noConversion"/>
  </si>
  <si>
    <t>弃渣场工程量表</t>
    <phoneticPr fontId="5" type="noConversion"/>
  </si>
  <si>
    <t>表9-3</t>
    <phoneticPr fontId="5" type="noConversion"/>
  </si>
  <si>
    <t>永久用地面积表</t>
    <phoneticPr fontId="5" type="noConversion"/>
  </si>
  <si>
    <t>临时用地面积表</t>
    <phoneticPr fontId="5" type="noConversion"/>
  </si>
  <si>
    <t>主要施工工程量汇总表</t>
    <phoneticPr fontId="5" type="noConversion"/>
  </si>
  <si>
    <t>表9-4</t>
    <phoneticPr fontId="5" type="noConversion"/>
  </si>
  <si>
    <t>表9-5</t>
    <phoneticPr fontId="5" type="noConversion"/>
  </si>
  <si>
    <t>表9-6</t>
    <phoneticPr fontId="5" type="noConversion"/>
  </si>
  <si>
    <t>表8-4</t>
    <phoneticPr fontId="5" type="noConversion"/>
  </si>
  <si>
    <t>C30混凝土路面(20cm厚)</t>
    <phoneticPr fontId="5" type="noConversion"/>
  </si>
  <si>
    <t>C30混凝土路面(20cm厚)</t>
    <phoneticPr fontId="5" type="noConversion"/>
  </si>
  <si>
    <r>
      <t>C40</t>
    </r>
    <r>
      <rPr>
        <sz val="10.5"/>
        <rFont val="宋体"/>
        <family val="3"/>
        <charset val="134"/>
      </rPr>
      <t>混凝土</t>
    </r>
    <phoneticPr fontId="5" type="noConversion"/>
  </si>
  <si>
    <r>
      <t>2.5m</t>
    </r>
    <r>
      <rPr>
        <sz val="10.5"/>
        <rFont val="宋体"/>
        <family val="3"/>
        <charset val="134"/>
      </rPr>
      <t>高</t>
    </r>
    <phoneticPr fontId="5" type="noConversion"/>
  </si>
  <si>
    <r>
      <t>4.0m</t>
    </r>
    <r>
      <rPr>
        <sz val="10.5"/>
        <rFont val="宋体"/>
        <family val="3"/>
        <charset val="134"/>
      </rPr>
      <t>宽</t>
    </r>
    <phoneticPr fontId="5" type="noConversion"/>
  </si>
  <si>
    <r>
      <rPr>
        <sz val="10.5"/>
        <rFont val="宋体"/>
        <family val="3"/>
        <charset val="134"/>
      </rPr>
      <t>道路工程数量表</t>
    </r>
    <phoneticPr fontId="5" type="noConversion"/>
  </si>
  <si>
    <r>
      <t>山皮石路面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</si>
  <si>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</si>
  <si>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</si>
  <si>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级配碎石基层</t>
    </r>
    <r>
      <rPr>
        <sz val="10.5"/>
        <rFont val="Times New Roman"/>
        <family val="1"/>
      </rPr>
      <t>(20cm</t>
    </r>
    <r>
      <rPr>
        <sz val="10.5"/>
        <rFont val="宋体"/>
        <family val="3"/>
        <charset val="134"/>
      </rPr>
      <t>厚</t>
    </r>
    <r>
      <rPr>
        <sz val="10.5"/>
        <rFont val="Times New Roman"/>
        <family val="1"/>
      </rPr>
      <t>)</t>
    </r>
    <phoneticPr fontId="5" type="noConversion"/>
  </si>
  <si>
    <r>
      <t>M7.5</t>
    </r>
    <r>
      <rPr>
        <sz val="10.5"/>
        <rFont val="宋体"/>
        <family val="3"/>
        <charset val="134"/>
      </rPr>
      <t>浆砌片石挡墙</t>
    </r>
    <phoneticPr fontId="5" type="noConversion"/>
  </si>
  <si>
    <r>
      <t>D1000mm</t>
    </r>
    <r>
      <rPr>
        <sz val="10.5"/>
        <rFont val="宋体"/>
        <family val="3"/>
        <charset val="134"/>
      </rPr>
      <t>圆管涵</t>
    </r>
    <phoneticPr fontId="5" type="noConversion"/>
  </si>
  <si>
    <r>
      <rPr>
        <sz val="10.5"/>
        <rFont val="宋体"/>
        <family val="3"/>
        <charset val="134"/>
      </rPr>
      <t>施工辅企用地汇总表</t>
    </r>
    <phoneticPr fontId="5" type="noConversion"/>
  </si>
  <si>
    <r>
      <t>面积（m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</si>
  <si>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r>
      <t>喷播植草（m</t>
    </r>
    <r>
      <rPr>
        <sz val="11"/>
        <color rgb="FF3F3F3F"/>
        <rFont val="宋体"/>
        <family val="3"/>
        <charset val="134"/>
        <scheme val="minor"/>
      </rPr>
      <t>2）</t>
    </r>
    <phoneticPr fontId="5" type="noConversion"/>
  </si>
  <si>
    <t>{{numbers_2}}KM</t>
    <phoneticPr fontId="5" type="noConversion"/>
  </si>
  <si>
    <t>{{numbers_1}}KM</t>
    <phoneticPr fontId="5" type="noConversion"/>
  </si>
  <si>
    <t>{{numbers_3}}KM</t>
    <phoneticPr fontId="5" type="noConversion"/>
  </si>
  <si>
    <t>{{numbers_4}}</t>
    <phoneticPr fontId="5" type="noConversion"/>
  </si>
  <si>
    <t>材料仓库</t>
    <phoneticPr fontId="5" type="noConversion"/>
  </si>
  <si>
    <t>风机基础及箱变</t>
    <phoneticPr fontId="5" type="noConversion"/>
  </si>
  <si>
    <t>集电线路</t>
    <phoneticPr fontId="5" type="noConversion"/>
  </si>
  <si>
    <t>合计</t>
    <phoneticPr fontId="5" type="noConversion"/>
  </si>
  <si>
    <t>陡坡低山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</si>
</sst>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0.00_ "/>
    <numFmt numFmtId="177" formatCode="#&quot;台&quot;"/>
    <numFmt numFmtId="178" formatCode="#&quot;MW&quot;"/>
    <numFmt numFmtId="179" formatCode="#&quot;kpa&quot;"/>
    <numFmt numFmtId="180" formatCode="0_ "/>
    <numFmt numFmtId="181" formatCode="0.00&quot;km&quot;"/>
    <numFmt numFmtId="182" formatCode="0.00&quot;亩&quot;"/>
    <numFmt numFmtId="183" formatCode="0.000_ "/>
    <numFmt numFmtId="184" formatCode="0.00_);[Red]\(0.00\)"/>
    <numFmt numFmtId="185" formatCode="0.0&quot;MW&quot;"/>
  </numFmts>
  <fonts count="35" x14ac:knownFonts="1">
    <font>
      <sz val="12"/>
      <name val="宋体"/>
      <charset val="134"/>
    </font>
    <font>
      <sz val="12"/>
      <name val="黑体"/>
      <family val="3"/>
      <charset val="134"/>
    </font>
    <font>
      <sz val="10.5"/>
      <name val="Times New Roman"/>
      <family val="1"/>
    </font>
    <font>
      <sz val="10.5"/>
      <name val="宋体"/>
      <family val="3"/>
      <charset val="134"/>
    </font>
    <font>
      <vertAlign val="superscript"/>
      <sz val="10.5"/>
      <name val="Times New Roman"/>
      <family val="1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0.5"/>
      <color rgb="FFFF0000"/>
      <name val="宋体"/>
      <family val="3"/>
      <charset val="134"/>
    </font>
    <font>
      <b/>
      <sz val="10.5"/>
      <name val="宋体"/>
      <family val="3"/>
      <charset val="134"/>
    </font>
    <font>
      <b/>
      <sz val="10.5"/>
      <name val="Times New Roman"/>
      <family val="1"/>
    </font>
    <font>
      <b/>
      <sz val="10.5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3F3F76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vertAlign val="superscript"/>
      <sz val="10.5"/>
      <color theme="1"/>
      <name val="Times New Roman"/>
      <family val="1"/>
    </font>
    <font>
      <sz val="10.5"/>
      <color theme="1"/>
      <name val="Calibri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3F3F3F"/>
      <name val="宋体"/>
      <family val="3"/>
      <charset val="134"/>
      <scheme val="minor"/>
    </font>
    <font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6EFCE"/>
      </patternFill>
    </fill>
  </fills>
  <borders count="5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medium">
        <color auto="1"/>
      </top>
      <bottom style="thin">
        <color rgb="FF3F3F3F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auto="1"/>
      </bottom>
      <diagonal/>
    </border>
    <border>
      <left style="thin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medium">
        <color indexed="64"/>
      </top>
      <bottom style="thin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medium">
        <color indexed="64"/>
      </bottom>
      <diagonal/>
    </border>
    <border>
      <left style="medium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medium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medium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rgb="FF3F3F3F"/>
      </left>
      <right style="medium">
        <color rgb="FF3F3F3F"/>
      </right>
      <top style="thin">
        <color rgb="FF3F3F3F"/>
      </top>
      <bottom style="medium">
        <color rgb="FF3F3F3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indexed="8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19" fillId="5" borderId="19" applyNumberFormat="0" applyAlignment="0" applyProtection="0">
      <alignment vertical="center"/>
    </xf>
    <xf numFmtId="0" fontId="20" fillId="6" borderId="20" applyNumberFormat="0" applyAlignment="0" applyProtection="0">
      <alignment vertical="center"/>
    </xf>
    <xf numFmtId="0" fontId="21" fillId="6" borderId="19" applyNumberFormat="0" applyAlignment="0" applyProtection="0">
      <alignment vertical="center"/>
    </xf>
    <xf numFmtId="0" fontId="34" fillId="9" borderId="0" applyNumberFormat="0" applyBorder="0" applyAlignment="0" applyProtection="0">
      <alignment vertical="center"/>
    </xf>
  </cellStyleXfs>
  <cellXfs count="25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7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3" fillId="0" borderId="0" xfId="0" applyFont="1">
      <alignment vertical="center"/>
    </xf>
    <xf numFmtId="181" fontId="0" fillId="4" borderId="0" xfId="0" applyNumberFormat="1" applyFill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13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justify" vertical="center" wrapText="1"/>
    </xf>
    <xf numFmtId="0" fontId="16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1" fillId="6" borderId="19" xfId="3" applyAlignment="1">
      <alignment horizontal="center" vertical="center"/>
    </xf>
    <xf numFmtId="176" fontId="21" fillId="6" borderId="19" xfId="3" applyNumberFormat="1" applyAlignment="1">
      <alignment horizontal="center" vertical="center"/>
    </xf>
    <xf numFmtId="0" fontId="21" fillId="6" borderId="21" xfId="3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 wrapText="1"/>
    </xf>
    <xf numFmtId="176" fontId="20" fillId="6" borderId="20" xfId="2" applyNumberFormat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20" fillId="6" borderId="26" xfId="2" applyBorder="1" applyAlignment="1">
      <alignment horizontal="center" vertical="center"/>
    </xf>
    <xf numFmtId="177" fontId="20" fillId="6" borderId="26" xfId="2" applyNumberForma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180" fontId="20" fillId="6" borderId="20" xfId="2" applyNumberFormat="1" applyAlignment="1">
      <alignment horizontal="center" vertical="center"/>
    </xf>
    <xf numFmtId="176" fontId="20" fillId="6" borderId="28" xfId="2" applyNumberFormat="1" applyBorder="1" applyAlignment="1">
      <alignment horizontal="center" vertical="center"/>
    </xf>
    <xf numFmtId="180" fontId="20" fillId="6" borderId="28" xfId="2" applyNumberFormat="1" applyBorder="1" applyAlignment="1">
      <alignment horizontal="center" vertical="center"/>
    </xf>
    <xf numFmtId="0" fontId="19" fillId="5" borderId="19" xfId="1" applyAlignment="1">
      <alignment horizontal="center" vertical="center"/>
    </xf>
    <xf numFmtId="0" fontId="19" fillId="5" borderId="19" xfId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20" fillId="6" borderId="22" xfId="2" applyBorder="1" applyAlignment="1">
      <alignment horizontal="center" vertical="center"/>
    </xf>
    <xf numFmtId="177" fontId="20" fillId="6" borderId="22" xfId="2" applyNumberFormat="1" applyBorder="1" applyAlignment="1">
      <alignment horizontal="center" vertical="center" wrapText="1"/>
    </xf>
    <xf numFmtId="176" fontId="20" fillId="6" borderId="1" xfId="2" applyNumberFormat="1" applyBorder="1" applyAlignment="1">
      <alignment horizontal="center" vertical="center"/>
    </xf>
    <xf numFmtId="0" fontId="20" fillId="6" borderId="1" xfId="2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6" fillId="0" borderId="9" xfId="0" applyFont="1" applyBorder="1" applyAlignment="1">
      <alignment horizontal="center" vertical="center"/>
    </xf>
    <xf numFmtId="176" fontId="20" fillId="6" borderId="7" xfId="2" applyNumberFormat="1" applyBorder="1" applyAlignment="1">
      <alignment horizontal="center" vertical="center"/>
    </xf>
    <xf numFmtId="0" fontId="20" fillId="6" borderId="7" xfId="2" applyBorder="1" applyAlignment="1">
      <alignment horizontal="center" vertical="center"/>
    </xf>
    <xf numFmtId="0" fontId="23" fillId="5" borderId="19" xfId="1" applyFont="1" applyAlignment="1">
      <alignment horizontal="center" vertical="center" wrapText="1"/>
    </xf>
    <xf numFmtId="0" fontId="23" fillId="5" borderId="19" xfId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0" fillId="6" borderId="20" xfId="2" applyAlignment="1">
      <alignment horizontal="center" vertical="center" wrapText="1"/>
    </xf>
    <xf numFmtId="181" fontId="20" fillId="6" borderId="20" xfId="2" applyNumberFormat="1" applyAlignment="1">
      <alignment horizontal="center" vertical="center" wrapText="1"/>
    </xf>
    <xf numFmtId="0" fontId="20" fillId="6" borderId="29" xfId="2" applyBorder="1" applyAlignment="1">
      <alignment horizontal="center" vertical="center" wrapText="1"/>
    </xf>
    <xf numFmtId="0" fontId="20" fillId="6" borderId="30" xfId="2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19" fillId="5" borderId="19" xfId="1">
      <alignment vertical="center"/>
    </xf>
    <xf numFmtId="176" fontId="21" fillId="6" borderId="19" xfId="3" applyNumberFormat="1" applyAlignment="1">
      <alignment horizontal="center" vertical="center" wrapText="1"/>
    </xf>
    <xf numFmtId="176" fontId="3" fillId="0" borderId="25" xfId="0" applyNumberFormat="1" applyFont="1" applyBorder="1" applyAlignment="1">
      <alignment horizontal="center" vertical="center" wrapText="1"/>
    </xf>
    <xf numFmtId="176" fontId="3" fillId="0" borderId="27" xfId="0" applyNumberFormat="1" applyFont="1" applyBorder="1" applyAlignment="1">
      <alignment horizontal="center" vertical="center" wrapText="1"/>
    </xf>
    <xf numFmtId="176" fontId="3" fillId="0" borderId="32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 wrapText="1"/>
    </xf>
    <xf numFmtId="176" fontId="2" fillId="0" borderId="31" xfId="0" applyNumberFormat="1" applyFont="1" applyBorder="1" applyAlignment="1">
      <alignment horizontal="center" vertical="center" wrapText="1"/>
    </xf>
    <xf numFmtId="176" fontId="3" fillId="0" borderId="31" xfId="0" applyNumberFormat="1" applyFont="1" applyBorder="1" applyAlignment="1">
      <alignment horizontal="center" vertical="center" wrapText="1"/>
    </xf>
    <xf numFmtId="176" fontId="15" fillId="0" borderId="32" xfId="0" applyNumberFormat="1" applyFont="1" applyBorder="1" applyAlignment="1">
      <alignment horizontal="center" vertical="center"/>
    </xf>
    <xf numFmtId="176" fontId="3" fillId="0" borderId="33" xfId="0" applyNumberFormat="1" applyFont="1" applyBorder="1" applyAlignment="1">
      <alignment horizontal="center" vertical="center"/>
    </xf>
    <xf numFmtId="176" fontId="2" fillId="0" borderId="33" xfId="0" applyNumberFormat="1" applyFont="1" applyBorder="1" applyAlignment="1">
      <alignment horizontal="center" vertical="center" wrapText="1"/>
    </xf>
    <xf numFmtId="176" fontId="6" fillId="0" borderId="16" xfId="0" applyNumberFormat="1" applyFont="1" applyBorder="1" applyAlignment="1">
      <alignment horizontal="center" vertical="center"/>
    </xf>
    <xf numFmtId="176" fontId="6" fillId="0" borderId="34" xfId="0" applyNumberFormat="1" applyFont="1" applyBorder="1" applyAlignment="1">
      <alignment horizontal="center" vertical="center"/>
    </xf>
    <xf numFmtId="176" fontId="20" fillId="6" borderId="20" xfId="2" applyNumberFormat="1" applyAlignment="1">
      <alignment horizontal="center" vertical="center" wrapText="1"/>
    </xf>
    <xf numFmtId="176" fontId="20" fillId="6" borderId="37" xfId="2" applyNumberFormat="1" applyBorder="1" applyAlignment="1">
      <alignment horizontal="center" vertical="center" wrapText="1"/>
    </xf>
    <xf numFmtId="176" fontId="20" fillId="6" borderId="38" xfId="2" applyNumberForma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0" fillId="6" borderId="25" xfId="2" applyBorder="1" applyAlignment="1">
      <alignment horizontal="center" vertical="center"/>
    </xf>
    <xf numFmtId="0" fontId="20" fillId="6" borderId="11" xfId="2" applyBorder="1" applyAlignment="1">
      <alignment horizontal="center" vertical="center"/>
    </xf>
    <xf numFmtId="0" fontId="20" fillId="6" borderId="14" xfId="2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0" fillId="6" borderId="40" xfId="2" applyBorder="1" applyAlignment="1">
      <alignment horizontal="center" vertical="center"/>
    </xf>
    <xf numFmtId="0" fontId="20" fillId="6" borderId="41" xfId="2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76" fontId="20" fillId="6" borderId="43" xfId="2" applyNumberForma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0" fillId="6" borderId="20" xfId="2" applyAlignment="1">
      <alignment horizontal="center" vertical="center"/>
    </xf>
    <xf numFmtId="0" fontId="0" fillId="0" borderId="44" xfId="0" applyBorder="1" applyAlignment="1">
      <alignment horizontal="center" vertical="center"/>
    </xf>
    <xf numFmtId="176" fontId="20" fillId="6" borderId="45" xfId="2" applyNumberFormat="1" applyBorder="1" applyAlignment="1">
      <alignment horizontal="center" vertical="center"/>
    </xf>
    <xf numFmtId="176" fontId="20" fillId="6" borderId="46" xfId="2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76" fontId="20" fillId="6" borderId="11" xfId="2" applyNumberForma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6" fontId="20" fillId="6" borderId="14" xfId="2" applyNumberFormat="1" applyBorder="1" applyAlignment="1">
      <alignment horizontal="center" vertical="center"/>
    </xf>
    <xf numFmtId="182" fontId="20" fillId="6" borderId="15" xfId="2" applyNumberFormat="1" applyBorder="1" applyAlignment="1">
      <alignment horizontal="center" vertical="center"/>
    </xf>
    <xf numFmtId="183" fontId="20" fillId="6" borderId="11" xfId="2" applyNumberFormat="1" applyBorder="1" applyAlignment="1">
      <alignment horizontal="center" vertical="center"/>
    </xf>
    <xf numFmtId="183" fontId="20" fillId="6" borderId="14" xfId="2" applyNumberFormat="1" applyBorder="1" applyAlignment="1">
      <alignment horizontal="center" vertical="center"/>
    </xf>
    <xf numFmtId="0" fontId="20" fillId="6" borderId="39" xfId="2" applyBorder="1" applyAlignment="1">
      <alignment horizontal="center" vertical="center"/>
    </xf>
    <xf numFmtId="0" fontId="20" fillId="6" borderId="44" xfId="2" applyBorder="1" applyAlignment="1">
      <alignment horizontal="center" vertical="center"/>
    </xf>
    <xf numFmtId="0" fontId="20" fillId="6" borderId="45" xfId="2" applyBorder="1" applyAlignment="1">
      <alignment horizontal="center" vertical="center"/>
    </xf>
    <xf numFmtId="0" fontId="20" fillId="6" borderId="46" xfId="2" applyBorder="1" applyAlignment="1">
      <alignment horizontal="center" vertical="center"/>
    </xf>
    <xf numFmtId="180" fontId="0" fillId="0" borderId="35" xfId="0" applyNumberFormat="1" applyBorder="1" applyAlignment="1">
      <alignment horizontal="center" vertical="center"/>
    </xf>
    <xf numFmtId="180" fontId="0" fillId="0" borderId="36" xfId="0" applyNumberFormat="1" applyBorder="1" applyAlignment="1">
      <alignment horizontal="center" vertical="center"/>
    </xf>
    <xf numFmtId="184" fontId="20" fillId="6" borderId="11" xfId="2" applyNumberFormat="1" applyBorder="1" applyAlignment="1">
      <alignment horizontal="center" vertical="center"/>
    </xf>
    <xf numFmtId="184" fontId="20" fillId="6" borderId="14" xfId="2" applyNumberForma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0" fillId="7" borderId="0" xfId="0" applyFill="1" applyAlignment="1">
      <alignment horizontal="center" vertical="center"/>
    </xf>
    <xf numFmtId="0" fontId="6" fillId="7" borderId="0" xfId="0" applyFont="1" applyFill="1">
      <alignment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>
      <alignment vertical="center"/>
    </xf>
    <xf numFmtId="0" fontId="6" fillId="4" borderId="0" xfId="0" applyFont="1" applyFill="1">
      <alignment vertical="center"/>
    </xf>
    <xf numFmtId="185" fontId="12" fillId="3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28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20" fillId="6" borderId="0" xfId="2" applyNumberForma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3" fillId="0" borderId="32" xfId="0" applyFont="1" applyBorder="1" applyAlignment="1">
      <alignment horizontal="justify" vertical="center" wrapText="1"/>
    </xf>
    <xf numFmtId="0" fontId="2" fillId="0" borderId="32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justify" vertical="center" wrapText="1"/>
    </xf>
    <xf numFmtId="0" fontId="3" fillId="0" borderId="32" xfId="0" applyFont="1" applyBorder="1" applyAlignment="1">
      <alignment horizontal="center" vertical="center" wrapText="1"/>
    </xf>
    <xf numFmtId="0" fontId="14" fillId="0" borderId="31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justify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50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84" fontId="6" fillId="0" borderId="20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2" fillId="0" borderId="25" xfId="2" applyFont="1" applyFill="1" applyBorder="1" applyAlignment="1">
      <alignment horizontal="center" vertical="center"/>
    </xf>
    <xf numFmtId="0" fontId="32" fillId="0" borderId="32" xfId="2" applyFont="1" applyFill="1" applyBorder="1" applyAlignment="1">
      <alignment horizontal="center" vertical="center"/>
    </xf>
    <xf numFmtId="0" fontId="32" fillId="0" borderId="33" xfId="2" applyFont="1" applyFill="1" applyBorder="1" applyAlignment="1">
      <alignment horizontal="center" vertical="center"/>
    </xf>
    <xf numFmtId="176" fontId="32" fillId="0" borderId="37" xfId="2" applyNumberFormat="1" applyFont="1" applyFill="1" applyBorder="1" applyAlignment="1">
      <alignment horizontal="center" vertical="center" wrapText="1"/>
    </xf>
    <xf numFmtId="180" fontId="6" fillId="0" borderId="35" xfId="0" applyNumberFormat="1" applyFont="1" applyBorder="1" applyAlignment="1">
      <alignment horizontal="center" vertical="center"/>
    </xf>
    <xf numFmtId="176" fontId="32" fillId="0" borderId="20" xfId="2" applyNumberFormat="1" applyFont="1" applyFill="1" applyAlignment="1">
      <alignment horizontal="center" vertical="center" wrapText="1"/>
    </xf>
    <xf numFmtId="180" fontId="6" fillId="0" borderId="36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2" fillId="0" borderId="25" xfId="2" applyFont="1" applyFill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2" fillId="0" borderId="32" xfId="2" applyFont="1" applyFill="1" applyBorder="1" applyAlignment="1">
      <alignment horizontal="center" vertical="center" wrapText="1"/>
    </xf>
    <xf numFmtId="0" fontId="32" fillId="0" borderId="33" xfId="2" applyFont="1" applyFill="1" applyBorder="1" applyAlignment="1">
      <alignment horizontal="center" vertical="center" wrapText="1"/>
    </xf>
    <xf numFmtId="184" fontId="6" fillId="0" borderId="39" xfId="0" applyNumberFormat="1" applyFont="1" applyBorder="1" applyAlignment="1">
      <alignment horizontal="center" vertical="center"/>
    </xf>
    <xf numFmtId="184" fontId="6" fillId="0" borderId="40" xfId="0" applyNumberFormat="1" applyFont="1" applyBorder="1" applyAlignment="1">
      <alignment horizontal="center" vertical="center"/>
    </xf>
    <xf numFmtId="184" fontId="32" fillId="0" borderId="40" xfId="2" applyNumberFormat="1" applyFont="1" applyFill="1" applyBorder="1" applyAlignment="1">
      <alignment horizontal="center" vertical="center"/>
    </xf>
    <xf numFmtId="184" fontId="32" fillId="0" borderId="41" xfId="2" applyNumberFormat="1" applyFont="1" applyFill="1" applyBorder="1" applyAlignment="1">
      <alignment horizontal="center" vertical="center"/>
    </xf>
    <xf numFmtId="184" fontId="6" fillId="0" borderId="42" xfId="0" applyNumberFormat="1" applyFont="1" applyBorder="1" applyAlignment="1">
      <alignment horizontal="center" vertical="center"/>
    </xf>
    <xf numFmtId="184" fontId="32" fillId="0" borderId="20" xfId="2" applyNumberFormat="1" applyFont="1" applyFill="1" applyAlignment="1">
      <alignment horizontal="center" vertical="center"/>
    </xf>
    <xf numFmtId="184" fontId="32" fillId="0" borderId="43" xfId="2" applyNumberFormat="1" applyFont="1" applyFill="1" applyBorder="1" applyAlignment="1">
      <alignment horizontal="center" vertical="center"/>
    </xf>
    <xf numFmtId="184" fontId="6" fillId="0" borderId="44" xfId="0" applyNumberFormat="1" applyFont="1" applyBorder="1" applyAlignment="1">
      <alignment horizontal="center" vertical="center"/>
    </xf>
    <xf numFmtId="184" fontId="6" fillId="0" borderId="45" xfId="0" applyNumberFormat="1" applyFont="1" applyBorder="1" applyAlignment="1">
      <alignment horizontal="center" vertical="center"/>
    </xf>
    <xf numFmtId="184" fontId="32" fillId="0" borderId="45" xfId="2" applyNumberFormat="1" applyFont="1" applyFill="1" applyBorder="1" applyAlignment="1">
      <alignment horizontal="center" vertical="center"/>
    </xf>
    <xf numFmtId="184" fontId="32" fillId="0" borderId="46" xfId="2" applyNumberFormat="1" applyFont="1" applyFill="1" applyBorder="1" applyAlignment="1">
      <alignment horizontal="center" vertical="center"/>
    </xf>
    <xf numFmtId="0" fontId="32" fillId="0" borderId="39" xfId="2" applyFont="1" applyFill="1" applyBorder="1" applyAlignment="1">
      <alignment horizontal="center" vertical="center"/>
    </xf>
    <xf numFmtId="0" fontId="32" fillId="0" borderId="40" xfId="2" applyFont="1" applyFill="1" applyBorder="1" applyAlignment="1">
      <alignment horizontal="center" vertical="center"/>
    </xf>
    <xf numFmtId="0" fontId="32" fillId="0" borderId="41" xfId="2" applyFont="1" applyFill="1" applyBorder="1" applyAlignment="1">
      <alignment horizontal="center" vertical="center"/>
    </xf>
    <xf numFmtId="0" fontId="32" fillId="0" borderId="44" xfId="2" applyFont="1" applyFill="1" applyBorder="1" applyAlignment="1">
      <alignment horizontal="center" vertical="center"/>
    </xf>
    <xf numFmtId="0" fontId="32" fillId="0" borderId="45" xfId="2" applyFont="1" applyFill="1" applyBorder="1" applyAlignment="1">
      <alignment horizontal="center" vertical="center"/>
    </xf>
    <xf numFmtId="0" fontId="32" fillId="0" borderId="46" xfId="2" applyFont="1" applyFill="1" applyBorder="1" applyAlignment="1">
      <alignment horizontal="center" vertical="center"/>
    </xf>
    <xf numFmtId="176" fontId="32" fillId="0" borderId="25" xfId="2" applyNumberFormat="1" applyFont="1" applyFill="1" applyBorder="1" applyAlignment="1">
      <alignment horizontal="center" vertical="center"/>
    </xf>
    <xf numFmtId="176" fontId="32" fillId="0" borderId="32" xfId="2" applyNumberFormat="1" applyFont="1" applyFill="1" applyBorder="1" applyAlignment="1">
      <alignment horizontal="center" vertical="center"/>
    </xf>
    <xf numFmtId="176" fontId="32" fillId="0" borderId="33" xfId="2" applyNumberFormat="1" applyFont="1" applyFill="1" applyBorder="1" applyAlignment="1">
      <alignment horizontal="center" vertical="center"/>
    </xf>
    <xf numFmtId="182" fontId="32" fillId="0" borderId="34" xfId="2" applyNumberFormat="1" applyFont="1" applyFill="1" applyBorder="1" applyAlignment="1">
      <alignment horizontal="center" vertical="center"/>
    </xf>
    <xf numFmtId="0" fontId="34" fillId="9" borderId="0" xfId="4" applyAlignment="1">
      <alignment horizontal="center" vertical="center"/>
    </xf>
    <xf numFmtId="178" fontId="34" fillId="9" borderId="0" xfId="4" applyNumberFormat="1" applyAlignment="1">
      <alignment horizontal="center" vertical="center"/>
    </xf>
    <xf numFmtId="0" fontId="34" fillId="9" borderId="19" xfId="4" applyBorder="1" applyAlignment="1">
      <alignment horizontal="center" vertical="center"/>
    </xf>
    <xf numFmtId="0" fontId="34" fillId="9" borderId="21" xfId="4" applyBorder="1" applyAlignment="1">
      <alignment horizontal="center" vertical="center"/>
    </xf>
    <xf numFmtId="176" fontId="34" fillId="9" borderId="19" xfId="4" applyNumberFormat="1" applyBorder="1" applyAlignment="1">
      <alignment horizontal="center" vertical="center"/>
    </xf>
    <xf numFmtId="0" fontId="6" fillId="0" borderId="51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6" fillId="0" borderId="53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4" borderId="47" xfId="0" applyFont="1" applyFill="1" applyBorder="1" applyAlignment="1">
      <alignment horizontal="center" vertical="center"/>
    </xf>
    <xf numFmtId="0" fontId="6" fillId="4" borderId="49" xfId="0" applyFont="1" applyFill="1" applyBorder="1" applyAlignment="1">
      <alignment horizontal="center" vertical="center"/>
    </xf>
    <xf numFmtId="0" fontId="6" fillId="4" borderId="48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5">
    <cellStyle name="常规" xfId="0" builtinId="0"/>
    <cellStyle name="好" xfId="4" builtinId="26"/>
    <cellStyle name="计算" xfId="3" builtinId="22"/>
    <cellStyle name="输出" xfId="2" builtinId="21"/>
    <cellStyle name="输入" xfId="1" builtinId="2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9"/>
  <sheetViews>
    <sheetView topLeftCell="A7" zoomScaleNormal="100" workbookViewId="0">
      <selection activeCell="C136" sqref="C136"/>
    </sheetView>
  </sheetViews>
  <sheetFormatPr defaultRowHeight="14.25" x14ac:dyDescent="0.15"/>
  <cols>
    <col min="1" max="1" width="20.5" style="2" bestFit="1" customWidth="1"/>
    <col min="2" max="2" width="23.75" style="2" customWidth="1"/>
    <col min="3" max="3" width="17.375" style="2" customWidth="1"/>
    <col min="4" max="4" width="14.25" style="2" customWidth="1"/>
    <col min="5" max="5" width="18.25" style="2" customWidth="1"/>
    <col min="6" max="6" width="10" style="2" bestFit="1" customWidth="1"/>
    <col min="7" max="10" width="9" style="2"/>
    <col min="11" max="11" width="11.25" style="2" customWidth="1"/>
    <col min="12" max="12" width="11.625" style="2" customWidth="1"/>
    <col min="13" max="13" width="9" style="2"/>
    <col min="14" max="14" width="11.25" style="2" customWidth="1"/>
    <col min="15" max="15" width="11.5" style="2" customWidth="1"/>
    <col min="16" max="16" width="11.75" style="2" customWidth="1"/>
    <col min="17" max="16384" width="9" style="2"/>
  </cols>
  <sheetData>
    <row r="1" spans="1:12" ht="18" customHeight="1" thickBot="1" x14ac:dyDescent="0.2">
      <c r="A1" s="145" t="s">
        <v>363</v>
      </c>
      <c r="B1" s="14"/>
      <c r="C1" s="14" t="s">
        <v>362</v>
      </c>
      <c r="D1" s="14"/>
      <c r="E1" s="14"/>
      <c r="F1" s="14"/>
    </row>
    <row r="2" spans="1:12" ht="18" customHeight="1" x14ac:dyDescent="0.15">
      <c r="A2" s="121" t="s">
        <v>311</v>
      </c>
      <c r="B2" s="174" t="s">
        <v>312</v>
      </c>
      <c r="C2" s="174" t="s">
        <v>313</v>
      </c>
      <c r="D2" s="174" t="s">
        <v>314</v>
      </c>
      <c r="E2" s="174" t="s">
        <v>315</v>
      </c>
      <c r="F2" s="174" t="s">
        <v>316</v>
      </c>
      <c r="G2" s="177" t="s">
        <v>317</v>
      </c>
    </row>
    <row r="3" spans="1:12" ht="18" customHeight="1" x14ac:dyDescent="0.15">
      <c r="A3" s="178" t="s">
        <v>318</v>
      </c>
      <c r="B3" s="175">
        <f>条件输入!B13</f>
        <v>588.5</v>
      </c>
      <c r="C3" s="175">
        <f>条件输入!C13</f>
        <v>0</v>
      </c>
      <c r="D3" s="175">
        <f>条件输入!D13</f>
        <v>4316.8</v>
      </c>
      <c r="E3" s="175">
        <f>条件输入!E13</f>
        <v>45321.2</v>
      </c>
      <c r="F3" s="175">
        <f>条件输入!F13</f>
        <v>0</v>
      </c>
      <c r="G3" s="179">
        <f>条件输入!G13</f>
        <v>1598.3</v>
      </c>
    </row>
    <row r="4" spans="1:12" ht="18" customHeight="1" x14ac:dyDescent="0.15">
      <c r="A4" s="178" t="s">
        <v>319</v>
      </c>
      <c r="B4" s="175">
        <f>条件输入!B14</f>
        <v>803.5</v>
      </c>
      <c r="C4" s="175">
        <f>条件输入!C14</f>
        <v>0</v>
      </c>
      <c r="D4" s="175">
        <f>条件输入!D14</f>
        <v>4285.2</v>
      </c>
      <c r="E4" s="175">
        <f>条件输入!E14</f>
        <v>64398.8</v>
      </c>
      <c r="F4" s="175">
        <f>条件输入!F14</f>
        <v>0</v>
      </c>
      <c r="G4" s="179">
        <f>条件输入!G14</f>
        <v>96.3</v>
      </c>
    </row>
    <row r="5" spans="1:12" ht="18" customHeight="1" x14ac:dyDescent="0.15">
      <c r="A5" s="178" t="s">
        <v>320</v>
      </c>
      <c r="B5" s="175">
        <f>条件输入!B15</f>
        <v>801.79899999999998</v>
      </c>
      <c r="C5" s="175">
        <f>条件输入!C15</f>
        <v>0</v>
      </c>
      <c r="D5" s="175">
        <f>条件输入!D15</f>
        <v>4194.4669999999996</v>
      </c>
      <c r="E5" s="175">
        <f>条件输入!E15</f>
        <v>46936.474000000002</v>
      </c>
      <c r="F5" s="175">
        <f>条件输入!F15</f>
        <v>0</v>
      </c>
      <c r="G5" s="179">
        <f>条件输入!G15</f>
        <v>1598.3</v>
      </c>
    </row>
    <row r="6" spans="1:12" ht="18" customHeight="1" x14ac:dyDescent="0.15">
      <c r="A6" s="178" t="s">
        <v>321</v>
      </c>
      <c r="B6" s="175">
        <f>条件输入!B16</f>
        <v>1908.0029999999999</v>
      </c>
      <c r="C6" s="175">
        <f>条件输入!C16</f>
        <v>0</v>
      </c>
      <c r="D6" s="175">
        <f>条件输入!D16</f>
        <v>3560.0259999999998</v>
      </c>
      <c r="E6" s="175">
        <f>条件输入!E16</f>
        <v>55861.254000000001</v>
      </c>
      <c r="F6" s="175">
        <f>条件输入!F16</f>
        <v>0</v>
      </c>
      <c r="G6" s="179">
        <f>条件输入!G16</f>
        <v>1598.3</v>
      </c>
    </row>
    <row r="7" spans="1:12" ht="18" customHeight="1" x14ac:dyDescent="0.15">
      <c r="A7" s="178" t="s">
        <v>322</v>
      </c>
      <c r="B7" s="175">
        <f>条件输入!B17</f>
        <v>345</v>
      </c>
      <c r="C7" s="175">
        <f>条件输入!C17</f>
        <v>248.6</v>
      </c>
      <c r="D7" s="175">
        <f>条件输入!D17</f>
        <v>136.19999999999999</v>
      </c>
      <c r="E7" s="175">
        <f>条件输入!E17</f>
        <v>10685.4</v>
      </c>
      <c r="F7" s="175">
        <f>条件输入!F17</f>
        <v>28881.3</v>
      </c>
      <c r="G7" s="179">
        <f>条件输入!G17</f>
        <v>5033.3</v>
      </c>
    </row>
    <row r="8" spans="1:12" ht="18" customHeight="1" thickBot="1" x14ac:dyDescent="0.2">
      <c r="A8" s="180" t="s">
        <v>323</v>
      </c>
      <c r="B8" s="176">
        <f>条件输入!B18</f>
        <v>283.5</v>
      </c>
      <c r="C8" s="176">
        <f>条件输入!C18</f>
        <v>194.7</v>
      </c>
      <c r="D8" s="176">
        <f>条件输入!D18</f>
        <v>106</v>
      </c>
      <c r="E8" s="176">
        <f>条件输入!E18</f>
        <v>8481.4</v>
      </c>
      <c r="F8" s="176">
        <f>条件输入!F18</f>
        <v>19153.400000000001</v>
      </c>
      <c r="G8" s="181">
        <f>条件输入!G18</f>
        <v>3734.3</v>
      </c>
    </row>
    <row r="9" spans="1:12" ht="18" customHeight="1" x14ac:dyDescent="0.15"/>
    <row r="10" spans="1:12" ht="18" customHeight="1" x14ac:dyDescent="0.15"/>
    <row r="11" spans="1:12" ht="18" customHeight="1" thickBot="1" x14ac:dyDescent="0.2">
      <c r="A11" s="145" t="s">
        <v>365</v>
      </c>
      <c r="B11" s="14"/>
      <c r="C11" s="14" t="s">
        <v>364</v>
      </c>
      <c r="D11" s="14"/>
      <c r="E11" s="14"/>
      <c r="F11" s="14"/>
    </row>
    <row r="12" spans="1:12" ht="18" customHeight="1" x14ac:dyDescent="0.15">
      <c r="A12" s="121" t="s">
        <v>326</v>
      </c>
      <c r="B12" s="174" t="s">
        <v>327</v>
      </c>
      <c r="C12" s="174" t="s">
        <v>328</v>
      </c>
      <c r="D12" s="174" t="s">
        <v>341</v>
      </c>
      <c r="E12" s="174" t="s">
        <v>329</v>
      </c>
      <c r="F12" s="174" t="s">
        <v>330</v>
      </c>
      <c r="G12" s="174" t="s">
        <v>331</v>
      </c>
      <c r="H12" s="174" t="s">
        <v>332</v>
      </c>
      <c r="I12" s="174" t="s">
        <v>333</v>
      </c>
      <c r="J12" s="174" t="s">
        <v>334</v>
      </c>
      <c r="K12" s="174" t="s">
        <v>335</v>
      </c>
      <c r="L12" s="177" t="s">
        <v>336</v>
      </c>
    </row>
    <row r="13" spans="1:12" ht="18" customHeight="1" x14ac:dyDescent="0.15">
      <c r="A13" s="178">
        <v>1</v>
      </c>
      <c r="B13" s="175" t="s">
        <v>337</v>
      </c>
      <c r="C13" s="175">
        <f>条件输入!C23</f>
        <v>3</v>
      </c>
      <c r="D13" s="175">
        <f>条件输入!D23</f>
        <v>18</v>
      </c>
      <c r="E13" s="175">
        <f>条件输入!E23</f>
        <v>5</v>
      </c>
      <c r="F13" s="175">
        <f>条件输入!F23</f>
        <v>10</v>
      </c>
      <c r="G13" s="175">
        <f>条件输入!G23</f>
        <v>18</v>
      </c>
      <c r="H13" s="175">
        <f>条件输入!H23</f>
        <v>120</v>
      </c>
      <c r="I13" s="175">
        <f>条件输入!I23</f>
        <v>3</v>
      </c>
      <c r="J13" s="175">
        <f>条件输入!J23</f>
        <v>4.4000000000000004</v>
      </c>
      <c r="K13" s="175">
        <f>条件输入!K23</f>
        <v>1.5</v>
      </c>
      <c r="L13" s="179">
        <f>条件输入!L23</f>
        <v>120</v>
      </c>
    </row>
    <row r="14" spans="1:12" ht="18" customHeight="1" x14ac:dyDescent="0.15">
      <c r="A14" s="178">
        <v>2</v>
      </c>
      <c r="B14" s="175" t="s">
        <v>338</v>
      </c>
      <c r="C14" s="175">
        <f>条件输入!C24</f>
        <v>20</v>
      </c>
      <c r="D14" s="175">
        <f>条件输入!D24</f>
        <v>19</v>
      </c>
      <c r="E14" s="175">
        <f>条件输入!E24</f>
        <v>10</v>
      </c>
      <c r="F14" s="175">
        <f>条件输入!F24</f>
        <v>10</v>
      </c>
      <c r="G14" s="175">
        <f>条件输入!G24</f>
        <v>20</v>
      </c>
      <c r="H14" s="175">
        <f>条件输入!H24</f>
        <v>160</v>
      </c>
      <c r="I14" s="175">
        <f>条件输入!I24</f>
        <v>3</v>
      </c>
      <c r="J14" s="175">
        <f>条件输入!J24</f>
        <v>4.4000000000000004</v>
      </c>
      <c r="K14" s="175">
        <f>条件输入!K24</f>
        <v>1.5</v>
      </c>
      <c r="L14" s="179">
        <f>条件输入!L24</f>
        <v>160</v>
      </c>
    </row>
    <row r="15" spans="1:12" ht="18" customHeight="1" x14ac:dyDescent="0.15">
      <c r="A15" s="178">
        <v>3</v>
      </c>
      <c r="B15" s="175" t="s">
        <v>339</v>
      </c>
      <c r="C15" s="175">
        <f>条件输入!C25</f>
        <v>0</v>
      </c>
      <c r="D15" s="175">
        <f>条件输入!D25</f>
        <v>0</v>
      </c>
      <c r="E15" s="175">
        <f>条件输入!E25</f>
        <v>0</v>
      </c>
      <c r="F15" s="175">
        <f>条件输入!F25</f>
        <v>0</v>
      </c>
      <c r="G15" s="175">
        <f>条件输入!G25</f>
        <v>0</v>
      </c>
      <c r="H15" s="175">
        <f>条件输入!H25</f>
        <v>0</v>
      </c>
      <c r="I15" s="175">
        <f>条件输入!I25</f>
        <v>0</v>
      </c>
      <c r="J15" s="175">
        <f>条件输入!J25</f>
        <v>0</v>
      </c>
      <c r="K15" s="175">
        <f>条件输入!K25</f>
        <v>0</v>
      </c>
      <c r="L15" s="179">
        <f>条件输入!L25</f>
        <v>0</v>
      </c>
    </row>
    <row r="16" spans="1:12" ht="18" customHeight="1" thickBot="1" x14ac:dyDescent="0.2">
      <c r="A16" s="180">
        <v>4</v>
      </c>
      <c r="B16" s="176" t="s">
        <v>340</v>
      </c>
      <c r="C16" s="176">
        <f>条件输入!C26</f>
        <v>0</v>
      </c>
      <c r="D16" s="176">
        <f>条件输入!D26</f>
        <v>0</v>
      </c>
      <c r="E16" s="176">
        <f>条件输入!E26</f>
        <v>0</v>
      </c>
      <c r="F16" s="176">
        <f>条件输入!F26</f>
        <v>0</v>
      </c>
      <c r="G16" s="176">
        <f>条件输入!G26</f>
        <v>0</v>
      </c>
      <c r="H16" s="176">
        <f>条件输入!H26</f>
        <v>0</v>
      </c>
      <c r="I16" s="176">
        <f>条件输入!I26</f>
        <v>0</v>
      </c>
      <c r="J16" s="176">
        <f>条件输入!J26</f>
        <v>0</v>
      </c>
      <c r="K16" s="176">
        <f>条件输入!K26</f>
        <v>0</v>
      </c>
      <c r="L16" s="181">
        <f>条件输入!L26</f>
        <v>0</v>
      </c>
    </row>
    <row r="17" spans="1:7" ht="18" customHeight="1" x14ac:dyDescent="0.15"/>
    <row r="18" spans="1:7" ht="18" customHeight="1" x14ac:dyDescent="0.15"/>
    <row r="19" spans="1:7" ht="18" customHeight="1" thickBot="1" x14ac:dyDescent="0.2">
      <c r="A19" s="2" t="s">
        <v>366</v>
      </c>
      <c r="C19" s="2" t="s">
        <v>367</v>
      </c>
    </row>
    <row r="20" spans="1:7" ht="18" customHeight="1" x14ac:dyDescent="0.15">
      <c r="A20" s="121" t="s">
        <v>343</v>
      </c>
      <c r="B20" s="174" t="s">
        <v>1</v>
      </c>
      <c r="C20" s="240" t="s">
        <v>318</v>
      </c>
      <c r="D20" s="241"/>
      <c r="E20" s="240" t="s">
        <v>319</v>
      </c>
      <c r="F20" s="241"/>
      <c r="G20" s="177" t="s">
        <v>344</v>
      </c>
    </row>
    <row r="21" spans="1:7" ht="18" customHeight="1" x14ac:dyDescent="0.15">
      <c r="A21" s="178"/>
      <c r="B21" s="175"/>
      <c r="C21" s="175" t="s">
        <v>345</v>
      </c>
      <c r="D21" s="175" t="s">
        <v>346</v>
      </c>
      <c r="E21" s="175" t="s">
        <v>345</v>
      </c>
      <c r="F21" s="175" t="s">
        <v>346</v>
      </c>
      <c r="G21" s="179"/>
    </row>
    <row r="22" spans="1:7" ht="18" customHeight="1" x14ac:dyDescent="0.15">
      <c r="A22" s="242" t="s">
        <v>347</v>
      </c>
      <c r="B22" s="243"/>
      <c r="C22" s="243"/>
      <c r="D22" s="243"/>
      <c r="E22" s="243"/>
      <c r="F22" s="243"/>
      <c r="G22" s="244"/>
    </row>
    <row r="23" spans="1:7" ht="18" customHeight="1" x14ac:dyDescent="0.15">
      <c r="A23" s="178" t="s">
        <v>348</v>
      </c>
      <c r="B23" s="175"/>
      <c r="C23" s="175">
        <f>条件输入!C33</f>
        <v>0.23799999999999999</v>
      </c>
      <c r="D23" s="175">
        <f>条件输入!D33</f>
        <v>0.25</v>
      </c>
      <c r="E23" s="175">
        <f>条件输入!E33</f>
        <v>0.33800000000000002</v>
      </c>
      <c r="F23" s="175">
        <f>条件输入!F33</f>
        <v>0.43</v>
      </c>
      <c r="G23" s="179"/>
    </row>
    <row r="24" spans="1:7" ht="18" customHeight="1" x14ac:dyDescent="0.15">
      <c r="A24" s="178" t="s">
        <v>349</v>
      </c>
      <c r="B24" s="175"/>
      <c r="C24" s="175"/>
      <c r="D24" s="175"/>
      <c r="E24" s="175"/>
      <c r="F24" s="175"/>
      <c r="G24" s="179"/>
    </row>
    <row r="25" spans="1:7" ht="18" customHeight="1" x14ac:dyDescent="0.15">
      <c r="A25" s="178" t="s">
        <v>350</v>
      </c>
      <c r="B25" s="175" t="s">
        <v>351</v>
      </c>
      <c r="C25" s="175">
        <f>条件输入!C35</f>
        <v>85.85</v>
      </c>
      <c r="D25" s="175">
        <f>条件输入!D35</f>
        <v>529</v>
      </c>
      <c r="E25" s="175">
        <f>条件输入!E35</f>
        <v>94.634</v>
      </c>
      <c r="F25" s="175">
        <f>条件输入!F35</f>
        <v>529</v>
      </c>
      <c r="G25" s="179"/>
    </row>
    <row r="26" spans="1:7" ht="18" customHeight="1" x14ac:dyDescent="0.15">
      <c r="A26" s="178" t="s">
        <v>352</v>
      </c>
      <c r="B26" s="175" t="s">
        <v>351</v>
      </c>
      <c r="C26" s="175">
        <f>条件输入!C36</f>
        <v>167.44399999999999</v>
      </c>
      <c r="D26" s="175">
        <f>条件输入!D36</f>
        <v>634.79999999999995</v>
      </c>
      <c r="E26" s="175">
        <f>条件输入!E36</f>
        <v>204.95699999999999</v>
      </c>
      <c r="F26" s="175">
        <f>条件输入!F36</f>
        <v>634.79999999999995</v>
      </c>
      <c r="G26" s="179"/>
    </row>
    <row r="27" spans="1:7" ht="18" customHeight="1" x14ac:dyDescent="0.15">
      <c r="A27" s="242" t="s">
        <v>353</v>
      </c>
      <c r="B27" s="243"/>
      <c r="C27" s="243"/>
      <c r="D27" s="243"/>
      <c r="E27" s="243"/>
      <c r="F27" s="243"/>
      <c r="G27" s="244"/>
    </row>
    <row r="28" spans="1:7" ht="18" customHeight="1" x14ac:dyDescent="0.15">
      <c r="A28" s="178" t="s">
        <v>354</v>
      </c>
      <c r="B28" s="175" t="s">
        <v>355</v>
      </c>
      <c r="C28" s="175">
        <f>条件输入!C38</f>
        <v>21.475000000000001</v>
      </c>
      <c r="D28" s="175">
        <f>条件输入!D38</f>
        <v>100</v>
      </c>
      <c r="E28" s="175">
        <f>条件输入!E38</f>
        <v>21.978999999999999</v>
      </c>
      <c r="F28" s="175">
        <f>条件输入!F38</f>
        <v>100</v>
      </c>
      <c r="G28" s="179"/>
    </row>
    <row r="29" spans="1:7" ht="18" customHeight="1" x14ac:dyDescent="0.15">
      <c r="A29" s="178" t="s">
        <v>356</v>
      </c>
      <c r="B29" s="175"/>
      <c r="C29" s="175">
        <f>条件输入!C39</f>
        <v>1E-3</v>
      </c>
      <c r="D29" s="175">
        <f>条件输入!D39</f>
        <v>3.0000000000000001E-3</v>
      </c>
      <c r="E29" s="175">
        <f>条件输入!E39</f>
        <v>1E-3</v>
      </c>
      <c r="F29" s="175">
        <f>条件输入!F39</f>
        <v>3.0000000000000001E-3</v>
      </c>
      <c r="G29" s="179"/>
    </row>
    <row r="30" spans="1:7" ht="18" customHeight="1" x14ac:dyDescent="0.15">
      <c r="A30" s="242" t="s">
        <v>357</v>
      </c>
      <c r="B30" s="243"/>
      <c r="C30" s="243"/>
      <c r="D30" s="243"/>
      <c r="E30" s="243"/>
      <c r="F30" s="243"/>
      <c r="G30" s="244"/>
    </row>
    <row r="31" spans="1:7" ht="18" customHeight="1" x14ac:dyDescent="0.15">
      <c r="A31" s="178" t="s">
        <v>358</v>
      </c>
      <c r="B31" s="175"/>
      <c r="C31" s="175">
        <f>条件输入!C41</f>
        <v>3.9729999999999999</v>
      </c>
      <c r="D31" s="175">
        <f>条件输入!D41</f>
        <v>1.6</v>
      </c>
      <c r="E31" s="175">
        <f>条件输入!E41</f>
        <v>2.7970000000000002</v>
      </c>
      <c r="F31" s="175">
        <f>条件输入!F41</f>
        <v>1.6</v>
      </c>
      <c r="G31" s="179"/>
    </row>
    <row r="32" spans="1:7" ht="18" customHeight="1" thickBot="1" x14ac:dyDescent="0.2">
      <c r="A32" s="180" t="s">
        <v>359</v>
      </c>
      <c r="B32" s="176"/>
      <c r="C32" s="176">
        <f>条件输入!C42</f>
        <v>11.586</v>
      </c>
      <c r="D32" s="176">
        <f>条件输入!D42</f>
        <v>1.3</v>
      </c>
      <c r="E32" s="176">
        <f>条件输入!E42</f>
        <v>3.9729999999999999</v>
      </c>
      <c r="F32" s="176">
        <f>条件输入!F42</f>
        <v>1.3</v>
      </c>
      <c r="G32" s="181"/>
    </row>
    <row r="33" spans="1:6" ht="18" customHeight="1" x14ac:dyDescent="0.15"/>
    <row r="34" spans="1:6" ht="18" customHeight="1" x14ac:dyDescent="0.15"/>
    <row r="35" spans="1:6" ht="15" thickBot="1" x14ac:dyDescent="0.2">
      <c r="A35" s="2" t="s">
        <v>385</v>
      </c>
      <c r="B35" s="193"/>
      <c r="C35" s="193" t="s">
        <v>368</v>
      </c>
      <c r="D35" s="193"/>
      <c r="E35" s="193"/>
      <c r="F35" s="193"/>
    </row>
    <row r="36" spans="1:6" ht="20.100000000000001" customHeight="1" x14ac:dyDescent="0.15">
      <c r="A36" s="201" t="s">
        <v>12</v>
      </c>
      <c r="B36" s="194" t="s">
        <v>0</v>
      </c>
      <c r="C36" s="194" t="s">
        <v>1</v>
      </c>
      <c r="D36" s="195" t="str">
        <f>条件输入!D46</f>
        <v>单台</v>
      </c>
      <c r="E36" s="195">
        <f>条件输入!E46</f>
        <v>15</v>
      </c>
      <c r="F36" s="196" t="s">
        <v>3</v>
      </c>
    </row>
    <row r="37" spans="1:6" ht="20.100000000000001" customHeight="1" x14ac:dyDescent="0.15">
      <c r="A37" s="6">
        <v>1</v>
      </c>
      <c r="B37" s="3" t="s">
        <v>4</v>
      </c>
      <c r="C37" s="4" t="s">
        <v>5</v>
      </c>
      <c r="D37" s="197">
        <f>条件输入!D47</f>
        <v>1257.2889419115372</v>
      </c>
      <c r="E37" s="197">
        <f>条件输入!E47</f>
        <v>18859.334128673057</v>
      </c>
      <c r="F37" s="7"/>
    </row>
    <row r="38" spans="1:6" ht="20.100000000000001" customHeight="1" x14ac:dyDescent="0.15">
      <c r="A38" s="6">
        <v>2</v>
      </c>
      <c r="B38" s="3" t="s">
        <v>6</v>
      </c>
      <c r="C38" s="4" t="s">
        <v>5</v>
      </c>
      <c r="D38" s="197">
        <f>条件输入!D48</f>
        <v>314.32223547788419</v>
      </c>
      <c r="E38" s="197">
        <f>条件输入!E48</f>
        <v>4714.8335321682625</v>
      </c>
      <c r="F38" s="7"/>
    </row>
    <row r="39" spans="1:6" ht="20.100000000000001" customHeight="1" x14ac:dyDescent="0.15">
      <c r="A39" s="6">
        <v>3</v>
      </c>
      <c r="B39" s="3" t="s">
        <v>7</v>
      </c>
      <c r="C39" s="4" t="s">
        <v>5</v>
      </c>
      <c r="D39" s="197">
        <f>条件输入!D49</f>
        <v>920.15730387195788</v>
      </c>
      <c r="E39" s="197">
        <f>条件输入!E49</f>
        <v>13802.359558079368</v>
      </c>
      <c r="F39" s="7"/>
    </row>
    <row r="40" spans="1:6" ht="20.100000000000001" customHeight="1" x14ac:dyDescent="0.15">
      <c r="A40" s="6">
        <v>4</v>
      </c>
      <c r="B40" s="4" t="s">
        <v>388</v>
      </c>
      <c r="C40" s="4" t="s">
        <v>5</v>
      </c>
      <c r="D40" s="197">
        <f>条件输入!D50</f>
        <v>600.97358466233754</v>
      </c>
      <c r="E40" s="197">
        <f>条件输入!E50</f>
        <v>9014.6037699350636</v>
      </c>
      <c r="F40" s="7"/>
    </row>
    <row r="41" spans="1:6" ht="20.100000000000001" customHeight="1" x14ac:dyDescent="0.15">
      <c r="A41" s="6">
        <v>5</v>
      </c>
      <c r="B41" s="4" t="s">
        <v>8</v>
      </c>
      <c r="C41" s="4" t="s">
        <v>5</v>
      </c>
      <c r="D41" s="197">
        <f>条件输入!D51</f>
        <v>50.480288855125885</v>
      </c>
      <c r="E41" s="197">
        <f>条件输入!E51</f>
        <v>757.20433282688828</v>
      </c>
      <c r="F41" s="7"/>
    </row>
    <row r="42" spans="1:6" ht="20.100000000000001" customHeight="1" x14ac:dyDescent="0.15">
      <c r="A42" s="6">
        <v>6</v>
      </c>
      <c r="B42" s="3" t="s">
        <v>9</v>
      </c>
      <c r="C42" s="4" t="s">
        <v>10</v>
      </c>
      <c r="D42" s="197">
        <f>条件输入!D52</f>
        <v>60.097358466233757</v>
      </c>
      <c r="E42" s="197">
        <f>条件输入!E52</f>
        <v>901.46037699350632</v>
      </c>
      <c r="F42" s="7"/>
    </row>
    <row r="43" spans="1:6" ht="20.100000000000001" customHeight="1" x14ac:dyDescent="0.15">
      <c r="A43" s="6">
        <v>7</v>
      </c>
      <c r="B43" s="3" t="s">
        <v>54</v>
      </c>
      <c r="C43" s="3" t="s">
        <v>11</v>
      </c>
      <c r="D43" s="4">
        <f>条件输入!D53</f>
        <v>1</v>
      </c>
      <c r="E43" s="4">
        <f>条件输入!E53</f>
        <v>15</v>
      </c>
      <c r="F43" s="8"/>
    </row>
    <row r="44" spans="1:6" ht="20.100000000000001" customHeight="1" x14ac:dyDescent="0.15">
      <c r="A44" s="6">
        <v>8</v>
      </c>
      <c r="B44" s="3" t="s">
        <v>13</v>
      </c>
      <c r="C44" s="3" t="s">
        <v>14</v>
      </c>
      <c r="D44" s="4">
        <f>条件输入!D54</f>
        <v>4</v>
      </c>
      <c r="E44" s="4">
        <f>条件输入!E54</f>
        <v>60</v>
      </c>
      <c r="F44" s="8"/>
    </row>
    <row r="45" spans="1:6" ht="20.100000000000001" customHeight="1" x14ac:dyDescent="0.15">
      <c r="A45" s="6">
        <v>9</v>
      </c>
      <c r="B45" s="3" t="s">
        <v>47</v>
      </c>
      <c r="C45" s="3" t="s">
        <v>42</v>
      </c>
      <c r="D45" s="4">
        <f>条件输入!D55</f>
        <v>0</v>
      </c>
      <c r="E45" s="4">
        <f>条件输入!E55</f>
        <v>0</v>
      </c>
      <c r="F45" s="198"/>
    </row>
    <row r="46" spans="1:6" ht="20.100000000000001" customHeight="1" thickBot="1" x14ac:dyDescent="0.2">
      <c r="A46" s="74">
        <v>10</v>
      </c>
      <c r="B46" s="67" t="s">
        <v>48</v>
      </c>
      <c r="C46" s="67" t="s">
        <v>49</v>
      </c>
      <c r="D46" s="9">
        <f>条件输入!D56</f>
        <v>552</v>
      </c>
      <c r="E46" s="9">
        <f>条件输入!E56</f>
        <v>8280</v>
      </c>
      <c r="F46" s="199"/>
    </row>
    <row r="49" spans="1:6" ht="15" thickBot="1" x14ac:dyDescent="0.2">
      <c r="A49" s="2" t="s">
        <v>369</v>
      </c>
      <c r="C49" s="50" t="s">
        <v>370</v>
      </c>
    </row>
    <row r="50" spans="1:6" x14ac:dyDescent="0.15">
      <c r="A50" s="121" t="s">
        <v>85</v>
      </c>
      <c r="B50" s="174" t="s">
        <v>0</v>
      </c>
      <c r="C50" s="174" t="s">
        <v>1</v>
      </c>
      <c r="D50" s="202" t="str">
        <f>条件输入!D61</f>
        <v>单台</v>
      </c>
      <c r="E50" s="202">
        <f>条件输入!E61</f>
        <v>15</v>
      </c>
      <c r="F50" s="177" t="s">
        <v>3</v>
      </c>
    </row>
    <row r="51" spans="1:6" x14ac:dyDescent="0.15">
      <c r="A51" s="178">
        <v>1</v>
      </c>
      <c r="B51" s="175" t="s">
        <v>4</v>
      </c>
      <c r="C51" s="175" t="s">
        <v>86</v>
      </c>
      <c r="D51" s="203">
        <f>条件输入!D62</f>
        <v>49.28</v>
      </c>
      <c r="E51" s="203">
        <f>条件输入!E62</f>
        <v>739.2</v>
      </c>
      <c r="F51" s="179"/>
    </row>
    <row r="52" spans="1:6" x14ac:dyDescent="0.15">
      <c r="A52" s="178">
        <v>2</v>
      </c>
      <c r="B52" s="175" t="s">
        <v>6</v>
      </c>
      <c r="C52" s="175" t="s">
        <v>86</v>
      </c>
      <c r="D52" s="203">
        <f>条件输入!D63</f>
        <v>12.319999999999997</v>
      </c>
      <c r="E52" s="203">
        <f>条件输入!E63</f>
        <v>184.79999999999995</v>
      </c>
      <c r="F52" s="179"/>
    </row>
    <row r="53" spans="1:6" x14ac:dyDescent="0.15">
      <c r="A53" s="178">
        <v>3</v>
      </c>
      <c r="B53" s="175" t="s">
        <v>7</v>
      </c>
      <c r="C53" s="175" t="s">
        <v>86</v>
      </c>
      <c r="D53" s="203">
        <f>条件输入!D64</f>
        <v>18.399999999999991</v>
      </c>
      <c r="E53" s="203">
        <f>条件输入!E64</f>
        <v>275.99999999999989</v>
      </c>
      <c r="F53" s="179"/>
    </row>
    <row r="54" spans="1:6" x14ac:dyDescent="0.15">
      <c r="A54" s="178">
        <v>4</v>
      </c>
      <c r="B54" s="175" t="s">
        <v>87</v>
      </c>
      <c r="C54" s="175" t="s">
        <v>86</v>
      </c>
      <c r="D54" s="203">
        <f>条件输入!D65</f>
        <v>2.5</v>
      </c>
      <c r="E54" s="203">
        <f>条件输入!E65</f>
        <v>37.5</v>
      </c>
      <c r="F54" s="179"/>
    </row>
    <row r="55" spans="1:6" x14ac:dyDescent="0.15">
      <c r="A55" s="178">
        <v>5</v>
      </c>
      <c r="B55" s="175" t="s">
        <v>88</v>
      </c>
      <c r="C55" s="175" t="s">
        <v>86</v>
      </c>
      <c r="D55" s="203">
        <f>条件输入!D66</f>
        <v>5.7749999999999995</v>
      </c>
      <c r="E55" s="203">
        <f>条件输入!E66</f>
        <v>86.624999999999986</v>
      </c>
      <c r="F55" s="179"/>
    </row>
    <row r="56" spans="1:6" x14ac:dyDescent="0.15">
      <c r="A56" s="178">
        <v>6</v>
      </c>
      <c r="B56" s="175" t="s">
        <v>89</v>
      </c>
      <c r="C56" s="175" t="s">
        <v>86</v>
      </c>
      <c r="D56" s="203">
        <f>条件输入!D67</f>
        <v>6.5</v>
      </c>
      <c r="E56" s="203">
        <f>条件输入!E67</f>
        <v>97.5</v>
      </c>
      <c r="F56" s="179"/>
    </row>
    <row r="57" spans="1:6" ht="15" thickBot="1" x14ac:dyDescent="0.2">
      <c r="A57" s="180">
        <v>7</v>
      </c>
      <c r="B57" s="176" t="s">
        <v>9</v>
      </c>
      <c r="C57" s="176" t="s">
        <v>10</v>
      </c>
      <c r="D57" s="204">
        <f>条件输入!D68</f>
        <v>0.25</v>
      </c>
      <c r="E57" s="204">
        <f>条件输入!E68</f>
        <v>3.75</v>
      </c>
      <c r="F57" s="181"/>
    </row>
    <row r="60" spans="1:6" ht="15" thickBot="1" x14ac:dyDescent="0.2">
      <c r="A60" s="2" t="s">
        <v>372</v>
      </c>
      <c r="C60" s="14" t="s">
        <v>371</v>
      </c>
    </row>
    <row r="61" spans="1:6" x14ac:dyDescent="0.15">
      <c r="A61" s="100" t="s">
        <v>12</v>
      </c>
      <c r="B61" s="91" t="s">
        <v>0</v>
      </c>
      <c r="C61" s="91" t="s">
        <v>1</v>
      </c>
      <c r="D61" s="205" t="str">
        <f>条件输入!D72</f>
        <v>工程量</v>
      </c>
      <c r="E61" s="92" t="s">
        <v>3</v>
      </c>
    </row>
    <row r="62" spans="1:6" ht="16.5" x14ac:dyDescent="0.15">
      <c r="A62" s="206">
        <v>1</v>
      </c>
      <c r="B62" s="93" t="s">
        <v>261</v>
      </c>
      <c r="C62" s="94" t="s">
        <v>99</v>
      </c>
      <c r="D62" s="207">
        <f>条件输入!D73</f>
        <v>10186.413</v>
      </c>
      <c r="E62" s="95"/>
    </row>
    <row r="63" spans="1:6" ht="16.5" x14ac:dyDescent="0.15">
      <c r="A63" s="206">
        <v>2</v>
      </c>
      <c r="B63" s="93" t="s">
        <v>234</v>
      </c>
      <c r="C63" s="94" t="s">
        <v>99</v>
      </c>
      <c r="D63" s="207">
        <f>条件输入!D74</f>
        <v>12305.512999999999</v>
      </c>
      <c r="E63" s="95"/>
    </row>
    <row r="64" spans="1:6" ht="16.5" x14ac:dyDescent="0.15">
      <c r="A64" s="206">
        <v>3</v>
      </c>
      <c r="B64" s="93" t="s">
        <v>212</v>
      </c>
      <c r="C64" s="94" t="s">
        <v>99</v>
      </c>
      <c r="D64" s="207">
        <f>条件输入!D75</f>
        <v>403.82</v>
      </c>
      <c r="E64" s="95" t="s">
        <v>389</v>
      </c>
    </row>
    <row r="65" spans="1:5" ht="16.5" x14ac:dyDescent="0.15">
      <c r="A65" s="206">
        <v>4</v>
      </c>
      <c r="B65" s="93" t="s">
        <v>4</v>
      </c>
      <c r="C65" s="94" t="s">
        <v>5</v>
      </c>
      <c r="D65" s="207">
        <f>条件输入!D76</f>
        <v>29533.231199999998</v>
      </c>
      <c r="E65" s="96"/>
    </row>
    <row r="66" spans="1:5" ht="16.5" x14ac:dyDescent="0.15">
      <c r="A66" s="206">
        <v>5</v>
      </c>
      <c r="B66" s="93" t="s">
        <v>6</v>
      </c>
      <c r="C66" s="94" t="s">
        <v>5</v>
      </c>
      <c r="D66" s="207">
        <f>条件输入!D77</f>
        <v>7383.3077999999978</v>
      </c>
      <c r="E66" s="95"/>
    </row>
    <row r="67" spans="1:5" ht="16.5" x14ac:dyDescent="0.15">
      <c r="A67" s="206">
        <v>6</v>
      </c>
      <c r="B67" s="93" t="s">
        <v>214</v>
      </c>
      <c r="C67" s="94" t="s">
        <v>5</v>
      </c>
      <c r="D67" s="207">
        <f>条件输入!D78</f>
        <v>6152.7564999999995</v>
      </c>
      <c r="E67" s="95"/>
    </row>
    <row r="68" spans="1:5" ht="16.5" x14ac:dyDescent="0.15">
      <c r="A68" s="206">
        <v>7</v>
      </c>
      <c r="B68" s="93" t="s">
        <v>215</v>
      </c>
      <c r="C68" s="94" t="s">
        <v>5</v>
      </c>
      <c r="D68" s="207">
        <f>条件输入!D79</f>
        <v>403.82</v>
      </c>
      <c r="E68" s="95"/>
    </row>
    <row r="69" spans="1:5" ht="16.5" x14ac:dyDescent="0.15">
      <c r="A69" s="206">
        <v>8</v>
      </c>
      <c r="B69" s="93" t="s">
        <v>102</v>
      </c>
      <c r="C69" s="94" t="s">
        <v>5</v>
      </c>
      <c r="D69" s="207">
        <f>条件输入!D80</f>
        <v>201.91</v>
      </c>
      <c r="E69" s="95" t="s">
        <v>217</v>
      </c>
    </row>
    <row r="70" spans="1:5" ht="16.5" x14ac:dyDescent="0.15">
      <c r="A70" s="206">
        <v>9</v>
      </c>
      <c r="B70" s="93" t="s">
        <v>218</v>
      </c>
      <c r="C70" s="94" t="s">
        <v>99</v>
      </c>
      <c r="D70" s="207">
        <f>条件输入!D81</f>
        <v>1993.67</v>
      </c>
      <c r="E70" s="95" t="s">
        <v>390</v>
      </c>
    </row>
    <row r="71" spans="1:5" ht="16.5" x14ac:dyDescent="0.15">
      <c r="A71" s="206">
        <v>10</v>
      </c>
      <c r="B71" s="93" t="s">
        <v>182</v>
      </c>
      <c r="C71" s="94" t="s">
        <v>99</v>
      </c>
      <c r="D71" s="207">
        <f>条件输入!D82</f>
        <v>1200</v>
      </c>
      <c r="E71" s="95"/>
    </row>
    <row r="72" spans="1:5" ht="16.5" x14ac:dyDescent="0.15">
      <c r="A72" s="206">
        <v>11</v>
      </c>
      <c r="B72" s="93" t="s">
        <v>220</v>
      </c>
      <c r="C72" s="94" t="s">
        <v>99</v>
      </c>
      <c r="D72" s="207">
        <f>条件输入!D83</f>
        <v>1316.8</v>
      </c>
      <c r="E72" s="95"/>
    </row>
    <row r="73" spans="1:5" ht="16.5" x14ac:dyDescent="0.15">
      <c r="A73" s="206">
        <v>12</v>
      </c>
      <c r="B73" s="93" t="s">
        <v>221</v>
      </c>
      <c r="C73" s="94" t="s">
        <v>99</v>
      </c>
      <c r="D73" s="207">
        <f>条件输入!D84</f>
        <v>510</v>
      </c>
      <c r="E73" s="95"/>
    </row>
    <row r="74" spans="1:5" ht="16.5" x14ac:dyDescent="0.15">
      <c r="A74" s="206">
        <v>13</v>
      </c>
      <c r="B74" s="93" t="s">
        <v>222</v>
      </c>
      <c r="C74" s="94" t="s">
        <v>99</v>
      </c>
      <c r="D74" s="207">
        <f>条件输入!D85</f>
        <v>370.44</v>
      </c>
      <c r="E74" s="95"/>
    </row>
    <row r="75" spans="1:5" x14ac:dyDescent="0.15">
      <c r="A75" s="206">
        <v>14</v>
      </c>
      <c r="B75" s="93" t="s">
        <v>223</v>
      </c>
      <c r="C75" s="94"/>
      <c r="D75" s="207">
        <f>条件输入!D86</f>
        <v>0</v>
      </c>
      <c r="E75" s="95"/>
    </row>
    <row r="76" spans="1:5" ht="16.5" x14ac:dyDescent="0.15">
      <c r="A76" s="206">
        <v>15</v>
      </c>
      <c r="B76" s="93" t="s">
        <v>224</v>
      </c>
      <c r="C76" s="94" t="s">
        <v>5</v>
      </c>
      <c r="D76" s="207">
        <f>条件输入!D87</f>
        <v>120</v>
      </c>
      <c r="E76" s="95"/>
    </row>
    <row r="77" spans="1:5" ht="16.5" x14ac:dyDescent="0.15">
      <c r="A77" s="206">
        <v>16</v>
      </c>
      <c r="B77" s="93" t="s">
        <v>225</v>
      </c>
      <c r="C77" s="94" t="s">
        <v>5</v>
      </c>
      <c r="D77" s="207">
        <f>条件输入!D88</f>
        <v>20</v>
      </c>
      <c r="E77" s="95"/>
    </row>
    <row r="78" spans="1:5" x14ac:dyDescent="0.15">
      <c r="A78" s="206">
        <v>17</v>
      </c>
      <c r="B78" s="93" t="s">
        <v>189</v>
      </c>
      <c r="C78" s="94" t="s">
        <v>10</v>
      </c>
      <c r="D78" s="207">
        <f>条件输入!D89</f>
        <v>10</v>
      </c>
      <c r="E78" s="95"/>
    </row>
    <row r="79" spans="1:5" ht="16.5" x14ac:dyDescent="0.15">
      <c r="A79" s="206">
        <v>18</v>
      </c>
      <c r="B79" s="93" t="s">
        <v>226</v>
      </c>
      <c r="C79" s="94" t="s">
        <v>5</v>
      </c>
      <c r="D79" s="207">
        <f>条件输入!D90</f>
        <v>60</v>
      </c>
      <c r="E79" s="95"/>
    </row>
    <row r="80" spans="1:5" ht="16.5" x14ac:dyDescent="0.15">
      <c r="A80" s="206">
        <v>19</v>
      </c>
      <c r="B80" s="93" t="s">
        <v>227</v>
      </c>
      <c r="C80" s="94" t="s">
        <v>5</v>
      </c>
      <c r="D80" s="207">
        <f>条件输入!D91</f>
        <v>10</v>
      </c>
      <c r="E80" s="95"/>
    </row>
    <row r="81" spans="1:6" x14ac:dyDescent="0.15">
      <c r="A81" s="206">
        <v>20</v>
      </c>
      <c r="B81" s="93" t="s">
        <v>228</v>
      </c>
      <c r="C81" s="94" t="s">
        <v>10</v>
      </c>
      <c r="D81" s="207">
        <f>条件输入!D92</f>
        <v>2</v>
      </c>
      <c r="E81" s="95"/>
    </row>
    <row r="82" spans="1:6" ht="16.5" x14ac:dyDescent="0.15">
      <c r="A82" s="206">
        <v>21</v>
      </c>
      <c r="B82" s="93" t="s">
        <v>229</v>
      </c>
      <c r="C82" s="94" t="s">
        <v>5</v>
      </c>
      <c r="D82" s="207">
        <f>条件输入!D93</f>
        <v>200</v>
      </c>
      <c r="E82" s="95"/>
    </row>
    <row r="83" spans="1:6" x14ac:dyDescent="0.15">
      <c r="A83" s="206">
        <v>22</v>
      </c>
      <c r="B83" s="93" t="s">
        <v>194</v>
      </c>
      <c r="C83" s="94" t="s">
        <v>10</v>
      </c>
      <c r="D83" s="207">
        <f>条件输入!D94</f>
        <v>5</v>
      </c>
      <c r="E83" s="95"/>
    </row>
    <row r="84" spans="1:6" x14ac:dyDescent="0.15">
      <c r="A84" s="206">
        <v>23</v>
      </c>
      <c r="B84" s="93" t="s">
        <v>230</v>
      </c>
      <c r="C84" s="94" t="s">
        <v>101</v>
      </c>
      <c r="D84" s="207">
        <f>条件输入!D95</f>
        <v>150</v>
      </c>
      <c r="E84" s="95"/>
    </row>
    <row r="85" spans="1:6" ht="15" thickBot="1" x14ac:dyDescent="0.2">
      <c r="A85" s="208">
        <v>24</v>
      </c>
      <c r="B85" s="98" t="s">
        <v>231</v>
      </c>
      <c r="C85" s="99" t="s">
        <v>232</v>
      </c>
      <c r="D85" s="207">
        <f>条件输入!D96</f>
        <v>2</v>
      </c>
      <c r="E85" s="101"/>
    </row>
    <row r="88" spans="1:6" ht="15" thickBot="1" x14ac:dyDescent="0.2">
      <c r="A88" s="2" t="s">
        <v>373</v>
      </c>
      <c r="C88" s="191" t="s">
        <v>391</v>
      </c>
    </row>
    <row r="89" spans="1:6" x14ac:dyDescent="0.15">
      <c r="A89" s="121" t="s">
        <v>95</v>
      </c>
      <c r="B89" s="209" t="s">
        <v>0</v>
      </c>
      <c r="C89" s="209" t="s">
        <v>1</v>
      </c>
      <c r="D89" s="210" t="str">
        <f>条件输入!D100</f>
        <v>数量/km</v>
      </c>
      <c r="E89" s="210" t="str">
        <f>条件输入!E100</f>
        <v>合计</v>
      </c>
      <c r="F89" s="211" t="s">
        <v>96</v>
      </c>
    </row>
    <row r="90" spans="1:6" x14ac:dyDescent="0.15">
      <c r="A90" s="178" t="s">
        <v>127</v>
      </c>
      <c r="B90" s="182" t="s">
        <v>97</v>
      </c>
      <c r="C90" s="183" t="s">
        <v>98</v>
      </c>
      <c r="D90" s="212">
        <f>条件输入!D101</f>
        <v>0</v>
      </c>
      <c r="E90" s="212">
        <f>条件输入!E101</f>
        <v>5</v>
      </c>
      <c r="F90" s="187"/>
    </row>
    <row r="91" spans="1:6" ht="16.5" x14ac:dyDescent="0.15">
      <c r="A91" s="178">
        <v>1</v>
      </c>
      <c r="B91" s="182" t="s">
        <v>4</v>
      </c>
      <c r="C91" s="183" t="s">
        <v>5</v>
      </c>
      <c r="D91" s="212">
        <f>条件输入!D102</f>
        <v>4000</v>
      </c>
      <c r="E91" s="212">
        <f>条件输入!E102</f>
        <v>20000</v>
      </c>
      <c r="F91" s="184"/>
    </row>
    <row r="92" spans="1:6" ht="16.5" x14ac:dyDescent="0.15">
      <c r="A92" s="178">
        <v>2</v>
      </c>
      <c r="B92" s="182" t="s">
        <v>6</v>
      </c>
      <c r="C92" s="183" t="s">
        <v>5</v>
      </c>
      <c r="D92" s="212">
        <f>条件输入!D103</f>
        <v>999.99999999999977</v>
      </c>
      <c r="E92" s="212">
        <f>条件输入!E103</f>
        <v>4999.9999999999991</v>
      </c>
      <c r="F92" s="184"/>
    </row>
    <row r="93" spans="1:6" ht="16.5" x14ac:dyDescent="0.15">
      <c r="A93" s="178">
        <v>3</v>
      </c>
      <c r="B93" s="182" t="s">
        <v>7</v>
      </c>
      <c r="C93" s="183" t="s">
        <v>5</v>
      </c>
      <c r="D93" s="212">
        <f>条件输入!D104</f>
        <v>1250</v>
      </c>
      <c r="E93" s="212">
        <f>条件输入!E104</f>
        <v>6250</v>
      </c>
      <c r="F93" s="184"/>
    </row>
    <row r="94" spans="1:6" ht="16.5" x14ac:dyDescent="0.15">
      <c r="A94" s="178">
        <v>4</v>
      </c>
      <c r="B94" s="182" t="s">
        <v>392</v>
      </c>
      <c r="C94" s="183" t="s">
        <v>99</v>
      </c>
      <c r="D94" s="212">
        <f>条件输入!D105</f>
        <v>2500</v>
      </c>
      <c r="E94" s="212">
        <f>条件输入!E105</f>
        <v>12500</v>
      </c>
      <c r="F94" s="184"/>
    </row>
    <row r="95" spans="1:6" x14ac:dyDescent="0.15">
      <c r="A95" s="178">
        <v>5</v>
      </c>
      <c r="B95" s="185" t="s">
        <v>393</v>
      </c>
      <c r="C95" s="183" t="s">
        <v>101</v>
      </c>
      <c r="D95" s="212">
        <f>条件输入!D106</f>
        <v>0</v>
      </c>
      <c r="E95" s="212">
        <f>条件输入!E106</f>
        <v>0</v>
      </c>
      <c r="F95" s="184"/>
    </row>
    <row r="96" spans="1:6" ht="16.5" x14ac:dyDescent="0.15">
      <c r="A96" s="178">
        <v>6</v>
      </c>
      <c r="B96" s="182" t="s">
        <v>102</v>
      </c>
      <c r="C96" s="183" t="s">
        <v>5</v>
      </c>
      <c r="D96" s="212">
        <f>条件输入!D107</f>
        <v>475</v>
      </c>
      <c r="E96" s="212">
        <f>条件输入!E107</f>
        <v>2375</v>
      </c>
      <c r="F96" s="184"/>
    </row>
    <row r="97" spans="1:6" ht="16.5" x14ac:dyDescent="0.15">
      <c r="A97" s="178">
        <v>7</v>
      </c>
      <c r="B97" s="185" t="s">
        <v>394</v>
      </c>
      <c r="C97" s="183" t="s">
        <v>5</v>
      </c>
      <c r="D97" s="212">
        <f>条件输入!D108</f>
        <v>150</v>
      </c>
      <c r="E97" s="212">
        <f>条件输入!E108</f>
        <v>750</v>
      </c>
      <c r="F97" s="184"/>
    </row>
    <row r="98" spans="1:6" ht="16.5" x14ac:dyDescent="0.15">
      <c r="A98" s="178">
        <v>8</v>
      </c>
      <c r="B98" s="182" t="s">
        <v>104</v>
      </c>
      <c r="C98" s="183" t="s">
        <v>99</v>
      </c>
      <c r="D98" s="212">
        <f>条件输入!D109</f>
        <v>2000</v>
      </c>
      <c r="E98" s="212">
        <f>条件输入!E109</f>
        <v>10000</v>
      </c>
      <c r="F98" s="184"/>
    </row>
    <row r="99" spans="1:6" x14ac:dyDescent="0.15">
      <c r="A99" s="178" t="s">
        <v>128</v>
      </c>
      <c r="B99" s="182" t="s">
        <v>92</v>
      </c>
      <c r="C99" s="183" t="s">
        <v>98</v>
      </c>
      <c r="D99" s="212">
        <f>条件输入!D110</f>
        <v>0</v>
      </c>
      <c r="E99" s="212">
        <f>条件输入!E110</f>
        <v>1.5</v>
      </c>
      <c r="F99" s="184"/>
    </row>
    <row r="100" spans="1:6" ht="16.5" x14ac:dyDescent="0.15">
      <c r="A100" s="178">
        <v>1</v>
      </c>
      <c r="B100" s="182" t="s">
        <v>4</v>
      </c>
      <c r="C100" s="183" t="s">
        <v>5</v>
      </c>
      <c r="D100" s="212">
        <f>条件输入!D111</f>
        <v>12000</v>
      </c>
      <c r="E100" s="212">
        <f>条件输入!E111</f>
        <v>18000</v>
      </c>
      <c r="F100" s="184"/>
    </row>
    <row r="101" spans="1:6" ht="16.5" x14ac:dyDescent="0.15">
      <c r="A101" s="178">
        <v>2</v>
      </c>
      <c r="B101" s="182" t="s">
        <v>6</v>
      </c>
      <c r="C101" s="183" t="s">
        <v>5</v>
      </c>
      <c r="D101" s="212">
        <f>条件输入!D112</f>
        <v>2999.9999999999995</v>
      </c>
      <c r="E101" s="212">
        <f>条件输入!E112</f>
        <v>4499.9999999999991</v>
      </c>
      <c r="F101" s="184"/>
    </row>
    <row r="102" spans="1:6" ht="16.5" x14ac:dyDescent="0.15">
      <c r="A102" s="178">
        <v>3</v>
      </c>
      <c r="B102" s="182" t="s">
        <v>7</v>
      </c>
      <c r="C102" s="183" t="s">
        <v>5</v>
      </c>
      <c r="D102" s="212">
        <f>条件输入!D113</f>
        <v>4500</v>
      </c>
      <c r="E102" s="212">
        <f>条件输入!E113</f>
        <v>6750</v>
      </c>
      <c r="F102" s="184"/>
    </row>
    <row r="103" spans="1:6" ht="16.5" x14ac:dyDescent="0.15">
      <c r="A103" s="178">
        <v>4</v>
      </c>
      <c r="B103" s="182" t="s">
        <v>395</v>
      </c>
      <c r="C103" s="183" t="s">
        <v>99</v>
      </c>
      <c r="D103" s="212">
        <f>条件输入!D114</f>
        <v>6500</v>
      </c>
      <c r="E103" s="212">
        <f>条件输入!E114</f>
        <v>9750</v>
      </c>
      <c r="F103" s="184"/>
    </row>
    <row r="104" spans="1:6" ht="16.5" x14ac:dyDescent="0.15">
      <c r="A104" s="178">
        <v>5</v>
      </c>
      <c r="B104" s="182" t="s">
        <v>386</v>
      </c>
      <c r="C104" s="183" t="s">
        <v>99</v>
      </c>
      <c r="D104" s="212">
        <f>条件输入!D115</f>
        <v>6000</v>
      </c>
      <c r="E104" s="212">
        <f>条件输入!E115</f>
        <v>9000</v>
      </c>
      <c r="F104" s="184"/>
    </row>
    <row r="105" spans="1:6" x14ac:dyDescent="0.15">
      <c r="A105" s="178">
        <v>6</v>
      </c>
      <c r="B105" s="185" t="s">
        <v>393</v>
      </c>
      <c r="C105" s="183" t="s">
        <v>101</v>
      </c>
      <c r="D105" s="212">
        <f>条件输入!D116</f>
        <v>20</v>
      </c>
      <c r="E105" s="212">
        <f>条件输入!E116</f>
        <v>30</v>
      </c>
      <c r="F105" s="184"/>
    </row>
    <row r="106" spans="1:6" ht="16.5" x14ac:dyDescent="0.15">
      <c r="A106" s="178">
        <v>7</v>
      </c>
      <c r="B106" s="182" t="s">
        <v>102</v>
      </c>
      <c r="C106" s="183" t="s">
        <v>5</v>
      </c>
      <c r="D106" s="212">
        <f>条件输入!D117</f>
        <v>475</v>
      </c>
      <c r="E106" s="212">
        <f>条件输入!E117</f>
        <v>712.5</v>
      </c>
      <c r="F106" s="184"/>
    </row>
    <row r="107" spans="1:6" ht="16.5" x14ac:dyDescent="0.15">
      <c r="A107" s="178">
        <v>8</v>
      </c>
      <c r="B107" s="185" t="s">
        <v>396</v>
      </c>
      <c r="C107" s="183" t="s">
        <v>5</v>
      </c>
      <c r="D107" s="212">
        <f>条件输入!D118</f>
        <v>300</v>
      </c>
      <c r="E107" s="212">
        <f>条件输入!E118</f>
        <v>450</v>
      </c>
      <c r="F107" s="184"/>
    </row>
    <row r="108" spans="1:6" ht="16.5" x14ac:dyDescent="0.15">
      <c r="A108" s="178">
        <v>9</v>
      </c>
      <c r="B108" s="182" t="s">
        <v>104</v>
      </c>
      <c r="C108" s="183" t="s">
        <v>99</v>
      </c>
      <c r="D108" s="212">
        <f>条件输入!D119</f>
        <v>6000</v>
      </c>
      <c r="E108" s="212">
        <f>条件输入!E119</f>
        <v>9000</v>
      </c>
      <c r="F108" s="184"/>
    </row>
    <row r="109" spans="1:6" x14ac:dyDescent="0.15">
      <c r="A109" s="178">
        <v>10</v>
      </c>
      <c r="B109" s="182" t="s">
        <v>147</v>
      </c>
      <c r="C109" s="186" t="s">
        <v>149</v>
      </c>
      <c r="D109" s="212">
        <f>条件输入!D120</f>
        <v>2</v>
      </c>
      <c r="E109" s="212">
        <f>条件输入!E120</f>
        <v>3</v>
      </c>
      <c r="F109" s="184"/>
    </row>
    <row r="110" spans="1:6" x14ac:dyDescent="0.15">
      <c r="A110" s="178">
        <v>11</v>
      </c>
      <c r="B110" s="182" t="s">
        <v>148</v>
      </c>
      <c r="C110" s="183" t="s">
        <v>42</v>
      </c>
      <c r="D110" s="212">
        <f>条件输入!D121</f>
        <v>200</v>
      </c>
      <c r="E110" s="212">
        <f>条件输入!E121</f>
        <v>300</v>
      </c>
      <c r="F110" s="184"/>
    </row>
    <row r="111" spans="1:6" x14ac:dyDescent="0.15">
      <c r="A111" s="178" t="s">
        <v>129</v>
      </c>
      <c r="B111" s="182" t="s">
        <v>105</v>
      </c>
      <c r="C111" s="183" t="s">
        <v>98</v>
      </c>
      <c r="D111" s="212">
        <f>条件输入!D122</f>
        <v>0</v>
      </c>
      <c r="E111" s="212">
        <f>条件输入!E122</f>
        <v>10</v>
      </c>
      <c r="F111" s="184"/>
    </row>
    <row r="112" spans="1:6" ht="16.5" x14ac:dyDescent="0.15">
      <c r="A112" s="178">
        <v>1</v>
      </c>
      <c r="B112" s="182" t="s">
        <v>4</v>
      </c>
      <c r="C112" s="183" t="s">
        <v>5</v>
      </c>
      <c r="D112" s="212">
        <f>条件输入!D123</f>
        <v>12000</v>
      </c>
      <c r="E112" s="212">
        <f>条件输入!E123</f>
        <v>120000</v>
      </c>
      <c r="F112" s="187"/>
    </row>
    <row r="113" spans="1:6" ht="16.5" x14ac:dyDescent="0.15">
      <c r="A113" s="178">
        <v>2</v>
      </c>
      <c r="B113" s="182" t="s">
        <v>6</v>
      </c>
      <c r="C113" s="183" t="s">
        <v>5</v>
      </c>
      <c r="D113" s="212">
        <f>条件输入!D124</f>
        <v>2999.9999999999995</v>
      </c>
      <c r="E113" s="212">
        <f>条件输入!E124</f>
        <v>29999.999999999996</v>
      </c>
      <c r="F113" s="187"/>
    </row>
    <row r="114" spans="1:6" ht="16.5" x14ac:dyDescent="0.15">
      <c r="A114" s="178">
        <v>3</v>
      </c>
      <c r="B114" s="182" t="s">
        <v>7</v>
      </c>
      <c r="C114" s="183" t="s">
        <v>5</v>
      </c>
      <c r="D114" s="212">
        <f>条件输入!D125</f>
        <v>4500</v>
      </c>
      <c r="E114" s="212">
        <f>条件输入!E125</f>
        <v>45000</v>
      </c>
      <c r="F114" s="187"/>
    </row>
    <row r="115" spans="1:6" ht="16.5" x14ac:dyDescent="0.15">
      <c r="A115" s="178">
        <v>4</v>
      </c>
      <c r="B115" s="182" t="s">
        <v>120</v>
      </c>
      <c r="C115" s="183" t="s">
        <v>99</v>
      </c>
      <c r="D115" s="212">
        <f>条件输入!D126</f>
        <v>6000</v>
      </c>
      <c r="E115" s="212">
        <f>条件输入!E126</f>
        <v>60000</v>
      </c>
      <c r="F115" s="187"/>
    </row>
    <row r="116" spans="1:6" ht="16.5" x14ac:dyDescent="0.15">
      <c r="A116" s="178">
        <v>5</v>
      </c>
      <c r="B116" s="182" t="s">
        <v>387</v>
      </c>
      <c r="C116" s="183" t="s">
        <v>99</v>
      </c>
      <c r="D116" s="212">
        <f>条件输入!D127</f>
        <v>0</v>
      </c>
      <c r="E116" s="212">
        <f>条件输入!E127</f>
        <v>0</v>
      </c>
      <c r="F116" s="187"/>
    </row>
    <row r="117" spans="1:6" x14ac:dyDescent="0.15">
      <c r="A117" s="178">
        <v>6</v>
      </c>
      <c r="B117" s="185" t="s">
        <v>397</v>
      </c>
      <c r="C117" s="183" t="s">
        <v>101</v>
      </c>
      <c r="D117" s="212">
        <f>条件输入!D128</f>
        <v>20</v>
      </c>
      <c r="E117" s="212">
        <f>条件输入!E128</f>
        <v>200</v>
      </c>
      <c r="F117" s="187"/>
    </row>
    <row r="118" spans="1:6" ht="16.5" x14ac:dyDescent="0.15">
      <c r="A118" s="178">
        <v>7</v>
      </c>
      <c r="B118" s="182" t="s">
        <v>107</v>
      </c>
      <c r="C118" s="183" t="s">
        <v>5</v>
      </c>
      <c r="D118" s="212">
        <f>条件输入!D129</f>
        <v>475</v>
      </c>
      <c r="E118" s="212">
        <f>条件输入!E129</f>
        <v>4750</v>
      </c>
      <c r="F118" s="187"/>
    </row>
    <row r="119" spans="1:6" ht="16.5" x14ac:dyDescent="0.15">
      <c r="A119" s="178">
        <v>8</v>
      </c>
      <c r="B119" s="185" t="s">
        <v>394</v>
      </c>
      <c r="C119" s="183" t="s">
        <v>5</v>
      </c>
      <c r="D119" s="212">
        <f>条件输入!D130</f>
        <v>300</v>
      </c>
      <c r="E119" s="212">
        <f>条件输入!E130</f>
        <v>3000</v>
      </c>
      <c r="F119" s="187"/>
    </row>
    <row r="120" spans="1:6" ht="16.5" x14ac:dyDescent="0.15">
      <c r="A120" s="178">
        <v>9</v>
      </c>
      <c r="B120" s="182" t="s">
        <v>109</v>
      </c>
      <c r="C120" s="183" t="s">
        <v>99</v>
      </c>
      <c r="D120" s="212">
        <f>条件输入!D131</f>
        <v>6000</v>
      </c>
      <c r="E120" s="212">
        <f>条件输入!E131</f>
        <v>60000</v>
      </c>
      <c r="F120" s="187"/>
    </row>
    <row r="121" spans="1:6" x14ac:dyDescent="0.15">
      <c r="A121" s="178">
        <v>10</v>
      </c>
      <c r="B121" s="182" t="s">
        <v>147</v>
      </c>
      <c r="C121" s="186" t="s">
        <v>149</v>
      </c>
      <c r="D121" s="212">
        <f>条件输入!D132</f>
        <v>4</v>
      </c>
      <c r="E121" s="212">
        <f>条件输入!E132</f>
        <v>40</v>
      </c>
      <c r="F121" s="187"/>
    </row>
    <row r="122" spans="1:6" x14ac:dyDescent="0.15">
      <c r="A122" s="178">
        <v>11</v>
      </c>
      <c r="B122" s="182" t="s">
        <v>148</v>
      </c>
      <c r="C122" s="183" t="s">
        <v>42</v>
      </c>
      <c r="D122" s="212">
        <f>条件输入!D133</f>
        <v>200</v>
      </c>
      <c r="E122" s="212">
        <f>条件输入!E133</f>
        <v>2000</v>
      </c>
      <c r="F122" s="187"/>
    </row>
    <row r="123" spans="1:6" ht="16.5" x14ac:dyDescent="0.15">
      <c r="A123" s="178">
        <v>12</v>
      </c>
      <c r="B123" s="182" t="s">
        <v>69</v>
      </c>
      <c r="C123" s="183" t="s">
        <v>99</v>
      </c>
      <c r="D123" s="212" t="str">
        <f>条件输入!D134</f>
        <v/>
      </c>
      <c r="E123" s="212" t="str">
        <f>条件输入!E134</f>
        <v/>
      </c>
      <c r="F123" s="187"/>
    </row>
    <row r="124" spans="1:6" x14ac:dyDescent="0.15">
      <c r="A124" s="178" t="s">
        <v>130</v>
      </c>
      <c r="B124" s="182" t="s">
        <v>111</v>
      </c>
      <c r="C124" s="186" t="s">
        <v>124</v>
      </c>
      <c r="D124" s="212">
        <f>条件输入!D135</f>
        <v>0</v>
      </c>
      <c r="E124" s="212">
        <f>条件输入!E135</f>
        <v>15</v>
      </c>
      <c r="F124" s="184"/>
    </row>
    <row r="125" spans="1:6" ht="16.5" x14ac:dyDescent="0.15">
      <c r="A125" s="178">
        <v>1</v>
      </c>
      <c r="B125" s="182" t="s">
        <v>112</v>
      </c>
      <c r="C125" s="183" t="s">
        <v>99</v>
      </c>
      <c r="D125" s="212">
        <f>条件输入!D136</f>
        <v>1800</v>
      </c>
      <c r="E125" s="212">
        <f>条件输入!E136</f>
        <v>27000</v>
      </c>
      <c r="F125" s="184"/>
    </row>
    <row r="126" spans="1:6" ht="16.5" x14ac:dyDescent="0.15">
      <c r="A126" s="178">
        <v>2</v>
      </c>
      <c r="B126" s="182" t="s">
        <v>4</v>
      </c>
      <c r="C126" s="183" t="s">
        <v>5</v>
      </c>
      <c r="D126" s="212">
        <f>条件输入!D137</f>
        <v>4320</v>
      </c>
      <c r="E126" s="212">
        <f>条件输入!E137</f>
        <v>64800</v>
      </c>
      <c r="F126" s="184"/>
    </row>
    <row r="127" spans="1:6" ht="16.5" x14ac:dyDescent="0.15">
      <c r="A127" s="178">
        <v>3</v>
      </c>
      <c r="B127" s="182" t="s">
        <v>6</v>
      </c>
      <c r="C127" s="183" t="s">
        <v>5</v>
      </c>
      <c r="D127" s="212">
        <f>条件输入!D138</f>
        <v>1079.9999999999998</v>
      </c>
      <c r="E127" s="212">
        <f>条件输入!E138</f>
        <v>16199.999999999996</v>
      </c>
      <c r="F127" s="184"/>
    </row>
    <row r="128" spans="1:6" ht="16.5" x14ac:dyDescent="0.15">
      <c r="A128" s="178">
        <v>4</v>
      </c>
      <c r="B128" s="182" t="s">
        <v>7</v>
      </c>
      <c r="C128" s="183" t="s">
        <v>5</v>
      </c>
      <c r="D128" s="212">
        <f>条件输入!D139</f>
        <v>900</v>
      </c>
      <c r="E128" s="212">
        <f>条件输入!E139</f>
        <v>13500</v>
      </c>
      <c r="F128" s="184"/>
    </row>
    <row r="129" spans="1:6" ht="16.5" x14ac:dyDescent="0.15">
      <c r="A129" s="178">
        <v>5</v>
      </c>
      <c r="B129" s="182" t="s">
        <v>102</v>
      </c>
      <c r="C129" s="183" t="s">
        <v>5</v>
      </c>
      <c r="D129" s="212">
        <f>条件输入!D140</f>
        <v>19</v>
      </c>
      <c r="E129" s="212">
        <f>条件输入!E140</f>
        <v>285</v>
      </c>
      <c r="F129" s="184"/>
    </row>
    <row r="130" spans="1:6" ht="17.25" thickBot="1" x14ac:dyDescent="0.2">
      <c r="A130" s="180">
        <v>6</v>
      </c>
      <c r="B130" s="188" t="s">
        <v>113</v>
      </c>
      <c r="C130" s="189" t="s">
        <v>5</v>
      </c>
      <c r="D130" s="213">
        <f>条件输入!D141</f>
        <v>50</v>
      </c>
      <c r="E130" s="213">
        <f>条件输入!E141</f>
        <v>750</v>
      </c>
      <c r="F130" s="190"/>
    </row>
    <row r="133" spans="1:6" ht="15" thickBot="1" x14ac:dyDescent="0.2">
      <c r="A133" s="2" t="s">
        <v>374</v>
      </c>
      <c r="C133" s="192" t="s">
        <v>398</v>
      </c>
    </row>
    <row r="134" spans="1:6" x14ac:dyDescent="0.15">
      <c r="A134" s="121" t="s">
        <v>85</v>
      </c>
      <c r="B134" s="174" t="s">
        <v>0</v>
      </c>
      <c r="C134" s="174" t="str">
        <f>条件输入!C145</f>
        <v>建筑面积（m2）</v>
      </c>
      <c r="D134" s="174" t="str">
        <f>条件输入!D145</f>
        <v>占地面积（m2）</v>
      </c>
      <c r="E134" s="177" t="s">
        <v>3</v>
      </c>
    </row>
    <row r="135" spans="1:6" x14ac:dyDescent="0.15">
      <c r="A135" s="178">
        <v>1</v>
      </c>
      <c r="B135" s="175" t="s">
        <v>236</v>
      </c>
      <c r="C135" s="175">
        <f>条件输入!C146</f>
        <v>200</v>
      </c>
      <c r="D135" s="175">
        <f>条件输入!D146</f>
        <v>1000</v>
      </c>
      <c r="E135" s="179"/>
    </row>
    <row r="136" spans="1:6" x14ac:dyDescent="0.15">
      <c r="A136" s="178">
        <v>2</v>
      </c>
      <c r="B136" s="175" t="s">
        <v>238</v>
      </c>
      <c r="C136" s="175">
        <f>条件输入!C147</f>
        <v>1800</v>
      </c>
      <c r="D136" s="175">
        <f>条件输入!D147</f>
        <v>3000</v>
      </c>
      <c r="E136" s="179"/>
    </row>
    <row r="137" spans="1:6" x14ac:dyDescent="0.15">
      <c r="A137" s="178">
        <v>3</v>
      </c>
      <c r="B137" s="175" t="s">
        <v>239</v>
      </c>
      <c r="C137" s="175">
        <f>条件输入!C148</f>
        <v>150</v>
      </c>
      <c r="D137" s="175">
        <f>条件输入!D148</f>
        <v>800</v>
      </c>
      <c r="E137" s="179"/>
    </row>
    <row r="138" spans="1:6" x14ac:dyDescent="0.15">
      <c r="A138" s="178">
        <v>4</v>
      </c>
      <c r="B138" s="175" t="s">
        <v>240</v>
      </c>
      <c r="C138" s="175">
        <f>条件输入!C149</f>
        <v>100</v>
      </c>
      <c r="D138" s="175">
        <f>条件输入!D149</f>
        <v>4500</v>
      </c>
      <c r="E138" s="179"/>
    </row>
    <row r="139" spans="1:6" x14ac:dyDescent="0.15">
      <c r="A139" s="178">
        <v>5</v>
      </c>
      <c r="B139" s="175" t="s">
        <v>241</v>
      </c>
      <c r="C139" s="175">
        <f>条件输入!C150</f>
        <v>100</v>
      </c>
      <c r="D139" s="175">
        <f>条件输入!D150</f>
        <v>1200</v>
      </c>
      <c r="E139" s="179"/>
    </row>
    <row r="140" spans="1:6" ht="15" thickBot="1" x14ac:dyDescent="0.2">
      <c r="A140" s="180">
        <v>6</v>
      </c>
      <c r="B140" s="176" t="s">
        <v>242</v>
      </c>
      <c r="C140" s="176">
        <f>条件输入!C151</f>
        <v>2350</v>
      </c>
      <c r="D140" s="176">
        <f>条件输入!D151</f>
        <v>10500</v>
      </c>
      <c r="E140" s="181"/>
    </row>
    <row r="143" spans="1:6" ht="15" thickBot="1" x14ac:dyDescent="0.2">
      <c r="A143" s="2" t="s">
        <v>376</v>
      </c>
      <c r="C143" s="2" t="s">
        <v>375</v>
      </c>
    </row>
    <row r="144" spans="1:6" x14ac:dyDescent="0.15">
      <c r="A144" s="214" t="s">
        <v>85</v>
      </c>
      <c r="B144" s="215" t="s">
        <v>0</v>
      </c>
      <c r="C144" s="216" t="str">
        <f>条件输入!C155</f>
        <v>开挖（m3）</v>
      </c>
      <c r="D144" s="216" t="str">
        <f>条件输入!D155</f>
        <v>回填（m3）</v>
      </c>
      <c r="E144" s="217" t="str">
        <f>条件输入!E155</f>
        <v>弃土（m3）</v>
      </c>
    </row>
    <row r="145" spans="1:7" x14ac:dyDescent="0.15">
      <c r="A145" s="218">
        <v>1</v>
      </c>
      <c r="B145" s="200" t="s">
        <v>245</v>
      </c>
      <c r="C145" s="219">
        <f>条件输入!C156</f>
        <v>24498.167660841318</v>
      </c>
      <c r="D145" s="219">
        <f>条件输入!D156</f>
        <v>14078.359558079368</v>
      </c>
      <c r="E145" s="220">
        <f>条件输入!E156</f>
        <v>10419.80810276195</v>
      </c>
    </row>
    <row r="146" spans="1:7" x14ac:dyDescent="0.15">
      <c r="A146" s="218">
        <v>2</v>
      </c>
      <c r="B146" s="200" t="s">
        <v>250</v>
      </c>
      <c r="C146" s="219">
        <f>条件输入!C157</f>
        <v>36916.538999999997</v>
      </c>
      <c r="D146" s="219">
        <f>条件输入!D157</f>
        <v>6152.7564999999995</v>
      </c>
      <c r="E146" s="220">
        <f>条件输入!E157</f>
        <v>30763.782499999998</v>
      </c>
    </row>
    <row r="147" spans="1:7" x14ac:dyDescent="0.15">
      <c r="A147" s="218">
        <v>3</v>
      </c>
      <c r="B147" s="200" t="s">
        <v>251</v>
      </c>
      <c r="C147" s="219">
        <f>条件输入!C158</f>
        <v>197500</v>
      </c>
      <c r="D147" s="219">
        <f>条件输入!D158</f>
        <v>58000</v>
      </c>
      <c r="E147" s="220">
        <f>条件输入!E158</f>
        <v>139500</v>
      </c>
    </row>
    <row r="148" spans="1:7" x14ac:dyDescent="0.15">
      <c r="A148" s="218">
        <v>4</v>
      </c>
      <c r="B148" s="200" t="s">
        <v>249</v>
      </c>
      <c r="C148" s="219">
        <f>条件输入!C159</f>
        <v>81000</v>
      </c>
      <c r="D148" s="219">
        <f>条件输入!D159</f>
        <v>13500</v>
      </c>
      <c r="E148" s="220">
        <f>条件输入!E159</f>
        <v>67500</v>
      </c>
    </row>
    <row r="149" spans="1:7" x14ac:dyDescent="0.15">
      <c r="A149" s="218">
        <v>5</v>
      </c>
      <c r="B149" s="200" t="s">
        <v>246</v>
      </c>
      <c r="C149" s="219">
        <f>条件输入!C160</f>
        <v>15000</v>
      </c>
      <c r="D149" s="219">
        <f>条件输入!D160</f>
        <v>10000</v>
      </c>
      <c r="E149" s="220">
        <f>条件输入!E160</f>
        <v>5000</v>
      </c>
    </row>
    <row r="150" spans="1:7" ht="15" thickBot="1" x14ac:dyDescent="0.2">
      <c r="A150" s="221">
        <v>6</v>
      </c>
      <c r="B150" s="222" t="s">
        <v>242</v>
      </c>
      <c r="C150" s="223">
        <f>条件输入!C161</f>
        <v>354914.7066608413</v>
      </c>
      <c r="D150" s="223">
        <f>条件输入!D161</f>
        <v>101731.11605807937</v>
      </c>
      <c r="E150" s="224">
        <f>条件输入!E161</f>
        <v>253183.59060276195</v>
      </c>
    </row>
    <row r="153" spans="1:7" ht="15" thickBot="1" x14ac:dyDescent="0.2">
      <c r="A153" s="2" t="s">
        <v>378</v>
      </c>
      <c r="C153" s="2" t="s">
        <v>377</v>
      </c>
    </row>
    <row r="154" spans="1:7" x14ac:dyDescent="0.15">
      <c r="A154" s="225" t="s">
        <v>12</v>
      </c>
      <c r="B154" s="226" t="s">
        <v>399</v>
      </c>
      <c r="C154" s="226" t="s">
        <v>279</v>
      </c>
      <c r="D154" s="226" t="s">
        <v>400</v>
      </c>
      <c r="E154" s="226" t="s">
        <v>281</v>
      </c>
      <c r="F154" s="226" t="s">
        <v>282</v>
      </c>
      <c r="G154" s="227" t="s">
        <v>280</v>
      </c>
    </row>
    <row r="155" spans="1:7" ht="15" thickBot="1" x14ac:dyDescent="0.2">
      <c r="A155" s="228">
        <v>1</v>
      </c>
      <c r="B155" s="229">
        <f>条件输入!B166</f>
        <v>30000</v>
      </c>
      <c r="C155" s="229">
        <f>条件输入!C166</f>
        <v>300000</v>
      </c>
      <c r="D155" s="229">
        <f>条件输入!D166</f>
        <v>37500</v>
      </c>
      <c r="E155" s="229">
        <f>条件输入!E166</f>
        <v>1125</v>
      </c>
      <c r="F155" s="229">
        <f>条件输入!F166</f>
        <v>503.99999999999994</v>
      </c>
      <c r="G155" s="230">
        <f>条件输入!G166</f>
        <v>1140</v>
      </c>
    </row>
    <row r="158" spans="1:7" ht="15" thickBot="1" x14ac:dyDescent="0.2">
      <c r="A158" s="2" t="s">
        <v>382</v>
      </c>
      <c r="C158" s="2" t="s">
        <v>379</v>
      </c>
    </row>
    <row r="159" spans="1:7" x14ac:dyDescent="0.15">
      <c r="A159" s="121" t="s">
        <v>12</v>
      </c>
      <c r="B159" s="174" t="s">
        <v>0</v>
      </c>
      <c r="C159" s="231" t="str">
        <f>条件输入!C170</f>
        <v>用地面积（m2）</v>
      </c>
      <c r="D159" s="177" t="s">
        <v>3</v>
      </c>
    </row>
    <row r="160" spans="1:7" x14ac:dyDescent="0.15">
      <c r="A160" s="178">
        <v>1</v>
      </c>
      <c r="B160" s="175" t="s">
        <v>255</v>
      </c>
      <c r="C160" s="232">
        <f>条件输入!C171</f>
        <v>330.06357816777762</v>
      </c>
      <c r="D160" s="179"/>
    </row>
    <row r="161" spans="1:4" x14ac:dyDescent="0.15">
      <c r="A161" s="178">
        <v>2</v>
      </c>
      <c r="B161" s="175" t="s">
        <v>254</v>
      </c>
      <c r="C161" s="232">
        <f>条件输入!C172</f>
        <v>27</v>
      </c>
      <c r="D161" s="179"/>
    </row>
    <row r="162" spans="1:4" x14ac:dyDescent="0.15">
      <c r="A162" s="178">
        <v>3</v>
      </c>
      <c r="B162" s="175" t="s">
        <v>253</v>
      </c>
      <c r="C162" s="232">
        <f>条件输入!C173</f>
        <v>12305.512999999999</v>
      </c>
      <c r="D162" s="179" t="s">
        <v>256</v>
      </c>
    </row>
    <row r="163" spans="1:4" ht="15" thickBot="1" x14ac:dyDescent="0.2">
      <c r="A163" s="180">
        <v>4</v>
      </c>
      <c r="B163" s="176" t="s">
        <v>242</v>
      </c>
      <c r="C163" s="233">
        <f>条件输入!C174</f>
        <v>12662.576578167776</v>
      </c>
      <c r="D163" s="234">
        <f>C163/666.667</f>
        <v>18.993855370323978</v>
      </c>
    </row>
    <row r="166" spans="1:4" ht="15" thickBot="1" x14ac:dyDescent="0.2">
      <c r="A166" s="2" t="s">
        <v>383</v>
      </c>
      <c r="C166" s="2" t="s">
        <v>380</v>
      </c>
    </row>
    <row r="167" spans="1:4" x14ac:dyDescent="0.15">
      <c r="A167" s="121" t="s">
        <v>85</v>
      </c>
      <c r="B167" s="174" t="s">
        <v>0</v>
      </c>
      <c r="C167" s="202" t="str">
        <f>条件输入!C178</f>
        <v>用地面积（m2）</v>
      </c>
      <c r="D167" s="177" t="s">
        <v>3</v>
      </c>
    </row>
    <row r="168" spans="1:4" x14ac:dyDescent="0.15">
      <c r="A168" s="178">
        <v>1</v>
      </c>
      <c r="B168" s="175" t="s">
        <v>266</v>
      </c>
      <c r="C168" s="203">
        <f>条件输入!C179</f>
        <v>10500</v>
      </c>
      <c r="D168" s="179"/>
    </row>
    <row r="169" spans="1:4" x14ac:dyDescent="0.15">
      <c r="A169" s="178">
        <v>2</v>
      </c>
      <c r="B169" s="175" t="s">
        <v>267</v>
      </c>
      <c r="C169" s="232">
        <f>条件输入!C180</f>
        <v>26642.936421832223</v>
      </c>
      <c r="D169" s="179"/>
    </row>
    <row r="170" spans="1:4" x14ac:dyDescent="0.15">
      <c r="A170" s="178">
        <v>3</v>
      </c>
      <c r="B170" s="175" t="s">
        <v>268</v>
      </c>
      <c r="C170" s="203">
        <f>条件输入!C181</f>
        <v>132500</v>
      </c>
      <c r="D170" s="179"/>
    </row>
    <row r="171" spans="1:4" x14ac:dyDescent="0.15">
      <c r="A171" s="178">
        <v>4</v>
      </c>
      <c r="B171" s="175" t="s">
        <v>269</v>
      </c>
      <c r="C171" s="203">
        <f>条件输入!C182</f>
        <v>30000</v>
      </c>
      <c r="D171" s="179"/>
    </row>
    <row r="172" spans="1:4" x14ac:dyDescent="0.15">
      <c r="A172" s="178">
        <v>5</v>
      </c>
      <c r="B172" s="175" t="s">
        <v>270</v>
      </c>
      <c r="C172" s="203">
        <f>条件输入!C183</f>
        <v>18000</v>
      </c>
      <c r="D172" s="179"/>
    </row>
    <row r="173" spans="1:4" x14ac:dyDescent="0.15">
      <c r="A173" s="178">
        <v>6</v>
      </c>
      <c r="B173" s="175" t="s">
        <v>273</v>
      </c>
      <c r="C173" s="203">
        <f>条件输入!C184</f>
        <v>1500</v>
      </c>
      <c r="D173" s="179"/>
    </row>
    <row r="174" spans="1:4" x14ac:dyDescent="0.15">
      <c r="A174" s="178">
        <v>7</v>
      </c>
      <c r="B174" s="175" t="s">
        <v>271</v>
      </c>
      <c r="C174" s="203">
        <f>条件输入!C185</f>
        <v>3000</v>
      </c>
      <c r="D174" s="179"/>
    </row>
    <row r="175" spans="1:4" ht="15" thickBot="1" x14ac:dyDescent="0.2">
      <c r="A175" s="180">
        <v>8</v>
      </c>
      <c r="B175" s="176" t="s">
        <v>242</v>
      </c>
      <c r="C175" s="233">
        <f>条件输入!C186</f>
        <v>222142.93642183222</v>
      </c>
      <c r="D175" s="234">
        <f>C175/666.667</f>
        <v>333.2142380256293</v>
      </c>
    </row>
    <row r="178" spans="1:5" ht="15" thickBot="1" x14ac:dyDescent="0.2">
      <c r="A178" s="2" t="s">
        <v>384</v>
      </c>
      <c r="B178" s="14"/>
      <c r="C178" s="14" t="s">
        <v>381</v>
      </c>
      <c r="D178" s="14"/>
      <c r="E178" s="14"/>
    </row>
    <row r="179" spans="1:5" x14ac:dyDescent="0.15">
      <c r="A179" s="121" t="s">
        <v>12</v>
      </c>
      <c r="B179" s="174" t="s">
        <v>0</v>
      </c>
      <c r="C179" s="174" t="s">
        <v>1</v>
      </c>
      <c r="D179" s="202" t="str">
        <f>条件输入!D190</f>
        <v>数量</v>
      </c>
      <c r="E179" s="177" t="s">
        <v>3</v>
      </c>
    </row>
    <row r="180" spans="1:5" x14ac:dyDescent="0.15">
      <c r="A180" s="178">
        <v>1</v>
      </c>
      <c r="B180" s="175" t="s">
        <v>287</v>
      </c>
      <c r="C180" s="175" t="s">
        <v>288</v>
      </c>
      <c r="D180" s="203">
        <f>条件输入!D191</f>
        <v>15</v>
      </c>
      <c r="E180" s="179"/>
    </row>
    <row r="181" spans="1:5" x14ac:dyDescent="0.15">
      <c r="A181" s="178">
        <v>2</v>
      </c>
      <c r="B181" s="175" t="s">
        <v>289</v>
      </c>
      <c r="C181" s="175" t="s">
        <v>290</v>
      </c>
      <c r="D181" s="203">
        <f>条件输入!D192</f>
        <v>2197.2399999999998</v>
      </c>
      <c r="E181" s="179"/>
    </row>
    <row r="182" spans="1:5" x14ac:dyDescent="0.15">
      <c r="A182" s="178">
        <v>3</v>
      </c>
      <c r="B182" s="175" t="s">
        <v>291</v>
      </c>
      <c r="C182" s="175" t="s">
        <v>288</v>
      </c>
      <c r="D182" s="203">
        <f>条件输入!D193</f>
        <v>2</v>
      </c>
      <c r="E182" s="179"/>
    </row>
    <row r="183" spans="1:5" x14ac:dyDescent="0.15">
      <c r="A183" s="178">
        <v>4</v>
      </c>
      <c r="B183" s="175" t="s">
        <v>273</v>
      </c>
      <c r="C183" s="175" t="s">
        <v>299</v>
      </c>
      <c r="D183" s="203">
        <f>条件输入!D194</f>
        <v>20</v>
      </c>
      <c r="E183" s="179"/>
    </row>
    <row r="184" spans="1:5" x14ac:dyDescent="0.15">
      <c r="A184" s="178">
        <v>5</v>
      </c>
      <c r="B184" s="175" t="s">
        <v>297</v>
      </c>
      <c r="C184" s="175" t="s">
        <v>98</v>
      </c>
      <c r="D184" s="203">
        <f>条件输入!D195</f>
        <v>2</v>
      </c>
      <c r="E184" s="179"/>
    </row>
    <row r="185" spans="1:5" x14ac:dyDescent="0.15">
      <c r="A185" s="178">
        <v>6</v>
      </c>
      <c r="B185" s="175" t="s">
        <v>292</v>
      </c>
      <c r="C185" s="175" t="s">
        <v>293</v>
      </c>
      <c r="D185" s="232">
        <f>条件输入!D196</f>
        <v>35.491470666084133</v>
      </c>
      <c r="E185" s="179"/>
    </row>
    <row r="186" spans="1:5" x14ac:dyDescent="0.15">
      <c r="A186" s="178">
        <v>7</v>
      </c>
      <c r="B186" s="175" t="s">
        <v>7</v>
      </c>
      <c r="C186" s="175" t="s">
        <v>293</v>
      </c>
      <c r="D186" s="232">
        <f>条件输入!D197</f>
        <v>10.173111605807936</v>
      </c>
      <c r="E186" s="179"/>
    </row>
    <row r="187" spans="1:5" x14ac:dyDescent="0.15">
      <c r="A187" s="178">
        <v>8</v>
      </c>
      <c r="B187" s="175" t="s">
        <v>294</v>
      </c>
      <c r="C187" s="175" t="s">
        <v>293</v>
      </c>
      <c r="D187" s="232">
        <f>条件输入!D198</f>
        <v>1.2135933102761951</v>
      </c>
      <c r="E187" s="179"/>
    </row>
    <row r="188" spans="1:5" x14ac:dyDescent="0.15">
      <c r="A188" s="178">
        <v>9</v>
      </c>
      <c r="B188" s="175" t="s">
        <v>9</v>
      </c>
      <c r="C188" s="175" t="s">
        <v>10</v>
      </c>
      <c r="D188" s="232">
        <f>条件输入!D199</f>
        <v>919.21037699350632</v>
      </c>
      <c r="E188" s="179"/>
    </row>
    <row r="189" spans="1:5" ht="15" thickBot="1" x14ac:dyDescent="0.2">
      <c r="A189" s="180">
        <v>10</v>
      </c>
      <c r="B189" s="176" t="s">
        <v>295</v>
      </c>
      <c r="C189" s="176" t="s">
        <v>293</v>
      </c>
      <c r="D189" s="233">
        <f>条件输入!D200</f>
        <v>1.5841499999999999</v>
      </c>
      <c r="E189" s="181"/>
    </row>
  </sheetData>
  <sheetProtection autoFilter="0"/>
  <mergeCells count="5">
    <mergeCell ref="C20:D20"/>
    <mergeCell ref="E20:F20"/>
    <mergeCell ref="A22:G22"/>
    <mergeCell ref="A27:G27"/>
    <mergeCell ref="A30:G30"/>
  </mergeCells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23"/>
  <sheetViews>
    <sheetView tabSelected="1" topLeftCell="A181" zoomScale="85" zoomScaleNormal="85" workbookViewId="0">
      <selection activeCell="H193" sqref="H193"/>
    </sheetView>
  </sheetViews>
  <sheetFormatPr defaultRowHeight="14.25" x14ac:dyDescent="0.15"/>
  <cols>
    <col min="1" max="1" width="35.375" bestFit="1" customWidth="1"/>
    <col min="2" max="2" width="20.125" customWidth="1"/>
    <col min="3" max="3" width="15.5" customWidth="1"/>
    <col min="4" max="4" width="15.375" customWidth="1"/>
    <col min="5" max="5" width="16.625" customWidth="1"/>
    <col min="6" max="6" width="14" customWidth="1"/>
    <col min="7" max="7" width="13.125" customWidth="1"/>
    <col min="8" max="9" width="11.875" customWidth="1"/>
    <col min="10" max="10" width="12.125" customWidth="1"/>
    <col min="11" max="11" width="16.25" customWidth="1"/>
    <col min="12" max="12" width="17.75" customWidth="1"/>
    <col min="13" max="13" width="32.375" customWidth="1"/>
    <col min="14" max="14" width="37.75" bestFit="1" customWidth="1"/>
    <col min="15" max="15" width="29.125" bestFit="1" customWidth="1"/>
    <col min="16" max="16" width="25.625" customWidth="1"/>
    <col min="17" max="17" width="10.75" customWidth="1"/>
    <col min="18" max="18" width="32.25" bestFit="1" customWidth="1"/>
  </cols>
  <sheetData>
    <row r="1" spans="1:13" ht="20.100000000000001" customHeight="1" x14ac:dyDescent="0.15">
      <c r="A1" s="24" t="s">
        <v>18</v>
      </c>
      <c r="B1" s="24" t="s">
        <v>51</v>
      </c>
      <c r="C1" s="20" t="s">
        <v>52</v>
      </c>
      <c r="D1" s="24" t="s">
        <v>26</v>
      </c>
      <c r="E1" s="12" t="s">
        <v>24</v>
      </c>
      <c r="F1" s="20" t="s">
        <v>50</v>
      </c>
      <c r="G1" s="14" t="s">
        <v>115</v>
      </c>
      <c r="H1" s="14" t="s">
        <v>116</v>
      </c>
      <c r="M1" s="138" t="s">
        <v>303</v>
      </c>
    </row>
    <row r="2" spans="1:13" s="24" customFormat="1" ht="20.100000000000001" customHeight="1" x14ac:dyDescent="0.15">
      <c r="A2" s="21">
        <v>7</v>
      </c>
      <c r="B2" s="22">
        <v>180</v>
      </c>
      <c r="C2" s="144">
        <v>3</v>
      </c>
      <c r="D2" s="23">
        <v>15</v>
      </c>
      <c r="E2" s="150" t="s">
        <v>16</v>
      </c>
      <c r="F2" s="23">
        <v>70000</v>
      </c>
      <c r="G2" s="172">
        <v>0.8</v>
      </c>
      <c r="H2" s="173">
        <f>1-G2</f>
        <v>0.19999999999999996</v>
      </c>
      <c r="M2" s="137" t="s">
        <v>304</v>
      </c>
    </row>
    <row r="3" spans="1:13" ht="20.100000000000001" customHeight="1" x14ac:dyDescent="0.15">
      <c r="C3" s="10"/>
      <c r="M3" s="140" t="s">
        <v>305</v>
      </c>
    </row>
    <row r="4" spans="1:13" ht="20.100000000000001" customHeight="1" x14ac:dyDescent="0.15">
      <c r="A4" s="14" t="s">
        <v>90</v>
      </c>
      <c r="B4" s="14" t="s">
        <v>91</v>
      </c>
      <c r="C4" s="14" t="s">
        <v>92</v>
      </c>
      <c r="D4" s="14" t="s">
        <v>93</v>
      </c>
      <c r="E4" s="14" t="s">
        <v>117</v>
      </c>
      <c r="F4" s="14" t="s">
        <v>118</v>
      </c>
      <c r="G4" s="14" t="s">
        <v>308</v>
      </c>
      <c r="H4" s="14" t="s">
        <v>68</v>
      </c>
      <c r="I4" s="14" t="s">
        <v>201</v>
      </c>
      <c r="J4" s="14" t="s">
        <v>202</v>
      </c>
      <c r="K4" s="14" t="s">
        <v>302</v>
      </c>
      <c r="M4" s="142" t="s">
        <v>306</v>
      </c>
    </row>
    <row r="5" spans="1:13" ht="20.100000000000001" customHeight="1" x14ac:dyDescent="0.15">
      <c r="A5" s="249" t="s">
        <v>409</v>
      </c>
      <c r="B5" s="32">
        <v>5</v>
      </c>
      <c r="C5" s="32">
        <v>1.5</v>
      </c>
      <c r="D5" s="32">
        <v>10</v>
      </c>
      <c r="E5" s="172">
        <v>0.8</v>
      </c>
      <c r="F5" s="173">
        <f>1-E5</f>
        <v>0.19999999999999996</v>
      </c>
      <c r="G5" s="32" t="s">
        <v>175</v>
      </c>
      <c r="H5" s="141" t="s">
        <v>131</v>
      </c>
      <c r="I5" s="141">
        <v>110</v>
      </c>
      <c r="J5" s="141">
        <v>100</v>
      </c>
      <c r="K5" s="141">
        <v>2</v>
      </c>
      <c r="M5" s="143" t="s">
        <v>307</v>
      </c>
    </row>
    <row r="6" spans="1:13" ht="20.100000000000001" customHeight="1" x14ac:dyDescent="0.15"/>
    <row r="7" spans="1:13" ht="20.100000000000001" customHeight="1" x14ac:dyDescent="0.15">
      <c r="A7" s="2" t="s">
        <v>309</v>
      </c>
      <c r="B7" s="2" t="s">
        <v>310</v>
      </c>
      <c r="C7" s="2" t="s">
        <v>274</v>
      </c>
      <c r="D7" s="2" t="s">
        <v>275</v>
      </c>
      <c r="E7" s="2" t="s">
        <v>300</v>
      </c>
      <c r="F7" s="2" t="s">
        <v>301</v>
      </c>
    </row>
    <row r="8" spans="1:13" ht="20.100000000000001" customHeight="1" x14ac:dyDescent="0.15">
      <c r="A8" s="139">
        <v>15000</v>
      </c>
      <c r="B8" s="139">
        <v>10000</v>
      </c>
      <c r="C8" s="139">
        <v>1500</v>
      </c>
      <c r="D8" s="139">
        <v>3000</v>
      </c>
      <c r="E8" s="139">
        <v>20</v>
      </c>
      <c r="F8" s="139">
        <v>2</v>
      </c>
    </row>
    <row r="9" spans="1:13" ht="20.100000000000001" customHeight="1" x14ac:dyDescent="0.15">
      <c r="A9" s="24"/>
      <c r="B9" s="24"/>
      <c r="C9" s="24"/>
      <c r="D9" s="24"/>
      <c r="E9" s="24"/>
      <c r="F9" s="24"/>
    </row>
    <row r="10" spans="1:13" ht="20.100000000000001" customHeight="1" x14ac:dyDescent="0.15">
      <c r="A10" s="24"/>
      <c r="B10" s="24"/>
      <c r="C10" s="24"/>
      <c r="D10" s="24"/>
      <c r="E10" s="24"/>
      <c r="F10" s="24"/>
    </row>
    <row r="11" spans="1:13" ht="20.100000000000001" customHeight="1" thickBot="1" x14ac:dyDescent="0.2">
      <c r="A11" s="145" t="s">
        <v>324</v>
      </c>
      <c r="B11" s="24"/>
      <c r="C11" s="24"/>
      <c r="D11" s="24"/>
      <c r="E11" s="24"/>
      <c r="F11" s="24"/>
    </row>
    <row r="12" spans="1:13" ht="20.100000000000001" customHeight="1" x14ac:dyDescent="0.15">
      <c r="A12" s="165" t="s">
        <v>311</v>
      </c>
      <c r="B12" s="166" t="s">
        <v>312</v>
      </c>
      <c r="C12" s="166" t="s">
        <v>313</v>
      </c>
      <c r="D12" s="166" t="s">
        <v>314</v>
      </c>
      <c r="E12" s="166" t="s">
        <v>315</v>
      </c>
      <c r="F12" s="166" t="s">
        <v>316</v>
      </c>
      <c r="G12" s="167" t="s">
        <v>317</v>
      </c>
    </row>
    <row r="13" spans="1:13" ht="20.100000000000001" customHeight="1" x14ac:dyDescent="0.15">
      <c r="A13" s="168" t="s">
        <v>318</v>
      </c>
      <c r="B13" s="146">
        <v>588.5</v>
      </c>
      <c r="C13" s="146">
        <v>0</v>
      </c>
      <c r="D13" s="146">
        <v>4316.8</v>
      </c>
      <c r="E13" s="146">
        <v>45321.2</v>
      </c>
      <c r="F13" s="146">
        <v>0</v>
      </c>
      <c r="G13" s="147">
        <v>1598.3</v>
      </c>
    </row>
    <row r="14" spans="1:13" ht="20.100000000000001" customHeight="1" x14ac:dyDescent="0.15">
      <c r="A14" s="168" t="s">
        <v>319</v>
      </c>
      <c r="B14" s="146">
        <v>803.5</v>
      </c>
      <c r="C14" s="146">
        <v>0</v>
      </c>
      <c r="D14" s="146">
        <v>4285.2</v>
      </c>
      <c r="E14" s="146">
        <v>64398.8</v>
      </c>
      <c r="F14" s="146">
        <v>0</v>
      </c>
      <c r="G14" s="147">
        <v>96.3</v>
      </c>
    </row>
    <row r="15" spans="1:13" ht="20.100000000000001" customHeight="1" x14ac:dyDescent="0.15">
      <c r="A15" s="168" t="s">
        <v>320</v>
      </c>
      <c r="B15" s="146">
        <v>801.79899999999998</v>
      </c>
      <c r="C15" s="146">
        <v>0</v>
      </c>
      <c r="D15" s="146">
        <v>4194.4669999999996</v>
      </c>
      <c r="E15" s="146">
        <v>46936.474000000002</v>
      </c>
      <c r="F15" s="146">
        <v>0</v>
      </c>
      <c r="G15" s="147">
        <v>1598.3</v>
      </c>
    </row>
    <row r="16" spans="1:13" ht="20.100000000000001" customHeight="1" x14ac:dyDescent="0.15">
      <c r="A16" s="168" t="s">
        <v>321</v>
      </c>
      <c r="B16" s="146">
        <v>1908.0029999999999</v>
      </c>
      <c r="C16" s="146">
        <v>0</v>
      </c>
      <c r="D16" s="146">
        <v>3560.0259999999998</v>
      </c>
      <c r="E16" s="146">
        <v>55861.254000000001</v>
      </c>
      <c r="F16" s="146">
        <v>0</v>
      </c>
      <c r="G16" s="147">
        <v>1598.3</v>
      </c>
    </row>
    <row r="17" spans="1:12" ht="20.100000000000001" customHeight="1" x14ac:dyDescent="0.15">
      <c r="A17" s="168" t="s">
        <v>322</v>
      </c>
      <c r="B17" s="146">
        <v>345</v>
      </c>
      <c r="C17" s="146">
        <v>248.6</v>
      </c>
      <c r="D17" s="146">
        <v>136.19999999999999</v>
      </c>
      <c r="E17" s="146">
        <v>10685.4</v>
      </c>
      <c r="F17" s="146">
        <v>28881.3</v>
      </c>
      <c r="G17" s="147">
        <v>5033.3</v>
      </c>
    </row>
    <row r="18" spans="1:12" ht="20.100000000000001" customHeight="1" thickBot="1" x14ac:dyDescent="0.2">
      <c r="A18" s="169" t="s">
        <v>323</v>
      </c>
      <c r="B18" s="148">
        <v>283.5</v>
      </c>
      <c r="C18" s="148">
        <v>194.7</v>
      </c>
      <c r="D18" s="148">
        <v>106</v>
      </c>
      <c r="E18" s="148">
        <v>8481.4</v>
      </c>
      <c r="F18" s="148">
        <v>19153.400000000001</v>
      </c>
      <c r="G18" s="149">
        <v>3734.3</v>
      </c>
    </row>
    <row r="19" spans="1:12" ht="20.100000000000001" customHeight="1" x14ac:dyDescent="0.15">
      <c r="A19" s="24"/>
      <c r="B19" s="24"/>
      <c r="C19" s="24"/>
      <c r="D19" s="24"/>
      <c r="E19" s="24"/>
      <c r="F19" s="24"/>
    </row>
    <row r="20" spans="1:12" ht="20.100000000000001" customHeight="1" x14ac:dyDescent="0.15">
      <c r="A20" s="24"/>
      <c r="B20" s="24"/>
      <c r="C20" s="24"/>
      <c r="D20" s="24"/>
      <c r="E20" s="24"/>
      <c r="F20" s="24"/>
    </row>
    <row r="21" spans="1:12" ht="20.100000000000001" customHeight="1" thickBot="1" x14ac:dyDescent="0.2">
      <c r="A21" s="145" t="s">
        <v>325</v>
      </c>
      <c r="B21" s="24"/>
      <c r="C21" s="24"/>
      <c r="D21" s="24"/>
      <c r="E21" s="24"/>
      <c r="F21" s="24"/>
    </row>
    <row r="22" spans="1:12" ht="20.100000000000001" customHeight="1" x14ac:dyDescent="0.15">
      <c r="A22" s="159" t="s">
        <v>326</v>
      </c>
      <c r="B22" s="160" t="s">
        <v>327</v>
      </c>
      <c r="C22" s="160" t="s">
        <v>328</v>
      </c>
      <c r="D22" s="161" t="s">
        <v>341</v>
      </c>
      <c r="E22" s="160" t="s">
        <v>329</v>
      </c>
      <c r="F22" s="160" t="s">
        <v>330</v>
      </c>
      <c r="G22" s="160" t="s">
        <v>331</v>
      </c>
      <c r="H22" s="160" t="s">
        <v>332</v>
      </c>
      <c r="I22" s="160" t="s">
        <v>333</v>
      </c>
      <c r="J22" s="160" t="s">
        <v>334</v>
      </c>
      <c r="K22" s="160" t="s">
        <v>335</v>
      </c>
      <c r="L22" s="162" t="s">
        <v>336</v>
      </c>
    </row>
    <row r="23" spans="1:12" ht="20.100000000000001" customHeight="1" x14ac:dyDescent="0.15">
      <c r="A23" s="163">
        <v>1</v>
      </c>
      <c r="B23" s="151" t="s">
        <v>337</v>
      </c>
      <c r="C23" s="151">
        <v>3</v>
      </c>
      <c r="D23" s="151">
        <v>18</v>
      </c>
      <c r="E23" s="151">
        <v>5</v>
      </c>
      <c r="F23" s="151">
        <v>10</v>
      </c>
      <c r="G23" s="151">
        <v>18</v>
      </c>
      <c r="H23" s="151">
        <v>120</v>
      </c>
      <c r="I23" s="151">
        <v>3</v>
      </c>
      <c r="J23" s="151">
        <v>4.4000000000000004</v>
      </c>
      <c r="K23" s="151">
        <v>1.5</v>
      </c>
      <c r="L23" s="152">
        <v>120</v>
      </c>
    </row>
    <row r="24" spans="1:12" ht="20.100000000000001" customHeight="1" x14ac:dyDescent="0.15">
      <c r="A24" s="163">
        <v>2</v>
      </c>
      <c r="B24" s="151" t="s">
        <v>338</v>
      </c>
      <c r="C24" s="151">
        <v>20</v>
      </c>
      <c r="D24" s="151">
        <v>19</v>
      </c>
      <c r="E24" s="151">
        <v>10</v>
      </c>
      <c r="F24" s="151">
        <v>10</v>
      </c>
      <c r="G24" s="151">
        <v>20</v>
      </c>
      <c r="H24" s="151">
        <v>160</v>
      </c>
      <c r="I24" s="151">
        <v>3</v>
      </c>
      <c r="J24" s="151">
        <v>4.4000000000000004</v>
      </c>
      <c r="K24" s="151">
        <v>1.5</v>
      </c>
      <c r="L24" s="152">
        <v>160</v>
      </c>
    </row>
    <row r="25" spans="1:12" ht="20.100000000000001" customHeight="1" x14ac:dyDescent="0.15">
      <c r="A25" s="163">
        <v>3</v>
      </c>
      <c r="B25" s="153" t="s">
        <v>339</v>
      </c>
      <c r="C25" s="151"/>
      <c r="D25" s="151"/>
      <c r="E25" s="151"/>
      <c r="F25" s="151"/>
      <c r="G25" s="151"/>
      <c r="H25" s="151"/>
      <c r="I25" s="151"/>
      <c r="J25" s="151"/>
      <c r="K25" s="151"/>
      <c r="L25" s="152"/>
    </row>
    <row r="26" spans="1:12" ht="20.100000000000001" customHeight="1" thickBot="1" x14ac:dyDescent="0.2">
      <c r="A26" s="164">
        <v>4</v>
      </c>
      <c r="B26" s="154" t="s">
        <v>340</v>
      </c>
      <c r="C26" s="155"/>
      <c r="D26" s="155"/>
      <c r="E26" s="155"/>
      <c r="F26" s="155"/>
      <c r="G26" s="155"/>
      <c r="H26" s="155"/>
      <c r="I26" s="155"/>
      <c r="J26" s="155"/>
      <c r="K26" s="155"/>
      <c r="L26" s="156"/>
    </row>
    <row r="27" spans="1:12" ht="20.100000000000001" customHeight="1" x14ac:dyDescent="0.15">
      <c r="A27" s="24"/>
      <c r="B27" s="24"/>
      <c r="C27" s="24"/>
      <c r="D27" s="24"/>
      <c r="E27" s="24"/>
      <c r="F27" s="24"/>
    </row>
    <row r="28" spans="1:12" ht="20.100000000000001" customHeight="1" x14ac:dyDescent="0.15">
      <c r="A28" s="24"/>
      <c r="B28" s="24"/>
      <c r="C28" s="24"/>
      <c r="D28" s="24"/>
      <c r="E28" s="24"/>
      <c r="F28" s="24"/>
    </row>
    <row r="29" spans="1:12" ht="20.100000000000001" customHeight="1" x14ac:dyDescent="0.15">
      <c r="A29" s="158" t="s">
        <v>342</v>
      </c>
      <c r="B29" s="24"/>
      <c r="C29" s="24"/>
      <c r="D29" s="24"/>
      <c r="E29" s="24"/>
      <c r="F29" s="24"/>
    </row>
    <row r="30" spans="1:12" ht="20.100000000000001" customHeight="1" x14ac:dyDescent="0.15">
      <c r="A30" s="157" t="s">
        <v>343</v>
      </c>
      <c r="B30" s="157" t="s">
        <v>1</v>
      </c>
      <c r="C30" s="245" t="s">
        <v>318</v>
      </c>
      <c r="D30" s="247"/>
      <c r="E30" s="245" t="s">
        <v>319</v>
      </c>
      <c r="F30" s="247"/>
      <c r="G30" s="157" t="s">
        <v>344</v>
      </c>
    </row>
    <row r="31" spans="1:12" ht="20.100000000000001" customHeight="1" x14ac:dyDescent="0.15">
      <c r="A31" s="157"/>
      <c r="B31" s="157"/>
      <c r="C31" s="157" t="s">
        <v>345</v>
      </c>
      <c r="D31" s="157" t="s">
        <v>346</v>
      </c>
      <c r="E31" s="157" t="s">
        <v>345</v>
      </c>
      <c r="F31" s="157" t="s">
        <v>346</v>
      </c>
      <c r="G31" s="157"/>
    </row>
    <row r="32" spans="1:12" ht="20.100000000000001" customHeight="1" x14ac:dyDescent="0.15">
      <c r="A32" s="245" t="s">
        <v>347</v>
      </c>
      <c r="B32" s="246"/>
      <c r="C32" s="246"/>
      <c r="D32" s="246"/>
      <c r="E32" s="246"/>
      <c r="F32" s="246"/>
      <c r="G32" s="247"/>
    </row>
    <row r="33" spans="1:7" ht="20.100000000000001" customHeight="1" x14ac:dyDescent="0.15">
      <c r="A33" s="157" t="s">
        <v>348</v>
      </c>
      <c r="B33" s="157"/>
      <c r="C33" s="157">
        <v>0.23799999999999999</v>
      </c>
      <c r="D33" s="157">
        <v>0.25</v>
      </c>
      <c r="E33" s="157">
        <v>0.33800000000000002</v>
      </c>
      <c r="F33" s="157">
        <v>0.43</v>
      </c>
      <c r="G33" s="157"/>
    </row>
    <row r="34" spans="1:7" ht="20.100000000000001" customHeight="1" x14ac:dyDescent="0.15">
      <c r="A34" s="157" t="s">
        <v>349</v>
      </c>
      <c r="B34" s="157"/>
      <c r="C34" s="157"/>
      <c r="D34" s="157"/>
      <c r="E34" s="157"/>
      <c r="F34" s="157"/>
      <c r="G34" s="157"/>
    </row>
    <row r="35" spans="1:7" ht="20.100000000000001" customHeight="1" x14ac:dyDescent="0.15">
      <c r="A35" s="157" t="s">
        <v>350</v>
      </c>
      <c r="B35" s="157" t="s">
        <v>351</v>
      </c>
      <c r="C35" s="157">
        <v>85.85</v>
      </c>
      <c r="D35" s="157">
        <v>529</v>
      </c>
      <c r="E35" s="157">
        <v>94.634</v>
      </c>
      <c r="F35" s="157">
        <v>529</v>
      </c>
      <c r="G35" s="157"/>
    </row>
    <row r="36" spans="1:7" ht="20.100000000000001" customHeight="1" x14ac:dyDescent="0.15">
      <c r="A36" s="157" t="s">
        <v>352</v>
      </c>
      <c r="B36" s="157" t="s">
        <v>351</v>
      </c>
      <c r="C36" s="157">
        <v>167.44399999999999</v>
      </c>
      <c r="D36" s="157">
        <v>634.79999999999995</v>
      </c>
      <c r="E36" s="157">
        <v>204.95699999999999</v>
      </c>
      <c r="F36" s="157">
        <v>634.79999999999995</v>
      </c>
      <c r="G36" s="157"/>
    </row>
    <row r="37" spans="1:7" ht="20.100000000000001" customHeight="1" x14ac:dyDescent="0.15">
      <c r="A37" s="245" t="s">
        <v>353</v>
      </c>
      <c r="B37" s="246"/>
      <c r="C37" s="246"/>
      <c r="D37" s="246"/>
      <c r="E37" s="246"/>
      <c r="F37" s="246"/>
      <c r="G37" s="247"/>
    </row>
    <row r="38" spans="1:7" ht="20.100000000000001" customHeight="1" x14ac:dyDescent="0.15">
      <c r="A38" s="157" t="s">
        <v>354</v>
      </c>
      <c r="B38" s="157" t="s">
        <v>355</v>
      </c>
      <c r="C38" s="157">
        <v>21.475000000000001</v>
      </c>
      <c r="D38" s="157">
        <v>100</v>
      </c>
      <c r="E38" s="157">
        <v>21.978999999999999</v>
      </c>
      <c r="F38" s="157">
        <v>100</v>
      </c>
      <c r="G38" s="157"/>
    </row>
    <row r="39" spans="1:7" ht="20.100000000000001" customHeight="1" x14ac:dyDescent="0.15">
      <c r="A39" s="157" t="s">
        <v>356</v>
      </c>
      <c r="B39" s="157"/>
      <c r="C39" s="157">
        <v>1E-3</v>
      </c>
      <c r="D39" s="157">
        <v>3.0000000000000001E-3</v>
      </c>
      <c r="E39" s="157">
        <v>1E-3</v>
      </c>
      <c r="F39" s="157">
        <v>3.0000000000000001E-3</v>
      </c>
      <c r="G39" s="157"/>
    </row>
    <row r="40" spans="1:7" ht="20.100000000000001" customHeight="1" x14ac:dyDescent="0.15">
      <c r="A40" s="245" t="s">
        <v>357</v>
      </c>
      <c r="B40" s="246"/>
      <c r="C40" s="246"/>
      <c r="D40" s="246"/>
      <c r="E40" s="246"/>
      <c r="F40" s="246"/>
      <c r="G40" s="247"/>
    </row>
    <row r="41" spans="1:7" ht="20.100000000000001" customHeight="1" x14ac:dyDescent="0.15">
      <c r="A41" s="157" t="s">
        <v>358</v>
      </c>
      <c r="B41" s="157"/>
      <c r="C41" s="157">
        <v>3.9729999999999999</v>
      </c>
      <c r="D41" s="157">
        <v>1.6</v>
      </c>
      <c r="E41" s="157">
        <v>2.7970000000000002</v>
      </c>
      <c r="F41" s="157">
        <v>1.6</v>
      </c>
      <c r="G41" s="157"/>
    </row>
    <row r="42" spans="1:7" ht="20.100000000000001" customHeight="1" x14ac:dyDescent="0.15">
      <c r="A42" s="157" t="s">
        <v>359</v>
      </c>
      <c r="B42" s="157"/>
      <c r="C42" s="157">
        <v>11.586</v>
      </c>
      <c r="D42" s="157">
        <v>1.3</v>
      </c>
      <c r="E42" s="157">
        <v>3.9729999999999999</v>
      </c>
      <c r="F42" s="157">
        <v>1.3</v>
      </c>
      <c r="G42" s="157"/>
    </row>
    <row r="43" spans="1:7" ht="20.100000000000001" customHeight="1" x14ac:dyDescent="0.15">
      <c r="A43" s="24"/>
      <c r="B43" s="24"/>
      <c r="C43" s="24"/>
      <c r="D43" s="24"/>
      <c r="E43" s="24"/>
      <c r="F43" s="24"/>
    </row>
    <row r="44" spans="1:7" ht="20.100000000000001" customHeight="1" x14ac:dyDescent="0.15"/>
    <row r="45" spans="1:7" ht="20.100000000000001" customHeight="1" thickBot="1" x14ac:dyDescent="0.2">
      <c r="A45" s="31" t="s">
        <v>360</v>
      </c>
    </row>
    <row r="46" spans="1:7" ht="20.100000000000001" customHeight="1" x14ac:dyDescent="0.15">
      <c r="A46" s="5" t="s">
        <v>12</v>
      </c>
      <c r="B46" s="54" t="s">
        <v>0</v>
      </c>
      <c r="C46" s="54" t="s">
        <v>1</v>
      </c>
      <c r="D46" s="68" t="s">
        <v>2</v>
      </c>
      <c r="E46" s="69">
        <f>D2</f>
        <v>15</v>
      </c>
      <c r="F46" s="55" t="s">
        <v>3</v>
      </c>
    </row>
    <row r="47" spans="1:7" ht="20.100000000000001" customHeight="1" x14ac:dyDescent="0.15">
      <c r="A47" s="6">
        <v>1</v>
      </c>
      <c r="B47" s="3" t="s">
        <v>4</v>
      </c>
      <c r="C47" s="4" t="s">
        <v>5</v>
      </c>
      <c r="D47" s="70">
        <f t="array" ref="D47">VLOOKUP($A$2&amp;$B$2&amp;$E$2&amp;$F$2,IF({1,0},风机基础数据!A$17:A$88&amp;风机基础数据!B$17:B$88&amp;风机基础数据!C$17:C$88&amp;风机基础数据!D$17:D$88,风机基础数据!R$17:R$88),2,0)</f>
        <v>1257.2889419115372</v>
      </c>
      <c r="E47" s="70">
        <f>D47*$E$46</f>
        <v>18859.334128673057</v>
      </c>
      <c r="F47" s="7"/>
    </row>
    <row r="48" spans="1:7" ht="20.100000000000001" customHeight="1" x14ac:dyDescent="0.15">
      <c r="A48" s="6">
        <v>2</v>
      </c>
      <c r="B48" s="3" t="s">
        <v>6</v>
      </c>
      <c r="C48" s="4" t="s">
        <v>5</v>
      </c>
      <c r="D48" s="70">
        <f t="array" ref="D48">VLOOKUP($A$2&amp;$B$2&amp;$E$2&amp;$F$2,IF({1,0},风机基础数据!A$17:A$88&amp;风机基础数据!B$17:B$88&amp;风机基础数据!C$17:C$88&amp;风机基础数据!D$17:D$88,风机基础数据!S$17:S$88),2,0)</f>
        <v>314.32223547788419</v>
      </c>
      <c r="E48" s="70">
        <f t="shared" ref="E48:E57" si="0">D48*$E$46</f>
        <v>4714.8335321682625</v>
      </c>
      <c r="F48" s="7"/>
    </row>
    <row r="49" spans="1:6" ht="20.100000000000001" customHeight="1" x14ac:dyDescent="0.15">
      <c r="A49" s="6">
        <v>3</v>
      </c>
      <c r="B49" s="3" t="s">
        <v>7</v>
      </c>
      <c r="C49" s="4" t="s">
        <v>5</v>
      </c>
      <c r="D49" s="70">
        <f t="array" ref="D49">VLOOKUP($A$2&amp;$B$2&amp;$E$2&amp;$F$2,IF({1,0},风机基础数据!A$17:A$88&amp;风机基础数据!B$17:B$88&amp;风机基础数据!C$17:C$88&amp;风机基础数据!D$17:D$88,风机基础数据!T$17:T$88),2,0)</f>
        <v>920.15730387195788</v>
      </c>
      <c r="E49" s="70">
        <f t="shared" si="0"/>
        <v>13802.359558079368</v>
      </c>
      <c r="F49" s="7"/>
    </row>
    <row r="50" spans="1:6" ht="20.100000000000001" customHeight="1" x14ac:dyDescent="0.15">
      <c r="A50" s="6">
        <v>4</v>
      </c>
      <c r="B50" s="4" t="s">
        <v>41</v>
      </c>
      <c r="C50" s="4" t="s">
        <v>5</v>
      </c>
      <c r="D50" s="70">
        <f t="array" ref="D50">VLOOKUP($A$2&amp;$B$2&amp;$E$2&amp;$F$2,IF({1,0},风机基础数据!A$17:A$88&amp;风机基础数据!B$17:B$88&amp;风机基础数据!C$17:C$88&amp;风机基础数据!D$17:D$88,风机基础数据!P$17:P$88),2,0)</f>
        <v>600.97358466233754</v>
      </c>
      <c r="E50" s="70">
        <f t="shared" si="0"/>
        <v>9014.6037699350636</v>
      </c>
      <c r="F50" s="7"/>
    </row>
    <row r="51" spans="1:6" ht="20.100000000000001" customHeight="1" x14ac:dyDescent="0.15">
      <c r="A51" s="6">
        <v>5</v>
      </c>
      <c r="B51" s="4" t="s">
        <v>8</v>
      </c>
      <c r="C51" s="4" t="s">
        <v>5</v>
      </c>
      <c r="D51" s="70">
        <f t="array" ref="D51">VLOOKUP($A$2&amp;$B$2&amp;$E$2&amp;$F$2,IF({1,0},风机基础数据!A$17:A$88&amp;风机基础数据!B$17:B$88&amp;风机基础数据!C$17:C$88&amp;风机基础数据!D$17:D$88,风机基础数据!Q$17:Q$88),2,0)</f>
        <v>50.480288855125885</v>
      </c>
      <c r="E51" s="70">
        <f t="shared" si="0"/>
        <v>757.20433282688828</v>
      </c>
      <c r="F51" s="7"/>
    </row>
    <row r="52" spans="1:6" ht="20.100000000000001" customHeight="1" x14ac:dyDescent="0.15">
      <c r="A52" s="6">
        <v>6</v>
      </c>
      <c r="B52" s="3" t="s">
        <v>9</v>
      </c>
      <c r="C52" s="4" t="s">
        <v>10</v>
      </c>
      <c r="D52" s="70">
        <f>D50*0.1</f>
        <v>60.097358466233757</v>
      </c>
      <c r="E52" s="70">
        <f t="shared" si="0"/>
        <v>901.46037699350632</v>
      </c>
      <c r="F52" s="7"/>
    </row>
    <row r="53" spans="1:6" ht="20.100000000000001" customHeight="1" x14ac:dyDescent="0.15">
      <c r="A53" s="6">
        <v>7</v>
      </c>
      <c r="B53" s="18" t="s">
        <v>53</v>
      </c>
      <c r="C53" s="3" t="s">
        <v>11</v>
      </c>
      <c r="D53" s="71">
        <v>1</v>
      </c>
      <c r="E53" s="71">
        <f t="shared" si="0"/>
        <v>15</v>
      </c>
      <c r="F53" s="7"/>
    </row>
    <row r="54" spans="1:6" ht="20.100000000000001" customHeight="1" x14ac:dyDescent="0.15">
      <c r="A54" s="6">
        <v>8</v>
      </c>
      <c r="B54" s="17" t="s">
        <v>13</v>
      </c>
      <c r="C54" s="17" t="s">
        <v>14</v>
      </c>
      <c r="D54" s="71">
        <v>4</v>
      </c>
      <c r="E54" s="71">
        <f t="shared" si="0"/>
        <v>60</v>
      </c>
      <c r="F54" s="8"/>
    </row>
    <row r="55" spans="1:6" ht="20.100000000000001" customHeight="1" x14ac:dyDescent="0.15">
      <c r="A55" s="6">
        <v>9</v>
      </c>
      <c r="B55" s="18" t="s">
        <v>47</v>
      </c>
      <c r="C55" s="18" t="s">
        <v>42</v>
      </c>
      <c r="D55" s="70">
        <f t="array" ref="D55">VLOOKUP($A$2&amp;$B$2&amp;$E$2&amp;$F$2,IF({1,0},风机基础数据!A$17:A$88&amp;风机基础数据!B$17:B$88&amp;风机基础数据!C$17:C$88&amp;风机基础数据!D$17:D$88,风机基础数据!N$17:N$88),2,0)</f>
        <v>0</v>
      </c>
      <c r="E55" s="71">
        <f t="shared" si="0"/>
        <v>0</v>
      </c>
      <c r="F55" s="8"/>
    </row>
    <row r="56" spans="1:6" ht="20.100000000000001" customHeight="1" x14ac:dyDescent="0.15">
      <c r="A56" s="72">
        <v>10</v>
      </c>
      <c r="B56" s="3" t="s">
        <v>170</v>
      </c>
      <c r="C56" s="3" t="s">
        <v>171</v>
      </c>
      <c r="D56" s="70">
        <f t="array" ref="D56">VLOOKUP($A$2&amp;$B$2&amp;$E$2&amp;$F$2,IF({1,0},风机基础数据!A$17:A$88&amp;风机基础数据!B$17:B$88&amp;风机基础数据!C$17:C$88&amp;风机基础数据!D$17:D$88,风机基础数据!U$17:U$88),2,0)</f>
        <v>552</v>
      </c>
      <c r="E56" s="71">
        <f t="shared" si="0"/>
        <v>8280</v>
      </c>
      <c r="F56" s="73"/>
    </row>
    <row r="57" spans="1:6" ht="20.100000000000001" customHeight="1" thickBot="1" x14ac:dyDescent="0.2">
      <c r="A57" s="74">
        <v>11</v>
      </c>
      <c r="B57" s="67" t="s">
        <v>172</v>
      </c>
      <c r="C57" s="9" t="s">
        <v>5</v>
      </c>
      <c r="D57" s="75">
        <f t="array" ref="D57">VLOOKUP($A$2&amp;$B$2&amp;$E$2&amp;$F$2,IF({1,0},风机基础数据!A$17:A$88&amp;风机基础数据!B$17:B$88&amp;风机基础数据!C$17:C$88&amp;风机基础数据!D$17:D$88,风机基础数据!V$17:V$88),2,0)</f>
        <v>2</v>
      </c>
      <c r="E57" s="76">
        <f t="shared" si="0"/>
        <v>30</v>
      </c>
      <c r="F57" s="19"/>
    </row>
    <row r="58" spans="1:6" ht="20.100000000000001" customHeight="1" x14ac:dyDescent="0.15"/>
    <row r="59" spans="1:6" ht="20.100000000000001" customHeight="1" x14ac:dyDescent="0.15"/>
    <row r="60" spans="1:6" ht="20.100000000000001" customHeight="1" thickBot="1" x14ac:dyDescent="0.2">
      <c r="A60" s="31" t="s">
        <v>361</v>
      </c>
    </row>
    <row r="61" spans="1:6" ht="20.100000000000001" customHeight="1" x14ac:dyDescent="0.15">
      <c r="A61" s="57" t="s">
        <v>85</v>
      </c>
      <c r="B61" s="58" t="s">
        <v>0</v>
      </c>
      <c r="C61" s="58" t="s">
        <v>1</v>
      </c>
      <c r="D61" s="59" t="s">
        <v>2</v>
      </c>
      <c r="E61" s="60">
        <f>D2</f>
        <v>15</v>
      </c>
      <c r="F61" s="61" t="s">
        <v>3</v>
      </c>
    </row>
    <row r="62" spans="1:6" ht="20.100000000000001" customHeight="1" x14ac:dyDescent="0.15">
      <c r="A62" s="25">
        <v>1</v>
      </c>
      <c r="B62" s="26" t="s">
        <v>4</v>
      </c>
      <c r="C62" s="26" t="s">
        <v>86</v>
      </c>
      <c r="D62" s="56">
        <f>VLOOKUP($C$2,风机基础数据!$A$98:$N$105,8)</f>
        <v>49.28</v>
      </c>
      <c r="E62" s="62">
        <f>D62*$E$61</f>
        <v>739.2</v>
      </c>
      <c r="F62" s="27"/>
    </row>
    <row r="63" spans="1:6" ht="20.100000000000001" customHeight="1" x14ac:dyDescent="0.15">
      <c r="A63" s="25">
        <v>2</v>
      </c>
      <c r="B63" s="26" t="s">
        <v>6</v>
      </c>
      <c r="C63" s="26" t="s">
        <v>86</v>
      </c>
      <c r="D63" s="56">
        <f>VLOOKUP($C$2,风机基础数据!$A$98:$N$105,9)</f>
        <v>12.319999999999997</v>
      </c>
      <c r="E63" s="62">
        <f t="shared" ref="E63:E68" si="1">D63*$E$61</f>
        <v>184.79999999999995</v>
      </c>
      <c r="F63" s="27"/>
    </row>
    <row r="64" spans="1:6" ht="20.100000000000001" customHeight="1" x14ac:dyDescent="0.15">
      <c r="A64" s="25">
        <v>3</v>
      </c>
      <c r="B64" s="26" t="s">
        <v>7</v>
      </c>
      <c r="C64" s="26" t="s">
        <v>86</v>
      </c>
      <c r="D64" s="56">
        <f>VLOOKUP($C$2,风机基础数据!$A$98:$N$105,10)</f>
        <v>18.399999999999991</v>
      </c>
      <c r="E64" s="62">
        <f t="shared" si="1"/>
        <v>275.99999999999989</v>
      </c>
      <c r="F64" s="27"/>
    </row>
    <row r="65" spans="1:6" ht="20.100000000000001" customHeight="1" x14ac:dyDescent="0.15">
      <c r="A65" s="25">
        <v>4</v>
      </c>
      <c r="B65" s="26" t="s">
        <v>87</v>
      </c>
      <c r="C65" s="26" t="s">
        <v>86</v>
      </c>
      <c r="D65" s="56">
        <f>VLOOKUP($C$2,风机基础数据!$A$98:$N$105,11)</f>
        <v>2.5</v>
      </c>
      <c r="E65" s="62">
        <f t="shared" si="1"/>
        <v>37.5</v>
      </c>
      <c r="F65" s="27"/>
    </row>
    <row r="66" spans="1:6" ht="20.100000000000001" customHeight="1" x14ac:dyDescent="0.15">
      <c r="A66" s="25">
        <v>5</v>
      </c>
      <c r="B66" s="26" t="s">
        <v>88</v>
      </c>
      <c r="C66" s="26" t="s">
        <v>86</v>
      </c>
      <c r="D66" s="56">
        <f>VLOOKUP($C$2,风机基础数据!$A$98:$N$105,12)</f>
        <v>5.7749999999999995</v>
      </c>
      <c r="E66" s="62">
        <f t="shared" si="1"/>
        <v>86.624999999999986</v>
      </c>
      <c r="F66" s="27"/>
    </row>
    <row r="67" spans="1:6" ht="20.100000000000001" customHeight="1" x14ac:dyDescent="0.15">
      <c r="A67" s="25">
        <v>6</v>
      </c>
      <c r="B67" s="26" t="s">
        <v>89</v>
      </c>
      <c r="C67" s="26" t="s">
        <v>86</v>
      </c>
      <c r="D67" s="56">
        <f>VLOOKUP($C$2,风机基础数据!$A$98:$N$105,13)</f>
        <v>6.5</v>
      </c>
      <c r="E67" s="62">
        <f t="shared" si="1"/>
        <v>97.5</v>
      </c>
      <c r="F67" s="27"/>
    </row>
    <row r="68" spans="1:6" ht="20.100000000000001" customHeight="1" thickBot="1" x14ac:dyDescent="0.2">
      <c r="A68" s="28">
        <v>7</v>
      </c>
      <c r="B68" s="29" t="s">
        <v>9</v>
      </c>
      <c r="C68" s="29" t="s">
        <v>10</v>
      </c>
      <c r="D68" s="63">
        <f>VLOOKUP($C$2,风机基础数据!$A$98:$N$105,14)</f>
        <v>0.25</v>
      </c>
      <c r="E68" s="64">
        <f t="shared" si="1"/>
        <v>3.75</v>
      </c>
      <c r="F68" s="30"/>
    </row>
    <row r="69" spans="1:6" ht="19.5" customHeight="1" x14ac:dyDescent="0.15"/>
    <row r="70" spans="1:6" ht="20.100000000000001" customHeight="1" x14ac:dyDescent="0.15"/>
    <row r="71" spans="1:6" ht="20.100000000000001" customHeight="1" thickBot="1" x14ac:dyDescent="0.2">
      <c r="A71" s="31" t="s">
        <v>262</v>
      </c>
    </row>
    <row r="72" spans="1:6" ht="20.100000000000001" customHeight="1" x14ac:dyDescent="0.15">
      <c r="A72" s="100" t="s">
        <v>233</v>
      </c>
      <c r="B72" s="91" t="s">
        <v>0</v>
      </c>
      <c r="C72" s="91" t="s">
        <v>1</v>
      </c>
      <c r="D72" s="103" t="s">
        <v>235</v>
      </c>
      <c r="E72" s="92" t="s">
        <v>3</v>
      </c>
    </row>
    <row r="73" spans="1:6" ht="20.100000000000001" customHeight="1" x14ac:dyDescent="0.15">
      <c r="A73" s="133">
        <v>1</v>
      </c>
      <c r="B73" s="93" t="s">
        <v>261</v>
      </c>
      <c r="C73" s="94" t="s">
        <v>99</v>
      </c>
      <c r="D73" s="102">
        <f t="array" ref="D73">VLOOKUP($H$5&amp;$I$5&amp;$J$5,IF({1,0},升压站基础数据!A$15:A$30&amp;升压站基础数据!B$15:B$30&amp;升压站基础数据!C$15:C$30,升压站基础数据!F$15:F$30),2,0)</f>
        <v>10186.413</v>
      </c>
      <c r="E73" s="95"/>
    </row>
    <row r="74" spans="1:6" ht="20.100000000000001" customHeight="1" x14ac:dyDescent="0.15">
      <c r="A74" s="133">
        <v>2</v>
      </c>
      <c r="B74" s="93" t="s">
        <v>234</v>
      </c>
      <c r="C74" s="94" t="s">
        <v>99</v>
      </c>
      <c r="D74" s="102">
        <f t="array" ref="D74">VLOOKUP($H$5&amp;$I$5&amp;$J$5,IF({1,0},升压站基础数据!A$15:A$30&amp;升压站基础数据!B$15:B$30&amp;升压站基础数据!C$15:C$30,升压站基础数据!G$15:G$30),2,0)</f>
        <v>12305.512999999999</v>
      </c>
      <c r="E74" s="95"/>
    </row>
    <row r="75" spans="1:6" ht="20.100000000000001" customHeight="1" x14ac:dyDescent="0.15">
      <c r="A75" s="133">
        <v>3</v>
      </c>
      <c r="B75" s="93" t="s">
        <v>212</v>
      </c>
      <c r="C75" s="94" t="s">
        <v>99</v>
      </c>
      <c r="D75" s="102">
        <f t="array" ref="D75">VLOOKUP($H$5&amp;$I$5&amp;$J$5,IF({1,0},升压站基础数据!A$15:A$30&amp;升压站基础数据!B$15:B$30&amp;升压站基础数据!C$15:C$30,升压站基础数据!H$15:H$30),2,0)</f>
        <v>403.82</v>
      </c>
      <c r="E75" s="95" t="s">
        <v>213</v>
      </c>
    </row>
    <row r="76" spans="1:6" ht="20.100000000000001" customHeight="1" x14ac:dyDescent="0.15">
      <c r="A76" s="133">
        <v>4</v>
      </c>
      <c r="B76" s="93" t="s">
        <v>4</v>
      </c>
      <c r="C76" s="94" t="s">
        <v>5</v>
      </c>
      <c r="D76" s="102">
        <f t="array" ref="D76">VLOOKUP($H$5&amp;$I$5&amp;$J$5,IF({1,0},升压站基础数据!A$15:A$30&amp;升压站基础数据!B$15:B$30&amp;升压站基础数据!C$15:C$30,升压站基础数据!I$15:I$30),2,0)</f>
        <v>29533.231199999998</v>
      </c>
      <c r="E76" s="96"/>
    </row>
    <row r="77" spans="1:6" ht="20.100000000000001" customHeight="1" x14ac:dyDescent="0.15">
      <c r="A77" s="133">
        <v>5</v>
      </c>
      <c r="B77" s="93" t="s">
        <v>6</v>
      </c>
      <c r="C77" s="94" t="s">
        <v>5</v>
      </c>
      <c r="D77" s="102">
        <f t="array" ref="D77">VLOOKUP($H$5&amp;$I$5&amp;$J$5,IF({1,0},升压站基础数据!A$15:A$30&amp;升压站基础数据!B$15:B$30&amp;升压站基础数据!C$15:C$30,升压站基础数据!J$15:J$30),2,0)</f>
        <v>7383.3077999999978</v>
      </c>
      <c r="E77" s="95"/>
    </row>
    <row r="78" spans="1:6" ht="20.100000000000001" customHeight="1" x14ac:dyDescent="0.15">
      <c r="A78" s="133">
        <v>6</v>
      </c>
      <c r="B78" s="93" t="s">
        <v>214</v>
      </c>
      <c r="C78" s="94" t="s">
        <v>5</v>
      </c>
      <c r="D78" s="102">
        <f t="array" ref="D78">VLOOKUP($H$5&amp;$I$5&amp;$J$5,IF({1,0},升压站基础数据!A$15:A$30&amp;升压站基础数据!B$15:B$30&amp;升压站基础数据!C$15:C$30,升压站基础数据!K$15:K$30),2,0)</f>
        <v>6152.7564999999995</v>
      </c>
      <c r="E78" s="95"/>
    </row>
    <row r="79" spans="1:6" ht="20.100000000000001" customHeight="1" x14ac:dyDescent="0.15">
      <c r="A79" s="133">
        <v>7</v>
      </c>
      <c r="B79" s="93" t="s">
        <v>215</v>
      </c>
      <c r="C79" s="94" t="s">
        <v>5</v>
      </c>
      <c r="D79" s="102">
        <f t="array" ref="D79">VLOOKUP($H$5&amp;$I$5&amp;$J$5,IF({1,0},升压站基础数据!A$15:A$30&amp;升压站基础数据!B$15:B$30&amp;升压站基础数据!C$15:C$30,升压站基础数据!L$15:L$30),2,0)</f>
        <v>403.82</v>
      </c>
      <c r="E79" s="95"/>
    </row>
    <row r="80" spans="1:6" ht="20.100000000000001" customHeight="1" x14ac:dyDescent="0.15">
      <c r="A80" s="133">
        <v>8</v>
      </c>
      <c r="B80" s="93" t="s">
        <v>216</v>
      </c>
      <c r="C80" s="94" t="s">
        <v>5</v>
      </c>
      <c r="D80" s="102">
        <f t="array" ref="D80">VLOOKUP($H$5&amp;$I$5&amp;$J$5,IF({1,0},升压站基础数据!A$15:A$30&amp;升压站基础数据!B$15:B$30&amp;升压站基础数据!C$15:C$30,升压站基础数据!M$15:M$30),2,0)</f>
        <v>201.91</v>
      </c>
      <c r="E80" s="95" t="s">
        <v>217</v>
      </c>
    </row>
    <row r="81" spans="1:5" ht="20.100000000000001" customHeight="1" x14ac:dyDescent="0.15">
      <c r="A81" s="133">
        <v>9</v>
      </c>
      <c r="B81" s="93" t="s">
        <v>218</v>
      </c>
      <c r="C81" s="94" t="s">
        <v>99</v>
      </c>
      <c r="D81" s="102">
        <f t="array" ref="D81">VLOOKUP($H$5&amp;$I$5&amp;$J$5,IF({1,0},升压站基础数据!A$15:A$30&amp;升压站基础数据!B$15:B$30&amp;升压站基础数据!C$15:C$30,升压站基础数据!N$15:N$30),2,0)</f>
        <v>1993.67</v>
      </c>
      <c r="E81" s="95" t="s">
        <v>219</v>
      </c>
    </row>
    <row r="82" spans="1:5" ht="20.100000000000001" customHeight="1" x14ac:dyDescent="0.15">
      <c r="A82" s="133">
        <v>10</v>
      </c>
      <c r="B82" s="93" t="s">
        <v>182</v>
      </c>
      <c r="C82" s="94" t="s">
        <v>99</v>
      </c>
      <c r="D82" s="102">
        <f t="array" ref="D82">VLOOKUP($H$5&amp;$I$5&amp;$J$5,IF({1,0},升压站基础数据!A$15:A$30&amp;升压站基础数据!B$15:B$30&amp;升压站基础数据!C$15:C$30,升压站基础数据!O$15:O$30),2,0)</f>
        <v>1200</v>
      </c>
      <c r="E82" s="95"/>
    </row>
    <row r="83" spans="1:5" ht="20.100000000000001" customHeight="1" x14ac:dyDescent="0.15">
      <c r="A83" s="133">
        <v>11</v>
      </c>
      <c r="B83" s="93" t="s">
        <v>220</v>
      </c>
      <c r="C83" s="94" t="s">
        <v>99</v>
      </c>
      <c r="D83" s="102">
        <f t="array" ref="D83">VLOOKUP($H$5&amp;$I$5&amp;$J$5,IF({1,0},升压站基础数据!A$15:A$30&amp;升压站基础数据!B$15:B$30&amp;升压站基础数据!C$15:C$30,升压站基础数据!P$15:P$30),2,0)</f>
        <v>1316.8</v>
      </c>
      <c r="E83" s="95"/>
    </row>
    <row r="84" spans="1:5" ht="20.100000000000001" customHeight="1" x14ac:dyDescent="0.15">
      <c r="A84" s="133">
        <v>12</v>
      </c>
      <c r="B84" s="93" t="s">
        <v>221</v>
      </c>
      <c r="C84" s="94" t="s">
        <v>99</v>
      </c>
      <c r="D84" s="102">
        <f t="array" ref="D84">VLOOKUP($H$5&amp;$I$5&amp;$J$5,IF({1,0},升压站基础数据!A$15:A$30&amp;升压站基础数据!B$15:B$30&amp;升压站基础数据!C$15:C$30,升压站基础数据!Q$15:Q$30),2,0)</f>
        <v>510</v>
      </c>
      <c r="E84" s="95"/>
    </row>
    <row r="85" spans="1:5" ht="20.100000000000001" customHeight="1" x14ac:dyDescent="0.15">
      <c r="A85" s="133">
        <v>13</v>
      </c>
      <c r="B85" s="93" t="s">
        <v>222</v>
      </c>
      <c r="C85" s="94" t="s">
        <v>99</v>
      </c>
      <c r="D85" s="102">
        <f t="array" ref="D85">VLOOKUP($H$5&amp;$I$5&amp;$J$5,IF({1,0},升压站基础数据!A$15:A$30&amp;升压站基础数据!B$15:B$30&amp;升压站基础数据!C$15:C$30,升压站基础数据!R$15:R$30),2,0)</f>
        <v>370.44</v>
      </c>
      <c r="E85" s="95"/>
    </row>
    <row r="86" spans="1:5" ht="20.100000000000001" customHeight="1" x14ac:dyDescent="0.15">
      <c r="A86" s="133">
        <v>14</v>
      </c>
      <c r="B86" s="97" t="s">
        <v>223</v>
      </c>
      <c r="C86" s="94"/>
      <c r="D86" s="102"/>
      <c r="E86" s="95"/>
    </row>
    <row r="87" spans="1:5" ht="20.100000000000001" customHeight="1" x14ac:dyDescent="0.15">
      <c r="A87" s="133">
        <v>15</v>
      </c>
      <c r="B87" s="93" t="s">
        <v>224</v>
      </c>
      <c r="C87" s="94" t="s">
        <v>5</v>
      </c>
      <c r="D87" s="102">
        <f t="array" ref="D87">VLOOKUP($H$5&amp;$I$5&amp;$J$5,IF({1,0},升压站基础数据!A$15:A$30&amp;升压站基础数据!B$15:B$30&amp;升压站基础数据!C$15:C$30,升压站基础数据!T$15:T$30),2,0)</f>
        <v>120</v>
      </c>
      <c r="E87" s="95"/>
    </row>
    <row r="88" spans="1:5" ht="20.100000000000001" customHeight="1" x14ac:dyDescent="0.15">
      <c r="A88" s="133">
        <v>16</v>
      </c>
      <c r="B88" s="93" t="s">
        <v>225</v>
      </c>
      <c r="C88" s="94" t="s">
        <v>5</v>
      </c>
      <c r="D88" s="102">
        <f t="array" ref="D88">VLOOKUP($H$5&amp;$I$5&amp;$J$5,IF({1,0},升压站基础数据!A$15:A$30&amp;升压站基础数据!B$15:B$30&amp;升压站基础数据!C$15:C$30,升压站基础数据!U$15:U$30),2,0)</f>
        <v>20</v>
      </c>
      <c r="E88" s="95"/>
    </row>
    <row r="89" spans="1:5" ht="20.100000000000001" customHeight="1" x14ac:dyDescent="0.15">
      <c r="A89" s="133">
        <v>17</v>
      </c>
      <c r="B89" s="93" t="s">
        <v>189</v>
      </c>
      <c r="C89" s="94" t="s">
        <v>10</v>
      </c>
      <c r="D89" s="102">
        <f t="array" ref="D89">VLOOKUP($H$5&amp;$I$5&amp;$J$5,IF({1,0},升压站基础数据!A$15:A$30&amp;升压站基础数据!B$15:B$30&amp;升压站基础数据!C$15:C$30,升压站基础数据!V$15:V$30),2,0)</f>
        <v>10</v>
      </c>
      <c r="E89" s="95"/>
    </row>
    <row r="90" spans="1:5" ht="20.100000000000001" customHeight="1" x14ac:dyDescent="0.15">
      <c r="A90" s="133">
        <v>18</v>
      </c>
      <c r="B90" s="93" t="s">
        <v>226</v>
      </c>
      <c r="C90" s="94" t="s">
        <v>5</v>
      </c>
      <c r="D90" s="102">
        <f t="array" ref="D90">VLOOKUP($H$5&amp;$I$5&amp;$J$5,IF({1,0},升压站基础数据!A$15:A$30&amp;升压站基础数据!B$15:B$30&amp;升压站基础数据!C$15:C$30,升压站基础数据!W$15:W$30),2,0)</f>
        <v>60</v>
      </c>
      <c r="E90" s="95"/>
    </row>
    <row r="91" spans="1:5" ht="20.100000000000001" customHeight="1" x14ac:dyDescent="0.15">
      <c r="A91" s="133">
        <v>19</v>
      </c>
      <c r="B91" s="93" t="s">
        <v>227</v>
      </c>
      <c r="C91" s="94" t="s">
        <v>5</v>
      </c>
      <c r="D91" s="102">
        <f t="array" ref="D91">VLOOKUP($H$5&amp;$I$5&amp;$J$5,IF({1,0},升压站基础数据!A$15:A$30&amp;升压站基础数据!B$15:B$30&amp;升压站基础数据!C$15:C$30,升压站基础数据!X$15:X$30),2,0)</f>
        <v>10</v>
      </c>
      <c r="E91" s="95"/>
    </row>
    <row r="92" spans="1:5" ht="20.100000000000001" customHeight="1" x14ac:dyDescent="0.15">
      <c r="A92" s="133">
        <v>20</v>
      </c>
      <c r="B92" s="93" t="s">
        <v>228</v>
      </c>
      <c r="C92" s="94" t="s">
        <v>10</v>
      </c>
      <c r="D92" s="102">
        <f t="array" ref="D92">VLOOKUP($H$5&amp;$I$5&amp;$J$5,IF({1,0},升压站基础数据!A$15:A$30&amp;升压站基础数据!B$15:B$30&amp;升压站基础数据!C$15:C$30,升压站基础数据!Y$15:Y$30),2,0)</f>
        <v>2</v>
      </c>
      <c r="E92" s="95"/>
    </row>
    <row r="93" spans="1:5" ht="20.100000000000001" customHeight="1" x14ac:dyDescent="0.15">
      <c r="A93" s="133">
        <v>21</v>
      </c>
      <c r="B93" s="93" t="s">
        <v>229</v>
      </c>
      <c r="C93" s="94" t="s">
        <v>5</v>
      </c>
      <c r="D93" s="102">
        <f t="array" ref="D93">VLOOKUP($H$5&amp;$I$5&amp;$J$5,IF({1,0},升压站基础数据!A$15:A$30&amp;升压站基础数据!B$15:B$30&amp;升压站基础数据!C$15:C$30,升压站基础数据!Z$15:Z$30),2,0)</f>
        <v>200</v>
      </c>
      <c r="E93" s="95"/>
    </row>
    <row r="94" spans="1:5" ht="20.100000000000001" customHeight="1" x14ac:dyDescent="0.15">
      <c r="A94" s="133">
        <v>22</v>
      </c>
      <c r="B94" s="93" t="s">
        <v>194</v>
      </c>
      <c r="C94" s="94" t="s">
        <v>10</v>
      </c>
      <c r="D94" s="102">
        <f t="array" ref="D94">VLOOKUP($H$5&amp;$I$5&amp;$J$5,IF({1,0},升压站基础数据!A$15:A$30&amp;升压站基础数据!B$15:B$30&amp;升压站基础数据!C$15:C$30,升压站基础数据!AA$15:AA$30),2,0)</f>
        <v>5</v>
      </c>
      <c r="E94" s="95"/>
    </row>
    <row r="95" spans="1:5" ht="20.100000000000001" customHeight="1" x14ac:dyDescent="0.15">
      <c r="A95" s="133">
        <v>23</v>
      </c>
      <c r="B95" s="93" t="s">
        <v>230</v>
      </c>
      <c r="C95" s="94" t="s">
        <v>101</v>
      </c>
      <c r="D95" s="102">
        <f t="array" ref="D95">VLOOKUP($H$5&amp;$I$5&amp;$J$5,IF({1,0},升压站基础数据!A$15:A$30&amp;升压站基础数据!B$15:B$30&amp;升压站基础数据!C$15:C$30,升压站基础数据!AB$15:AB$30),2,0)</f>
        <v>150</v>
      </c>
      <c r="E95" s="95"/>
    </row>
    <row r="96" spans="1:5" ht="20.100000000000001" customHeight="1" thickBot="1" x14ac:dyDescent="0.2">
      <c r="A96" s="134">
        <v>24</v>
      </c>
      <c r="B96" s="98" t="s">
        <v>231</v>
      </c>
      <c r="C96" s="99" t="s">
        <v>232</v>
      </c>
      <c r="D96" s="104">
        <f t="array" ref="D96">VLOOKUP($H$5&amp;$I$5&amp;$J$5,IF({1,0},升压站基础数据!A$15:A$30&amp;升压站基础数据!B$15:B$30&amp;升压站基础数据!C$15:C$30,升压站基础数据!AC$15:AC$30),2,0)</f>
        <v>2</v>
      </c>
      <c r="E96" s="101"/>
    </row>
    <row r="97" spans="1:17" ht="20.100000000000001" customHeight="1" x14ac:dyDescent="0.15"/>
    <row r="98" spans="1:17" ht="20.100000000000001" customHeight="1" x14ac:dyDescent="0.15"/>
    <row r="99" spans="1:17" ht="20.100000000000001" customHeight="1" thickBot="1" x14ac:dyDescent="0.2">
      <c r="A99" s="31" t="s">
        <v>94</v>
      </c>
      <c r="C99" t="str">
        <f>A5</f>
        <v>陡坡低山</v>
      </c>
    </row>
    <row r="100" spans="1:17" ht="20.100000000000001" customHeight="1" x14ac:dyDescent="0.15">
      <c r="A100" s="45" t="s">
        <v>95</v>
      </c>
      <c r="B100" s="46" t="s">
        <v>0</v>
      </c>
      <c r="C100" s="46" t="s">
        <v>1</v>
      </c>
      <c r="D100" s="82" t="s">
        <v>125</v>
      </c>
      <c r="E100" s="83" t="s">
        <v>114</v>
      </c>
      <c r="F100" s="47" t="s">
        <v>96</v>
      </c>
      <c r="L100" s="45" t="s">
        <v>12</v>
      </c>
      <c r="M100" s="46" t="s">
        <v>0</v>
      </c>
      <c r="N100" s="46" t="s">
        <v>1</v>
      </c>
      <c r="O100" s="82" t="s">
        <v>125</v>
      </c>
      <c r="P100" s="83" t="s">
        <v>114</v>
      </c>
      <c r="Q100" s="47" t="s">
        <v>96</v>
      </c>
    </row>
    <row r="101" spans="1:17" ht="20.100000000000001" customHeight="1" x14ac:dyDescent="0.15">
      <c r="A101" s="39" t="s">
        <v>127</v>
      </c>
      <c r="B101" s="40" t="s">
        <v>97</v>
      </c>
      <c r="C101" s="41" t="s">
        <v>98</v>
      </c>
      <c r="D101" s="81"/>
      <c r="E101" s="81">
        <f>B5</f>
        <v>5</v>
      </c>
      <c r="F101" s="42"/>
      <c r="L101" s="39" t="s">
        <v>127</v>
      </c>
      <c r="M101" s="40" t="s">
        <v>97</v>
      </c>
      <c r="N101" s="41" t="s">
        <v>98</v>
      </c>
      <c r="O101" s="81"/>
      <c r="P101" s="81" t="s">
        <v>402</v>
      </c>
      <c r="Q101" s="42"/>
    </row>
    <row r="102" spans="1:17" ht="20.100000000000001" customHeight="1" x14ac:dyDescent="0.15">
      <c r="A102" s="33">
        <v>1</v>
      </c>
      <c r="B102" s="34" t="s">
        <v>4</v>
      </c>
      <c r="C102" s="35" t="s">
        <v>5</v>
      </c>
      <c r="D102" s="80">
        <f>VLOOKUP($A$5,道路基础数据!$A$16:$AI$23,3)</f>
        <v>4000</v>
      </c>
      <c r="E102" s="80">
        <f>D102*$E$101</f>
        <v>20000</v>
      </c>
      <c r="F102" s="37"/>
      <c r="L102" s="33">
        <v>1</v>
      </c>
      <c r="M102" s="34" t="s">
        <v>4</v>
      </c>
      <c r="N102" s="35" t="s">
        <v>5</v>
      </c>
      <c r="O102" s="80" t="str">
        <f>"{{"&amp;M102&amp;"_1}}"</f>
        <v>{{土方开挖_1}}</v>
      </c>
      <c r="P102" s="80" t="str">
        <f>"{{"&amp;M102&amp;"numbers_1}}"</f>
        <v>{{土方开挖numbers_1}}</v>
      </c>
      <c r="Q102" s="37"/>
    </row>
    <row r="103" spans="1:17" ht="20.100000000000001" customHeight="1" x14ac:dyDescent="0.15">
      <c r="A103" s="33">
        <v>2</v>
      </c>
      <c r="B103" s="34" t="s">
        <v>6</v>
      </c>
      <c r="C103" s="35" t="s">
        <v>5</v>
      </c>
      <c r="D103" s="80">
        <f>VLOOKUP($A$5,道路基础数据!$A$16:$AI$23,4)</f>
        <v>999.99999999999977</v>
      </c>
      <c r="E103" s="80">
        <f t="shared" ref="E103:E109" si="2">D103*$E$101</f>
        <v>4999.9999999999991</v>
      </c>
      <c r="F103" s="37"/>
      <c r="L103" s="33">
        <v>2</v>
      </c>
      <c r="M103" s="34" t="s">
        <v>6</v>
      </c>
      <c r="N103" s="35" t="s">
        <v>5</v>
      </c>
      <c r="O103" s="80" t="str">
        <f t="shared" ref="O103:O109" si="3">"{{"&amp;M103&amp;"_1}}"</f>
        <v>{{石方开挖_1}}</v>
      </c>
      <c r="P103" s="80" t="str">
        <f t="shared" ref="P103:P109" si="4">"{{"&amp;M103&amp;"numbers_1}}"</f>
        <v>{{石方开挖numbers_1}}</v>
      </c>
      <c r="Q103" s="37"/>
    </row>
    <row r="104" spans="1:17" ht="20.100000000000001" customHeight="1" x14ac:dyDescent="0.15">
      <c r="A104" s="33">
        <v>3</v>
      </c>
      <c r="B104" s="34" t="s">
        <v>7</v>
      </c>
      <c r="C104" s="35" t="s">
        <v>5</v>
      </c>
      <c r="D104" s="80">
        <f>VLOOKUP($A$5,道路基础数据!$A$16:$AI$23,5)</f>
        <v>1250</v>
      </c>
      <c r="E104" s="80">
        <f t="shared" si="2"/>
        <v>6250</v>
      </c>
      <c r="F104" s="37"/>
      <c r="L104" s="33">
        <v>3</v>
      </c>
      <c r="M104" s="34" t="s">
        <v>7</v>
      </c>
      <c r="N104" s="35" t="s">
        <v>5</v>
      </c>
      <c r="O104" s="80" t="str">
        <f t="shared" si="3"/>
        <v>{{土石方回填_1}}</v>
      </c>
      <c r="P104" s="80" t="str">
        <f t="shared" si="4"/>
        <v>{{土石方回填numbers_1}}</v>
      </c>
      <c r="Q104" s="37"/>
    </row>
    <row r="105" spans="1:17" ht="20.100000000000001" customHeight="1" x14ac:dyDescent="0.15">
      <c r="A105" s="33">
        <v>4</v>
      </c>
      <c r="B105" s="34" t="s">
        <v>119</v>
      </c>
      <c r="C105" s="35" t="s">
        <v>99</v>
      </c>
      <c r="D105" s="80">
        <f>VLOOKUP($A$5,道路基础数据!$A$16:$AI$23,6)</f>
        <v>2500</v>
      </c>
      <c r="E105" s="80">
        <f t="shared" si="2"/>
        <v>12500</v>
      </c>
      <c r="F105" s="37"/>
      <c r="L105" s="33">
        <v>4</v>
      </c>
      <c r="M105" s="34" t="s">
        <v>119</v>
      </c>
      <c r="N105" s="35" t="s">
        <v>99</v>
      </c>
      <c r="O105" s="80" t="str">
        <f t="shared" si="3"/>
        <v>{{山皮石路面(20cm厚)_1}}</v>
      </c>
      <c r="P105" s="80" t="str">
        <f t="shared" si="4"/>
        <v>{{山皮石路面(20cm厚)numbers_1}}</v>
      </c>
      <c r="Q105" s="37"/>
    </row>
    <row r="106" spans="1:17" ht="20.100000000000001" customHeight="1" x14ac:dyDescent="0.15">
      <c r="A106" s="33">
        <v>5</v>
      </c>
      <c r="B106" s="38" t="s">
        <v>100</v>
      </c>
      <c r="C106" s="35" t="s">
        <v>101</v>
      </c>
      <c r="D106" s="80">
        <f>VLOOKUP($A$5,道路基础数据!$A$16:$AI$23,7)</f>
        <v>0</v>
      </c>
      <c r="E106" s="80">
        <f t="shared" si="2"/>
        <v>0</v>
      </c>
      <c r="F106" s="37"/>
      <c r="L106" s="33">
        <v>5</v>
      </c>
      <c r="M106" s="38" t="s">
        <v>100</v>
      </c>
      <c r="N106" s="35" t="s">
        <v>101</v>
      </c>
      <c r="O106" s="80" t="str">
        <f t="shared" si="3"/>
        <v>{{D1000mm圆管涵_1}}</v>
      </c>
      <c r="P106" s="80" t="str">
        <f t="shared" si="4"/>
        <v>{{D1000mm圆管涵numbers_1}}</v>
      </c>
      <c r="Q106" s="37"/>
    </row>
    <row r="107" spans="1:17" ht="20.100000000000001" customHeight="1" x14ac:dyDescent="0.15">
      <c r="A107" s="33">
        <v>6</v>
      </c>
      <c r="B107" s="34" t="s">
        <v>102</v>
      </c>
      <c r="C107" s="35" t="s">
        <v>5</v>
      </c>
      <c r="D107" s="80">
        <f>VLOOKUP($A$5,道路基础数据!$A$16:$AI$23,8)</f>
        <v>475</v>
      </c>
      <c r="E107" s="80">
        <f t="shared" si="2"/>
        <v>2375</v>
      </c>
      <c r="F107" s="37"/>
      <c r="L107" s="33">
        <v>6</v>
      </c>
      <c r="M107" s="34" t="s">
        <v>102</v>
      </c>
      <c r="N107" s="35" t="s">
        <v>5</v>
      </c>
      <c r="O107" s="80" t="str">
        <f t="shared" si="3"/>
        <v>{{浆砌石排水沟_1}}</v>
      </c>
      <c r="P107" s="80" t="str">
        <f t="shared" si="4"/>
        <v>{{浆砌石排水沟numbers_1}}</v>
      </c>
      <c r="Q107" s="37"/>
    </row>
    <row r="108" spans="1:17" ht="20.100000000000001" customHeight="1" x14ac:dyDescent="0.15">
      <c r="A108" s="33">
        <v>7</v>
      </c>
      <c r="B108" s="38" t="s">
        <v>103</v>
      </c>
      <c r="C108" s="35" t="s">
        <v>5</v>
      </c>
      <c r="D108" s="80">
        <f>VLOOKUP($A$5,道路基础数据!$A$16:$AI$23,9)</f>
        <v>150</v>
      </c>
      <c r="E108" s="80">
        <f t="shared" si="2"/>
        <v>750</v>
      </c>
      <c r="F108" s="37"/>
      <c r="L108" s="33">
        <v>7</v>
      </c>
      <c r="M108" s="38" t="s">
        <v>103</v>
      </c>
      <c r="N108" s="35" t="s">
        <v>5</v>
      </c>
      <c r="O108" s="80" t="str">
        <f t="shared" si="3"/>
        <v>{{M7.5浆砌片石挡墙_1}}</v>
      </c>
      <c r="P108" s="80" t="str">
        <f t="shared" si="4"/>
        <v>{{M7.5浆砌片石挡墙numbers_1}}</v>
      </c>
      <c r="Q108" s="37"/>
    </row>
    <row r="109" spans="1:17" ht="20.100000000000001" customHeight="1" x14ac:dyDescent="0.15">
      <c r="A109" s="33">
        <v>8</v>
      </c>
      <c r="B109" s="34" t="s">
        <v>104</v>
      </c>
      <c r="C109" s="35" t="s">
        <v>99</v>
      </c>
      <c r="D109" s="80">
        <f>VLOOKUP($A$5,道路基础数据!$A$16:$AI$23,10)</f>
        <v>2000</v>
      </c>
      <c r="E109" s="80">
        <f t="shared" si="2"/>
        <v>10000</v>
      </c>
      <c r="F109" s="37"/>
      <c r="L109" s="33">
        <v>8</v>
      </c>
      <c r="M109" s="34" t="s">
        <v>104</v>
      </c>
      <c r="N109" s="35" t="s">
        <v>99</v>
      </c>
      <c r="O109" s="80" t="str">
        <f t="shared" si="3"/>
        <v>{{草皮护坡_1}}</v>
      </c>
      <c r="P109" s="80" t="str">
        <f t="shared" si="4"/>
        <v>{{草皮护坡numbers_1}}</v>
      </c>
      <c r="Q109" s="37"/>
    </row>
    <row r="110" spans="1:17" ht="20.100000000000001" customHeight="1" x14ac:dyDescent="0.15">
      <c r="A110" s="39" t="s">
        <v>128</v>
      </c>
      <c r="B110" s="40" t="s">
        <v>122</v>
      </c>
      <c r="C110" s="41" t="s">
        <v>98</v>
      </c>
      <c r="D110" s="81"/>
      <c r="E110" s="81">
        <f>C5</f>
        <v>1.5</v>
      </c>
      <c r="F110" s="43"/>
      <c r="L110" s="39" t="s">
        <v>128</v>
      </c>
      <c r="M110" s="40" t="s">
        <v>92</v>
      </c>
      <c r="N110" s="41" t="s">
        <v>98</v>
      </c>
      <c r="O110" s="80"/>
      <c r="P110" s="81" t="s">
        <v>401</v>
      </c>
      <c r="Q110" s="43"/>
    </row>
    <row r="111" spans="1:17" ht="20.100000000000001" customHeight="1" x14ac:dyDescent="0.15">
      <c r="A111" s="33">
        <v>1</v>
      </c>
      <c r="B111" s="34" t="s">
        <v>4</v>
      </c>
      <c r="C111" s="35" t="s">
        <v>5</v>
      </c>
      <c r="D111" s="80">
        <f>VLOOKUP($A$5,道路基础数据!$A$16:$AI$23,12)</f>
        <v>12000</v>
      </c>
      <c r="E111" s="80">
        <f>D111*$E$110</f>
        <v>18000</v>
      </c>
      <c r="F111" s="37"/>
      <c r="L111" s="33">
        <v>1</v>
      </c>
      <c r="M111" s="34" t="s">
        <v>4</v>
      </c>
      <c r="N111" s="35" t="s">
        <v>5</v>
      </c>
      <c r="O111" s="80" t="str">
        <f>"{{"&amp;M111&amp;"_2}}"</f>
        <v>{{土方开挖_2}}</v>
      </c>
      <c r="P111" s="80" t="str">
        <f>"{{"&amp;M111&amp;"numbers_2}}"</f>
        <v>{{土方开挖numbers_2}}</v>
      </c>
      <c r="Q111" s="37"/>
    </row>
    <row r="112" spans="1:17" ht="20.100000000000001" customHeight="1" x14ac:dyDescent="0.15">
      <c r="A112" s="33">
        <v>2</v>
      </c>
      <c r="B112" s="34" t="s">
        <v>6</v>
      </c>
      <c r="C112" s="35" t="s">
        <v>5</v>
      </c>
      <c r="D112" s="80">
        <f>VLOOKUP($A$5,道路基础数据!$A$16:$AI$23,13)</f>
        <v>2999.9999999999995</v>
      </c>
      <c r="E112" s="80">
        <f t="shared" ref="E112:E121" si="5">D112*$E$110</f>
        <v>4499.9999999999991</v>
      </c>
      <c r="F112" s="37"/>
      <c r="L112" s="33">
        <v>2</v>
      </c>
      <c r="M112" s="34" t="s">
        <v>6</v>
      </c>
      <c r="N112" s="35" t="s">
        <v>5</v>
      </c>
      <c r="O112" s="80" t="str">
        <f t="shared" ref="O112:O121" si="6">"{{"&amp;M112&amp;"_2}}"</f>
        <v>{{石方开挖_2}}</v>
      </c>
      <c r="P112" s="80" t="str">
        <f t="shared" ref="P112:P121" si="7">"{{"&amp;M112&amp;"numbers_2}}"</f>
        <v>{{石方开挖numbers_2}}</v>
      </c>
      <c r="Q112" s="37"/>
    </row>
    <row r="113" spans="1:17" ht="20.100000000000001" customHeight="1" x14ac:dyDescent="0.15">
      <c r="A113" s="33">
        <v>3</v>
      </c>
      <c r="B113" s="34" t="s">
        <v>7</v>
      </c>
      <c r="C113" s="35" t="s">
        <v>5</v>
      </c>
      <c r="D113" s="80">
        <f>VLOOKUP($A$5,道路基础数据!$A$16:$AI$23,14)</f>
        <v>4500</v>
      </c>
      <c r="E113" s="80">
        <f t="shared" si="5"/>
        <v>6750</v>
      </c>
      <c r="F113" s="37"/>
      <c r="L113" s="33">
        <v>3</v>
      </c>
      <c r="M113" s="34" t="s">
        <v>7</v>
      </c>
      <c r="N113" s="35" t="s">
        <v>5</v>
      </c>
      <c r="O113" s="80" t="str">
        <f t="shared" si="6"/>
        <v>{{土石方回填_2}}</v>
      </c>
      <c r="P113" s="80" t="str">
        <f t="shared" si="7"/>
        <v>{{土石方回填numbers_2}}</v>
      </c>
      <c r="Q113" s="37"/>
    </row>
    <row r="114" spans="1:17" ht="20.100000000000001" customHeight="1" x14ac:dyDescent="0.15">
      <c r="A114" s="33">
        <v>4</v>
      </c>
      <c r="B114" s="34" t="s">
        <v>151</v>
      </c>
      <c r="C114" s="35" t="s">
        <v>99</v>
      </c>
      <c r="D114" s="80">
        <f>VLOOKUP($A$5,道路基础数据!$A$16:$AI$23,15)</f>
        <v>6500</v>
      </c>
      <c r="E114" s="80">
        <f t="shared" si="5"/>
        <v>9750</v>
      </c>
      <c r="F114" s="37"/>
      <c r="L114" s="33">
        <v>4</v>
      </c>
      <c r="M114" s="34" t="s">
        <v>151</v>
      </c>
      <c r="N114" s="35" t="s">
        <v>99</v>
      </c>
      <c r="O114" s="80" t="str">
        <f t="shared" si="6"/>
        <v>{{级配碎石基层(20cm厚)_2}}</v>
      </c>
      <c r="P114" s="80" t="str">
        <f t="shared" si="7"/>
        <v>{{级配碎石基层(20cm厚)numbers_2}}</v>
      </c>
      <c r="Q114" s="37"/>
    </row>
    <row r="115" spans="1:17" ht="20.100000000000001" customHeight="1" x14ac:dyDescent="0.15">
      <c r="A115" s="33">
        <v>5</v>
      </c>
      <c r="B115" s="34" t="s">
        <v>121</v>
      </c>
      <c r="C115" s="35" t="s">
        <v>99</v>
      </c>
      <c r="D115" s="80">
        <f>VLOOKUP($A$5,道路基础数据!$A$16:$AI$23,16)</f>
        <v>6000</v>
      </c>
      <c r="E115" s="80">
        <f t="shared" si="5"/>
        <v>9000</v>
      </c>
      <c r="F115" s="37"/>
      <c r="L115" s="33">
        <v>5</v>
      </c>
      <c r="M115" s="34" t="s">
        <v>121</v>
      </c>
      <c r="N115" s="35" t="s">
        <v>99</v>
      </c>
      <c r="O115" s="80" t="str">
        <f t="shared" si="6"/>
        <v>{{C30混凝土路面(20cm厚)_2}}</v>
      </c>
      <c r="P115" s="80" t="str">
        <f t="shared" si="7"/>
        <v>{{C30混凝土路面(20cm厚)numbers_2}}</v>
      </c>
      <c r="Q115" s="37"/>
    </row>
    <row r="116" spans="1:17" ht="20.100000000000001" customHeight="1" x14ac:dyDescent="0.15">
      <c r="A116" s="33">
        <v>6</v>
      </c>
      <c r="B116" s="38" t="s">
        <v>100</v>
      </c>
      <c r="C116" s="35" t="s">
        <v>101</v>
      </c>
      <c r="D116" s="80">
        <f>VLOOKUP($A$5,道路基础数据!$A$16:$AI$23,17)</f>
        <v>20</v>
      </c>
      <c r="E116" s="80">
        <f t="shared" si="5"/>
        <v>30</v>
      </c>
      <c r="F116" s="37"/>
      <c r="L116" s="33">
        <v>6</v>
      </c>
      <c r="M116" s="38" t="s">
        <v>100</v>
      </c>
      <c r="N116" s="35" t="s">
        <v>101</v>
      </c>
      <c r="O116" s="80" t="str">
        <f t="shared" si="6"/>
        <v>{{D1000mm圆管涵_2}}</v>
      </c>
      <c r="P116" s="80" t="str">
        <f t="shared" si="7"/>
        <v>{{D1000mm圆管涵numbers_2}}</v>
      </c>
      <c r="Q116" s="37"/>
    </row>
    <row r="117" spans="1:17" ht="20.100000000000001" customHeight="1" x14ac:dyDescent="0.15">
      <c r="A117" s="33">
        <v>7</v>
      </c>
      <c r="B117" s="34" t="s">
        <v>102</v>
      </c>
      <c r="C117" s="35" t="s">
        <v>5</v>
      </c>
      <c r="D117" s="80">
        <f>VLOOKUP($A$5,道路基础数据!$A$16:$AI$23,18)</f>
        <v>475</v>
      </c>
      <c r="E117" s="80">
        <f t="shared" si="5"/>
        <v>712.5</v>
      </c>
      <c r="F117" s="37"/>
      <c r="L117" s="33">
        <v>7</v>
      </c>
      <c r="M117" s="34" t="s">
        <v>102</v>
      </c>
      <c r="N117" s="35" t="s">
        <v>5</v>
      </c>
      <c r="O117" s="80" t="str">
        <f t="shared" si="6"/>
        <v>{{浆砌石排水沟_2}}</v>
      </c>
      <c r="P117" s="80" t="str">
        <f t="shared" si="7"/>
        <v>{{浆砌石排水沟numbers_2}}</v>
      </c>
      <c r="Q117" s="37"/>
    </row>
    <row r="118" spans="1:17" ht="20.100000000000001" customHeight="1" x14ac:dyDescent="0.15">
      <c r="A118" s="33">
        <v>8</v>
      </c>
      <c r="B118" s="38" t="s">
        <v>103</v>
      </c>
      <c r="C118" s="35" t="s">
        <v>5</v>
      </c>
      <c r="D118" s="80">
        <f>VLOOKUP($A$5,道路基础数据!$A$16:$AI$23,19)</f>
        <v>300</v>
      </c>
      <c r="E118" s="80">
        <f t="shared" si="5"/>
        <v>450</v>
      </c>
      <c r="F118" s="37"/>
      <c r="L118" s="33">
        <v>8</v>
      </c>
      <c r="M118" s="38" t="s">
        <v>103</v>
      </c>
      <c r="N118" s="35" t="s">
        <v>5</v>
      </c>
      <c r="O118" s="80" t="str">
        <f t="shared" si="6"/>
        <v>{{M7.5浆砌片石挡墙_2}}</v>
      </c>
      <c r="P118" s="80" t="str">
        <f t="shared" si="7"/>
        <v>{{M7.5浆砌片石挡墙numbers_2}}</v>
      </c>
      <c r="Q118" s="37"/>
    </row>
    <row r="119" spans="1:17" ht="20.100000000000001" customHeight="1" x14ac:dyDescent="0.15">
      <c r="A119" s="33">
        <v>9</v>
      </c>
      <c r="B119" s="34" t="s">
        <v>104</v>
      </c>
      <c r="C119" s="35" t="s">
        <v>99</v>
      </c>
      <c r="D119" s="80">
        <f>VLOOKUP($A$5,道路基础数据!$A$16:$AI$23,20)</f>
        <v>6000</v>
      </c>
      <c r="E119" s="80">
        <f t="shared" si="5"/>
        <v>9000</v>
      </c>
      <c r="F119" s="37"/>
      <c r="L119" s="33">
        <v>9</v>
      </c>
      <c r="M119" s="34" t="s">
        <v>104</v>
      </c>
      <c r="N119" s="35" t="s">
        <v>99</v>
      </c>
      <c r="O119" s="80" t="str">
        <f t="shared" si="6"/>
        <v>{{草皮护坡_2}}</v>
      </c>
      <c r="P119" s="80" t="str">
        <f t="shared" si="7"/>
        <v>{{草皮护坡numbers_2}}</v>
      </c>
      <c r="Q119" s="37"/>
    </row>
    <row r="120" spans="1:17" ht="20.100000000000001" customHeight="1" x14ac:dyDescent="0.15">
      <c r="A120" s="33">
        <v>10</v>
      </c>
      <c r="B120" s="34" t="s">
        <v>152</v>
      </c>
      <c r="C120" s="48" t="s">
        <v>153</v>
      </c>
      <c r="D120" s="80">
        <f>VLOOKUP($A$5,道路基础数据!$A$16:$AI$23,21)</f>
        <v>2</v>
      </c>
      <c r="E120" s="80">
        <f t="shared" si="5"/>
        <v>3</v>
      </c>
      <c r="F120" s="37"/>
      <c r="L120" s="33">
        <v>10</v>
      </c>
      <c r="M120" s="34" t="s">
        <v>147</v>
      </c>
      <c r="N120" s="48" t="s">
        <v>149</v>
      </c>
      <c r="O120" s="80" t="str">
        <f t="shared" si="6"/>
        <v>{{标志标牌_2}}</v>
      </c>
      <c r="P120" s="80" t="str">
        <f t="shared" si="7"/>
        <v>{{标志标牌numbers_2}}</v>
      </c>
      <c r="Q120" s="37"/>
    </row>
    <row r="121" spans="1:17" ht="20.100000000000001" customHeight="1" x14ac:dyDescent="0.15">
      <c r="A121" s="33">
        <v>11</v>
      </c>
      <c r="B121" s="34" t="s">
        <v>148</v>
      </c>
      <c r="C121" s="35" t="s">
        <v>154</v>
      </c>
      <c r="D121" s="80">
        <f>VLOOKUP($A$5,道路基础数据!$A$16:$AI$23,22)</f>
        <v>200</v>
      </c>
      <c r="E121" s="80">
        <f t="shared" si="5"/>
        <v>300</v>
      </c>
      <c r="F121" s="37"/>
      <c r="L121" s="33">
        <v>11</v>
      </c>
      <c r="M121" s="34" t="s">
        <v>148</v>
      </c>
      <c r="N121" s="35" t="s">
        <v>42</v>
      </c>
      <c r="O121" s="80" t="str">
        <f t="shared" si="6"/>
        <v>{{波形护栏_2}}</v>
      </c>
      <c r="P121" s="80" t="str">
        <f t="shared" si="7"/>
        <v>{{波形护栏numbers_2}}</v>
      </c>
      <c r="Q121" s="37"/>
    </row>
    <row r="122" spans="1:17" ht="20.100000000000001" customHeight="1" x14ac:dyDescent="0.15">
      <c r="A122" s="39" t="s">
        <v>129</v>
      </c>
      <c r="B122" s="40" t="s">
        <v>105</v>
      </c>
      <c r="C122" s="41" t="s">
        <v>123</v>
      </c>
      <c r="D122" s="81"/>
      <c r="E122" s="81">
        <f>D5</f>
        <v>10</v>
      </c>
      <c r="F122" s="43"/>
      <c r="L122" s="39" t="s">
        <v>129</v>
      </c>
      <c r="M122" s="40" t="s">
        <v>105</v>
      </c>
      <c r="N122" s="41" t="s">
        <v>98</v>
      </c>
      <c r="O122" s="80"/>
      <c r="P122" s="81" t="s">
        <v>403</v>
      </c>
      <c r="Q122" s="43"/>
    </row>
    <row r="123" spans="1:17" ht="20.100000000000001" customHeight="1" x14ac:dyDescent="0.15">
      <c r="A123" s="33">
        <v>1</v>
      </c>
      <c r="B123" s="34" t="s">
        <v>4</v>
      </c>
      <c r="C123" s="35" t="s">
        <v>5</v>
      </c>
      <c r="D123" s="80">
        <f>VLOOKUP($A$5,道路基础数据!$A$16:$AI$23,24)</f>
        <v>12000</v>
      </c>
      <c r="E123" s="80">
        <f>D123*$E$122</f>
        <v>120000</v>
      </c>
      <c r="F123" s="36"/>
      <c r="L123" s="33">
        <v>1</v>
      </c>
      <c r="M123" s="34" t="s">
        <v>4</v>
      </c>
      <c r="N123" s="35" t="s">
        <v>5</v>
      </c>
      <c r="O123" s="80" t="str">
        <f>"{{"&amp;M123&amp;"_3}}"</f>
        <v>{{土方开挖_3}}</v>
      </c>
      <c r="P123" s="80" t="str">
        <f>"{{"&amp;M123&amp;"numbers_3}}"</f>
        <v>{{土方开挖numbers_3}}</v>
      </c>
      <c r="Q123" s="36"/>
    </row>
    <row r="124" spans="1:17" ht="20.100000000000001" customHeight="1" x14ac:dyDescent="0.15">
      <c r="A124" s="33">
        <v>2</v>
      </c>
      <c r="B124" s="34" t="s">
        <v>6</v>
      </c>
      <c r="C124" s="35" t="s">
        <v>5</v>
      </c>
      <c r="D124" s="80">
        <f>VLOOKUP($A$5,道路基础数据!$A$16:$AI$23,25)</f>
        <v>2999.9999999999995</v>
      </c>
      <c r="E124" s="80">
        <f t="shared" ref="E124:E133" si="8">D124*$E$122</f>
        <v>29999.999999999996</v>
      </c>
      <c r="F124" s="36"/>
      <c r="L124" s="33">
        <v>2</v>
      </c>
      <c r="M124" s="34" t="s">
        <v>6</v>
      </c>
      <c r="N124" s="35" t="s">
        <v>5</v>
      </c>
      <c r="O124" s="80" t="str">
        <f t="shared" ref="O124:O134" si="9">"{{"&amp;M124&amp;"_3}}"</f>
        <v>{{石方开挖_3}}</v>
      </c>
      <c r="P124" s="80" t="str">
        <f t="shared" ref="P124:P134" si="10">"{{"&amp;M124&amp;"numbers_3}}"</f>
        <v>{{石方开挖numbers_3}}</v>
      </c>
      <c r="Q124" s="36"/>
    </row>
    <row r="125" spans="1:17" ht="20.100000000000001" customHeight="1" x14ac:dyDescent="0.15">
      <c r="A125" s="33">
        <v>3</v>
      </c>
      <c r="B125" s="34" t="s">
        <v>7</v>
      </c>
      <c r="C125" s="35" t="s">
        <v>5</v>
      </c>
      <c r="D125" s="80">
        <f>VLOOKUP($A$5,道路基础数据!$A$16:$AI$23,26)</f>
        <v>4500</v>
      </c>
      <c r="E125" s="80">
        <f t="shared" si="8"/>
        <v>45000</v>
      </c>
      <c r="F125" s="36"/>
      <c r="L125" s="33">
        <v>3</v>
      </c>
      <c r="M125" s="34" t="s">
        <v>7</v>
      </c>
      <c r="N125" s="35" t="s">
        <v>5</v>
      </c>
      <c r="O125" s="80" t="str">
        <f t="shared" si="9"/>
        <v>{{土石方回填_3}}</v>
      </c>
      <c r="P125" s="80" t="str">
        <f t="shared" si="10"/>
        <v>{{土石方回填numbers_3}}</v>
      </c>
      <c r="Q125" s="36"/>
    </row>
    <row r="126" spans="1:17" ht="20.100000000000001" customHeight="1" x14ac:dyDescent="0.15">
      <c r="A126" s="33">
        <v>4</v>
      </c>
      <c r="B126" s="34" t="s">
        <v>120</v>
      </c>
      <c r="C126" s="35" t="s">
        <v>99</v>
      </c>
      <c r="D126" s="80">
        <f>VLOOKUP($A$5,道路基础数据!$A$16:$AI$23,27)</f>
        <v>6000</v>
      </c>
      <c r="E126" s="80">
        <f t="shared" si="8"/>
        <v>60000</v>
      </c>
      <c r="F126" s="36"/>
      <c r="L126" s="33">
        <v>4</v>
      </c>
      <c r="M126" s="34" t="s">
        <v>120</v>
      </c>
      <c r="N126" s="35" t="s">
        <v>99</v>
      </c>
      <c r="O126" s="80" t="str">
        <f t="shared" si="9"/>
        <v>{{山皮石路面(20cm厚)_3}}</v>
      </c>
      <c r="P126" s="80" t="str">
        <f t="shared" si="10"/>
        <v>{{山皮石路面(20cm厚)numbers_3}}</v>
      </c>
      <c r="Q126" s="36"/>
    </row>
    <row r="127" spans="1:17" ht="20.100000000000001" customHeight="1" x14ac:dyDescent="0.15">
      <c r="A127" s="33">
        <v>5</v>
      </c>
      <c r="B127" s="34" t="s">
        <v>121</v>
      </c>
      <c r="C127" s="35" t="s">
        <v>99</v>
      </c>
      <c r="D127" s="80">
        <f>VLOOKUP($A$5,道路基础数据!$A$16:$AI$23,28)</f>
        <v>0</v>
      </c>
      <c r="E127" s="80">
        <f t="shared" si="8"/>
        <v>0</v>
      </c>
      <c r="F127" s="36"/>
      <c r="L127" s="33">
        <v>5</v>
      </c>
      <c r="M127" s="34" t="s">
        <v>121</v>
      </c>
      <c r="N127" s="35" t="s">
        <v>99</v>
      </c>
      <c r="O127" s="80" t="str">
        <f t="shared" si="9"/>
        <v>{{C30混凝土路面(20cm厚)_3}}</v>
      </c>
      <c r="P127" s="80" t="str">
        <f t="shared" si="10"/>
        <v>{{C30混凝土路面(20cm厚)numbers_3}}</v>
      </c>
      <c r="Q127" s="36"/>
    </row>
    <row r="128" spans="1:17" ht="20.100000000000001" customHeight="1" x14ac:dyDescent="0.15">
      <c r="A128" s="33">
        <v>6</v>
      </c>
      <c r="B128" s="38" t="s">
        <v>106</v>
      </c>
      <c r="C128" s="35" t="s">
        <v>101</v>
      </c>
      <c r="D128" s="80">
        <f>VLOOKUP($A$5,道路基础数据!$A$16:$AI$23,29)</f>
        <v>20</v>
      </c>
      <c r="E128" s="80">
        <f t="shared" si="8"/>
        <v>200</v>
      </c>
      <c r="F128" s="36"/>
      <c r="L128" s="33">
        <v>6</v>
      </c>
      <c r="M128" s="38" t="s">
        <v>100</v>
      </c>
      <c r="N128" s="35" t="s">
        <v>101</v>
      </c>
      <c r="O128" s="80" t="str">
        <f t="shared" si="9"/>
        <v>{{D1000mm圆管涵_3}}</v>
      </c>
      <c r="P128" s="80" t="str">
        <f t="shared" si="10"/>
        <v>{{D1000mm圆管涵numbers_3}}</v>
      </c>
      <c r="Q128" s="36"/>
    </row>
    <row r="129" spans="1:17" ht="20.100000000000001" customHeight="1" x14ac:dyDescent="0.15">
      <c r="A129" s="33">
        <v>7</v>
      </c>
      <c r="B129" s="34" t="s">
        <v>107</v>
      </c>
      <c r="C129" s="35" t="s">
        <v>5</v>
      </c>
      <c r="D129" s="80">
        <f>VLOOKUP($A$5,道路基础数据!$A$16:$AI$23,30)</f>
        <v>475</v>
      </c>
      <c r="E129" s="80">
        <f t="shared" si="8"/>
        <v>4750</v>
      </c>
      <c r="F129" s="36"/>
      <c r="L129" s="33">
        <v>7</v>
      </c>
      <c r="M129" s="34" t="s">
        <v>102</v>
      </c>
      <c r="N129" s="35" t="s">
        <v>5</v>
      </c>
      <c r="O129" s="80" t="str">
        <f t="shared" si="9"/>
        <v>{{浆砌石排水沟_3}}</v>
      </c>
      <c r="P129" s="80" t="str">
        <f t="shared" si="10"/>
        <v>{{浆砌石排水沟numbers_3}}</v>
      </c>
      <c r="Q129" s="36"/>
    </row>
    <row r="130" spans="1:17" ht="20.100000000000001" customHeight="1" x14ac:dyDescent="0.15">
      <c r="A130" s="33">
        <v>8</v>
      </c>
      <c r="B130" s="38" t="s">
        <v>108</v>
      </c>
      <c r="C130" s="35" t="s">
        <v>5</v>
      </c>
      <c r="D130" s="80">
        <f>VLOOKUP($A$5,道路基础数据!$A$16:$AI$23,31)</f>
        <v>300</v>
      </c>
      <c r="E130" s="80">
        <f t="shared" si="8"/>
        <v>3000</v>
      </c>
      <c r="F130" s="36"/>
      <c r="L130" s="33">
        <v>8</v>
      </c>
      <c r="M130" s="38" t="s">
        <v>103</v>
      </c>
      <c r="N130" s="35" t="s">
        <v>5</v>
      </c>
      <c r="O130" s="80" t="str">
        <f t="shared" si="9"/>
        <v>{{M7.5浆砌片石挡墙_3}}</v>
      </c>
      <c r="P130" s="80" t="str">
        <f t="shared" si="10"/>
        <v>{{M7.5浆砌片石挡墙numbers_3}}</v>
      </c>
      <c r="Q130" s="36"/>
    </row>
    <row r="131" spans="1:17" ht="20.100000000000001" customHeight="1" x14ac:dyDescent="0.15">
      <c r="A131" s="33">
        <v>9</v>
      </c>
      <c r="B131" s="34" t="s">
        <v>109</v>
      </c>
      <c r="C131" s="35" t="s">
        <v>99</v>
      </c>
      <c r="D131" s="80">
        <f>VLOOKUP($A$5,道路基础数据!$A$16:$AI$23,32)</f>
        <v>6000</v>
      </c>
      <c r="E131" s="80">
        <f t="shared" si="8"/>
        <v>60000</v>
      </c>
      <c r="F131" s="36"/>
      <c r="L131" s="33">
        <v>9</v>
      </c>
      <c r="M131" s="34" t="s">
        <v>109</v>
      </c>
      <c r="N131" s="35" t="s">
        <v>99</v>
      </c>
      <c r="O131" s="80" t="str">
        <f t="shared" si="9"/>
        <v>{{草皮护坡_3}}</v>
      </c>
      <c r="P131" s="80" t="str">
        <f t="shared" si="10"/>
        <v>{{草皮护坡numbers_3}}</v>
      </c>
      <c r="Q131" s="36"/>
    </row>
    <row r="132" spans="1:17" ht="20.100000000000001" customHeight="1" x14ac:dyDescent="0.15">
      <c r="A132" s="33">
        <v>10</v>
      </c>
      <c r="B132" s="34" t="s">
        <v>152</v>
      </c>
      <c r="C132" s="48" t="s">
        <v>153</v>
      </c>
      <c r="D132" s="80">
        <f>VLOOKUP($A$5,道路基础数据!$A$16:$AI$23,33)</f>
        <v>4</v>
      </c>
      <c r="E132" s="80">
        <f t="shared" si="8"/>
        <v>40</v>
      </c>
      <c r="F132" s="36"/>
      <c r="L132" s="33">
        <v>10</v>
      </c>
      <c r="M132" s="34" t="s">
        <v>147</v>
      </c>
      <c r="N132" s="48" t="s">
        <v>149</v>
      </c>
      <c r="O132" s="80" t="str">
        <f t="shared" si="9"/>
        <v>{{标志标牌_3}}</v>
      </c>
      <c r="P132" s="80" t="str">
        <f t="shared" si="10"/>
        <v>{{标志标牌numbers_3}}</v>
      </c>
      <c r="Q132" s="36"/>
    </row>
    <row r="133" spans="1:17" ht="20.100000000000001" customHeight="1" x14ac:dyDescent="0.15">
      <c r="A133" s="33">
        <v>11</v>
      </c>
      <c r="B133" s="34" t="s">
        <v>148</v>
      </c>
      <c r="C133" s="35" t="s">
        <v>154</v>
      </c>
      <c r="D133" s="80">
        <f>VLOOKUP($A$5,道路基础数据!$A$16:$AI$23,34)</f>
        <v>200</v>
      </c>
      <c r="E133" s="80">
        <f t="shared" si="8"/>
        <v>2000</v>
      </c>
      <c r="F133" s="36"/>
      <c r="L133" s="33">
        <v>11</v>
      </c>
      <c r="M133" s="34" t="s">
        <v>148</v>
      </c>
      <c r="N133" s="35" t="s">
        <v>42</v>
      </c>
      <c r="O133" s="80" t="str">
        <f t="shared" si="9"/>
        <v>{{波形护栏_3}}</v>
      </c>
      <c r="P133" s="80" t="str">
        <f t="shared" si="10"/>
        <v>{{波形护栏numbers_3}}</v>
      </c>
      <c r="Q133" s="36"/>
    </row>
    <row r="134" spans="1:17" ht="20.100000000000001" customHeight="1" x14ac:dyDescent="0.15">
      <c r="A134" s="33">
        <v>12</v>
      </c>
      <c r="B134" s="34" t="s">
        <v>110</v>
      </c>
      <c r="C134" s="35" t="s">
        <v>99</v>
      </c>
      <c r="D134" s="80" t="str">
        <f>VLOOKUP($A$5,道路基础数据!$A$16:$AI$23,35)</f>
        <v/>
      </c>
      <c r="E134" s="80" t="str">
        <f>D134</f>
        <v/>
      </c>
      <c r="F134" s="36"/>
      <c r="L134" s="33">
        <v>12</v>
      </c>
      <c r="M134" s="34" t="s">
        <v>69</v>
      </c>
      <c r="N134" s="35" t="s">
        <v>99</v>
      </c>
      <c r="O134" s="80" t="str">
        <f t="shared" si="9"/>
        <v>{{桥梁_3}}</v>
      </c>
      <c r="P134" s="80" t="str">
        <f t="shared" si="10"/>
        <v>{{桥梁numbers_3}}</v>
      </c>
      <c r="Q134" s="36"/>
    </row>
    <row r="135" spans="1:17" ht="20.100000000000001" customHeight="1" x14ac:dyDescent="0.15">
      <c r="A135" s="39" t="s">
        <v>130</v>
      </c>
      <c r="B135" s="40" t="s">
        <v>111</v>
      </c>
      <c r="C135" s="44" t="s">
        <v>124</v>
      </c>
      <c r="D135" s="80"/>
      <c r="E135" s="80">
        <f>D2</f>
        <v>15</v>
      </c>
      <c r="F135" s="37"/>
      <c r="L135" s="39" t="s">
        <v>130</v>
      </c>
      <c r="M135" s="40" t="s">
        <v>111</v>
      </c>
      <c r="N135" s="44" t="s">
        <v>124</v>
      </c>
      <c r="O135" s="80"/>
      <c r="P135" s="80" t="s">
        <v>404</v>
      </c>
      <c r="Q135" s="37"/>
    </row>
    <row r="136" spans="1:17" ht="20.100000000000001" customHeight="1" x14ac:dyDescent="0.15">
      <c r="A136" s="33">
        <v>1</v>
      </c>
      <c r="B136" s="34" t="s">
        <v>112</v>
      </c>
      <c r="C136" s="35" t="s">
        <v>99</v>
      </c>
      <c r="D136" s="80">
        <f>VLOOKUP($A$5,道路基础数据!$A$29:$I$36,3)</f>
        <v>1800</v>
      </c>
      <c r="E136" s="80">
        <f>D136*$E$135</f>
        <v>27000</v>
      </c>
      <c r="F136" s="37"/>
      <c r="L136" s="33">
        <v>1</v>
      </c>
      <c r="M136" s="34" t="s">
        <v>112</v>
      </c>
      <c r="N136" s="35" t="s">
        <v>99</v>
      </c>
      <c r="O136" s="80" t="str">
        <f>"{{"&amp;M136&amp;"_4}}"</f>
        <v>{{一般场地平整_4}}</v>
      </c>
      <c r="P136" s="80" t="str">
        <f>"{{"&amp;M136&amp;"numbers_4}}"</f>
        <v>{{一般场地平整numbers_4}}</v>
      </c>
      <c r="Q136" s="37"/>
    </row>
    <row r="137" spans="1:17" ht="20.100000000000001" customHeight="1" x14ac:dyDescent="0.15">
      <c r="A137" s="33">
        <v>2</v>
      </c>
      <c r="B137" s="34" t="s">
        <v>4</v>
      </c>
      <c r="C137" s="35" t="s">
        <v>5</v>
      </c>
      <c r="D137" s="80">
        <f>VLOOKUP($A$5,道路基础数据!$A$29:$I$36,4)</f>
        <v>4320</v>
      </c>
      <c r="E137" s="80">
        <f t="shared" ref="E137:E141" si="11">D137*$E$135</f>
        <v>64800</v>
      </c>
      <c r="F137" s="37"/>
      <c r="L137" s="33">
        <v>2</v>
      </c>
      <c r="M137" s="34" t="s">
        <v>4</v>
      </c>
      <c r="N137" s="35" t="s">
        <v>5</v>
      </c>
      <c r="O137" s="80" t="str">
        <f t="shared" ref="O137:O141" si="12">"{{"&amp;M137&amp;"_4}}"</f>
        <v>{{土方开挖_4}}</v>
      </c>
      <c r="P137" s="80" t="str">
        <f t="shared" ref="P137:P141" si="13">"{{"&amp;M137&amp;"numbers_4}}"</f>
        <v>{{土方开挖numbers_4}}</v>
      </c>
      <c r="Q137" s="37"/>
    </row>
    <row r="138" spans="1:17" ht="20.100000000000001" customHeight="1" x14ac:dyDescent="0.15">
      <c r="A138" s="33">
        <v>3</v>
      </c>
      <c r="B138" s="34" t="s">
        <v>6</v>
      </c>
      <c r="C138" s="35" t="s">
        <v>5</v>
      </c>
      <c r="D138" s="80">
        <f>VLOOKUP($A$5,道路基础数据!$A$29:$I$36,5)</f>
        <v>1079.9999999999998</v>
      </c>
      <c r="E138" s="80">
        <f t="shared" si="11"/>
        <v>16199.999999999996</v>
      </c>
      <c r="F138" s="37"/>
      <c r="L138" s="33">
        <v>3</v>
      </c>
      <c r="M138" s="34" t="s">
        <v>6</v>
      </c>
      <c r="N138" s="35" t="s">
        <v>5</v>
      </c>
      <c r="O138" s="80" t="str">
        <f t="shared" si="12"/>
        <v>{{石方开挖_4}}</v>
      </c>
      <c r="P138" s="80" t="str">
        <f t="shared" si="13"/>
        <v>{{石方开挖numbers_4}}</v>
      </c>
      <c r="Q138" s="37"/>
    </row>
    <row r="139" spans="1:17" ht="20.100000000000001" customHeight="1" x14ac:dyDescent="0.15">
      <c r="A139" s="33">
        <v>4</v>
      </c>
      <c r="B139" s="34" t="s">
        <v>7</v>
      </c>
      <c r="C139" s="35" t="s">
        <v>5</v>
      </c>
      <c r="D139" s="80">
        <f>VLOOKUP($A$5,道路基础数据!$A$29:$I$36,6)</f>
        <v>900</v>
      </c>
      <c r="E139" s="80">
        <f t="shared" si="11"/>
        <v>13500</v>
      </c>
      <c r="F139" s="37"/>
      <c r="L139" s="33">
        <v>4</v>
      </c>
      <c r="M139" s="34" t="s">
        <v>7</v>
      </c>
      <c r="N139" s="35" t="s">
        <v>5</v>
      </c>
      <c r="O139" s="80" t="str">
        <f t="shared" si="12"/>
        <v>{{土石方回填_4}}</v>
      </c>
      <c r="P139" s="80" t="str">
        <f t="shared" si="13"/>
        <v>{{土石方回填numbers_4}}</v>
      </c>
      <c r="Q139" s="37"/>
    </row>
    <row r="140" spans="1:17" ht="20.100000000000001" customHeight="1" x14ac:dyDescent="0.15">
      <c r="A140" s="33">
        <v>5</v>
      </c>
      <c r="B140" s="34" t="s">
        <v>126</v>
      </c>
      <c r="C140" s="35" t="s">
        <v>5</v>
      </c>
      <c r="D140" s="80">
        <f>VLOOKUP($A$5,道路基础数据!$A$29:$I$36,7)</f>
        <v>19</v>
      </c>
      <c r="E140" s="80">
        <f t="shared" si="11"/>
        <v>285</v>
      </c>
      <c r="F140" s="37"/>
      <c r="L140" s="33">
        <v>5</v>
      </c>
      <c r="M140" s="34" t="s">
        <v>102</v>
      </c>
      <c r="N140" s="35" t="s">
        <v>5</v>
      </c>
      <c r="O140" s="80" t="str">
        <f t="shared" si="12"/>
        <v>{{浆砌石排水沟_4}}</v>
      </c>
      <c r="P140" s="80" t="str">
        <f t="shared" si="13"/>
        <v>{{浆砌石排水沟numbers_4}}</v>
      </c>
      <c r="Q140" s="37"/>
    </row>
    <row r="141" spans="1:17" ht="20.100000000000001" customHeight="1" x14ac:dyDescent="0.15">
      <c r="A141" s="33">
        <v>6</v>
      </c>
      <c r="B141" s="38" t="s">
        <v>113</v>
      </c>
      <c r="C141" s="35" t="s">
        <v>5</v>
      </c>
      <c r="D141" s="80">
        <f>VLOOKUP($A$5,道路基础数据!$A$29:$I$36,8)</f>
        <v>50</v>
      </c>
      <c r="E141" s="80">
        <f t="shared" si="11"/>
        <v>750</v>
      </c>
      <c r="F141" s="37"/>
      <c r="L141" s="33">
        <v>6</v>
      </c>
      <c r="M141" s="38" t="s">
        <v>113</v>
      </c>
      <c r="N141" s="35" t="s">
        <v>5</v>
      </c>
      <c r="O141" s="80" t="str">
        <f t="shared" si="12"/>
        <v>{{M7.5浆砌片石护坡_4}}</v>
      </c>
      <c r="P141" s="80" t="str">
        <f t="shared" si="13"/>
        <v>{{M7.5浆砌片石护坡numbers_4}}</v>
      </c>
      <c r="Q141" s="37"/>
    </row>
    <row r="143" spans="1:17" ht="20.100000000000001" customHeight="1" x14ac:dyDescent="0.15"/>
    <row r="144" spans="1:17" ht="20.100000000000001" customHeight="1" thickBot="1" x14ac:dyDescent="0.2">
      <c r="A144" s="2" t="s">
        <v>247</v>
      </c>
    </row>
    <row r="145" spans="1:16" ht="20.100000000000001" customHeight="1" x14ac:dyDescent="0.15">
      <c r="A145" s="105" t="s">
        <v>85</v>
      </c>
      <c r="B145" s="58" t="s">
        <v>0</v>
      </c>
      <c r="C145" s="58" t="s">
        <v>243</v>
      </c>
      <c r="D145" s="107" t="s">
        <v>244</v>
      </c>
      <c r="E145" s="61" t="s">
        <v>3</v>
      </c>
      <c r="L145" s="105" t="s">
        <v>85</v>
      </c>
      <c r="M145" s="58" t="s">
        <v>0</v>
      </c>
      <c r="N145" s="58" t="s">
        <v>243</v>
      </c>
      <c r="O145" s="107" t="s">
        <v>244</v>
      </c>
      <c r="P145" s="61" t="s">
        <v>3</v>
      </c>
    </row>
    <row r="146" spans="1:16" ht="20.100000000000001" customHeight="1" x14ac:dyDescent="0.15">
      <c r="A146" s="25">
        <v>1</v>
      </c>
      <c r="B146" s="26" t="s">
        <v>236</v>
      </c>
      <c r="C146" s="26">
        <f>IF($C$2*$D$2&lt;=50,200,IF($C$2*$D$2&gt;=100,400,300))</f>
        <v>200</v>
      </c>
      <c r="D146" s="108">
        <f>IF($C$2*$D$2&lt;=50,1000,IF($C$2*$D$2&gt;=100,2000,1500))</f>
        <v>1000</v>
      </c>
      <c r="E146" s="27" t="s">
        <v>237</v>
      </c>
      <c r="L146" s="25">
        <v>1</v>
      </c>
      <c r="M146" s="122" t="s">
        <v>405</v>
      </c>
      <c r="N146" s="26" t="str">
        <f>"{{"&amp;M146&amp;"_1}}"</f>
        <v>{{材料仓库_1}}</v>
      </c>
      <c r="O146" s="108" t="str">
        <f>"{{"&amp;M146&amp;"_2}}"</f>
        <v>{{材料仓库_2}}</v>
      </c>
      <c r="P146" s="27" t="s">
        <v>237</v>
      </c>
    </row>
    <row r="147" spans="1:16" ht="20.100000000000001" customHeight="1" x14ac:dyDescent="0.15">
      <c r="A147" s="25">
        <v>2</v>
      </c>
      <c r="B147" s="26" t="s">
        <v>238</v>
      </c>
      <c r="C147" s="26">
        <f>IF($C$2*$D$2&lt;=50,1800,IF($C$2*$D$2&gt;=100,2200,2000))</f>
        <v>1800</v>
      </c>
      <c r="D147" s="108">
        <f>IF($C$2*$D$2&lt;=50,3000,IF($C$2*$D$2&gt;=100,4000,3500))</f>
        <v>3000</v>
      </c>
      <c r="E147" s="27" t="s">
        <v>237</v>
      </c>
      <c r="L147" s="25">
        <v>2</v>
      </c>
      <c r="M147" s="26" t="s">
        <v>238</v>
      </c>
      <c r="N147" s="26" t="str">
        <f t="shared" ref="N147:N150" si="14">"{{"&amp;M147&amp;"_1}}"</f>
        <v>{{临时住宅及办公室施工生活区_1}}</v>
      </c>
      <c r="O147" s="108" t="str">
        <f t="shared" ref="O147:O151" si="15">"{{"&amp;M147&amp;"_2}}"</f>
        <v>{{临时住宅及办公室施工生活区_2}}</v>
      </c>
      <c r="P147" s="27" t="s">
        <v>237</v>
      </c>
    </row>
    <row r="148" spans="1:16" ht="20.100000000000001" customHeight="1" x14ac:dyDescent="0.15">
      <c r="A148" s="25">
        <v>3</v>
      </c>
      <c r="B148" s="26" t="s">
        <v>239</v>
      </c>
      <c r="C148" s="26">
        <f>IF($C$2*$D$2&lt;=50,150,IF($C$2*$D$2&gt;=100,250,200))</f>
        <v>150</v>
      </c>
      <c r="D148" s="108">
        <f>IF($C$2*$D$2&lt;=50,800,IF($C$2*$D$2&gt;=100,1500,1200))</f>
        <v>800</v>
      </c>
      <c r="E148" s="27" t="s">
        <v>237</v>
      </c>
      <c r="L148" s="25">
        <v>3</v>
      </c>
      <c r="M148" s="26" t="s">
        <v>239</v>
      </c>
      <c r="N148" s="26" t="str">
        <f t="shared" si="14"/>
        <v>{{钢筋加工厂_1}}</v>
      </c>
      <c r="O148" s="108" t="str">
        <f t="shared" si="15"/>
        <v>{{钢筋加工厂_2}}</v>
      </c>
      <c r="P148" s="27" t="s">
        <v>237</v>
      </c>
    </row>
    <row r="149" spans="1:16" ht="20.100000000000001" customHeight="1" x14ac:dyDescent="0.15">
      <c r="A149" s="25">
        <v>4</v>
      </c>
      <c r="B149" s="26" t="s">
        <v>240</v>
      </c>
      <c r="C149" s="26">
        <f>IF($C$2*$D$2&lt;=50,100,IF($C$2*$D$2&gt;=100,200,150))</f>
        <v>100</v>
      </c>
      <c r="D149" s="108">
        <f>IF($C$2*$D$2&lt;=50,4500,IF($C$2*$D$2&gt;=100,6500,5500))</f>
        <v>4500</v>
      </c>
      <c r="E149" s="27" t="s">
        <v>237</v>
      </c>
      <c r="L149" s="25">
        <v>4</v>
      </c>
      <c r="M149" s="26" t="s">
        <v>240</v>
      </c>
      <c r="N149" s="26" t="str">
        <f t="shared" si="14"/>
        <v>{{设备存放场_1}}</v>
      </c>
      <c r="O149" s="108" t="str">
        <f t="shared" si="15"/>
        <v>{{设备存放场_2}}</v>
      </c>
      <c r="P149" s="27" t="s">
        <v>237</v>
      </c>
    </row>
    <row r="150" spans="1:16" ht="20.100000000000001" customHeight="1" x14ac:dyDescent="0.15">
      <c r="A150" s="25">
        <v>5</v>
      </c>
      <c r="B150" s="26" t="s">
        <v>241</v>
      </c>
      <c r="C150" s="26">
        <f>IF($C$2*$D$2&lt;=50,100,IF($C$2*$D$2&gt;=100,200,150))</f>
        <v>100</v>
      </c>
      <c r="D150" s="108">
        <f>IF($C$2*$D$2&lt;=50,1200,IF($C$2*$D$2&gt;=100,1600,1400))</f>
        <v>1200</v>
      </c>
      <c r="E150" s="27"/>
      <c r="L150" s="25">
        <v>5</v>
      </c>
      <c r="M150" s="26" t="s">
        <v>241</v>
      </c>
      <c r="N150" s="26" t="str">
        <f t="shared" si="14"/>
        <v>{{施工机械停放场_1}}</v>
      </c>
      <c r="O150" s="108" t="str">
        <f t="shared" si="15"/>
        <v>{{施工机械停放场_2}}</v>
      </c>
      <c r="P150" s="27"/>
    </row>
    <row r="151" spans="1:16" ht="20.100000000000001" customHeight="1" thickBot="1" x14ac:dyDescent="0.2">
      <c r="A151" s="106">
        <v>6</v>
      </c>
      <c r="B151" s="29" t="s">
        <v>242</v>
      </c>
      <c r="C151" s="29">
        <f>SUM(C146:C150)</f>
        <v>2350</v>
      </c>
      <c r="D151" s="109">
        <f>SUM(D146:D150)</f>
        <v>10500</v>
      </c>
      <c r="E151" s="30"/>
      <c r="L151" s="106">
        <v>6</v>
      </c>
      <c r="M151" s="29" t="s">
        <v>242</v>
      </c>
      <c r="N151" s="26" t="str">
        <f>"{{"&amp;M151&amp;"_1}}"</f>
        <v>{{合计_1}}</v>
      </c>
      <c r="O151" s="108" t="str">
        <f t="shared" si="15"/>
        <v>{{合计_2}}</v>
      </c>
      <c r="P151" s="30"/>
    </row>
    <row r="152" spans="1:16" ht="20.100000000000001" customHeight="1" x14ac:dyDescent="0.15"/>
    <row r="153" spans="1:16" ht="20.100000000000001" customHeight="1" x14ac:dyDescent="0.15"/>
    <row r="154" spans="1:16" ht="20.100000000000001" customHeight="1" thickBot="1" x14ac:dyDescent="0.2">
      <c r="A154" s="2" t="s">
        <v>248</v>
      </c>
    </row>
    <row r="155" spans="1:16" ht="20.100000000000001" customHeight="1" x14ac:dyDescent="0.15">
      <c r="A155" s="110" t="s">
        <v>85</v>
      </c>
      <c r="B155" s="111" t="s">
        <v>0</v>
      </c>
      <c r="C155" s="112" t="s">
        <v>278</v>
      </c>
      <c r="D155" s="112" t="s">
        <v>258</v>
      </c>
      <c r="E155" s="113" t="s">
        <v>259</v>
      </c>
      <c r="L155" s="110" t="s">
        <v>85</v>
      </c>
      <c r="M155" s="111" t="s">
        <v>0</v>
      </c>
      <c r="N155" s="112" t="s">
        <v>278</v>
      </c>
      <c r="O155" s="112" t="s">
        <v>258</v>
      </c>
      <c r="P155" s="113" t="s">
        <v>259</v>
      </c>
    </row>
    <row r="156" spans="1:16" ht="20.100000000000001" customHeight="1" x14ac:dyDescent="0.15">
      <c r="A156" s="114">
        <v>1</v>
      </c>
      <c r="B156" s="116" t="s">
        <v>406</v>
      </c>
      <c r="C156" s="56">
        <f>E47+E48+E62+E63</f>
        <v>24498.167660841318</v>
      </c>
      <c r="D156" s="56">
        <f>E49+E64</f>
        <v>14078.359558079368</v>
      </c>
      <c r="E156" s="115">
        <f>C156-D156</f>
        <v>10419.80810276195</v>
      </c>
      <c r="L156" s="114">
        <v>1</v>
      </c>
      <c r="M156" s="116" t="s">
        <v>406</v>
      </c>
      <c r="N156" s="56" t="str">
        <f>"{{"&amp;M156&amp;"_开挖}}"</f>
        <v>{{风机基础及箱变_开挖}}</v>
      </c>
      <c r="O156" s="56" t="str">
        <f>"{{"&amp;M156&amp;"_回填}}"</f>
        <v>{{风机基础及箱变_回填}}</v>
      </c>
      <c r="P156" s="56" t="str">
        <f>"{{"&amp;M156&amp;"_弃土}}"</f>
        <v>{{风机基础及箱变_弃土}}</v>
      </c>
    </row>
    <row r="157" spans="1:16" ht="20.100000000000001" customHeight="1" x14ac:dyDescent="0.15">
      <c r="A157" s="114">
        <v>2</v>
      </c>
      <c r="B157" s="116" t="s">
        <v>250</v>
      </c>
      <c r="C157" s="56">
        <f>D76+D77</f>
        <v>36916.538999999997</v>
      </c>
      <c r="D157" s="56">
        <f>D78</f>
        <v>6152.7564999999995</v>
      </c>
      <c r="E157" s="115">
        <f>C157-D157</f>
        <v>30763.782499999998</v>
      </c>
      <c r="L157" s="114">
        <v>2</v>
      </c>
      <c r="M157" s="116" t="s">
        <v>250</v>
      </c>
      <c r="N157" s="56" t="str">
        <f t="shared" ref="N157:N161" si="16">"{{"&amp;M157&amp;"_开挖}}"</f>
        <v>{{升压站工程_开挖}}</v>
      </c>
      <c r="O157" s="56" t="str">
        <f t="shared" ref="O157:O160" si="17">"{{"&amp;M157&amp;"_回填}}"</f>
        <v>{{升压站工程_回填}}</v>
      </c>
      <c r="P157" s="56" t="str">
        <f t="shared" ref="P157:P161" si="18">"{{"&amp;M157&amp;"_弃土}}"</f>
        <v>{{升压站工程_弃土}}</v>
      </c>
    </row>
    <row r="158" spans="1:16" ht="20.100000000000001" customHeight="1" x14ac:dyDescent="0.15">
      <c r="A158" s="114">
        <v>3</v>
      </c>
      <c r="B158" s="116" t="s">
        <v>251</v>
      </c>
      <c r="C158" s="117">
        <f>E102+E103+E111+E112+E123+E124</f>
        <v>197500</v>
      </c>
      <c r="D158" s="117">
        <f>E104+E113+E125</f>
        <v>58000</v>
      </c>
      <c r="E158" s="115">
        <f>C158-D158</f>
        <v>139500</v>
      </c>
      <c r="L158" s="114">
        <v>3</v>
      </c>
      <c r="M158" s="116" t="s">
        <v>251</v>
      </c>
      <c r="N158" s="56" t="str">
        <f t="shared" si="16"/>
        <v>{{道路工程_开挖}}</v>
      </c>
      <c r="O158" s="56" t="str">
        <f t="shared" si="17"/>
        <v>{{道路工程_回填}}</v>
      </c>
      <c r="P158" s="56" t="str">
        <f t="shared" si="18"/>
        <v>{{道路工程_弃土}}</v>
      </c>
    </row>
    <row r="159" spans="1:16" ht="20.100000000000001" customHeight="1" x14ac:dyDescent="0.15">
      <c r="A159" s="114">
        <v>4</v>
      </c>
      <c r="B159" s="116" t="s">
        <v>249</v>
      </c>
      <c r="C159" s="117">
        <f>E137+E138</f>
        <v>81000</v>
      </c>
      <c r="D159" s="117">
        <f>E139</f>
        <v>13500</v>
      </c>
      <c r="E159" s="115">
        <f>C159-D159</f>
        <v>67500</v>
      </c>
      <c r="L159" s="114">
        <v>4</v>
      </c>
      <c r="M159" s="116" t="s">
        <v>249</v>
      </c>
      <c r="N159" s="56" t="str">
        <f t="shared" si="16"/>
        <v>{{吊装平台_开挖}}</v>
      </c>
      <c r="O159" s="56" t="str">
        <f t="shared" si="17"/>
        <v>{{吊装平台_回填}}</v>
      </c>
      <c r="P159" s="56" t="str">
        <f t="shared" si="18"/>
        <v>{{吊装平台_弃土}}</v>
      </c>
    </row>
    <row r="160" spans="1:16" ht="20.100000000000001" customHeight="1" x14ac:dyDescent="0.15">
      <c r="A160" s="114">
        <v>5</v>
      </c>
      <c r="B160" s="116" t="s">
        <v>407</v>
      </c>
      <c r="C160" s="117">
        <f>A8</f>
        <v>15000</v>
      </c>
      <c r="D160" s="117">
        <f>B8</f>
        <v>10000</v>
      </c>
      <c r="E160" s="115">
        <f>C160-D160</f>
        <v>5000</v>
      </c>
      <c r="L160" s="114">
        <v>5</v>
      </c>
      <c r="M160" s="116" t="s">
        <v>407</v>
      </c>
      <c r="N160" s="56" t="str">
        <f t="shared" si="16"/>
        <v>{{集电线路_开挖}}</v>
      </c>
      <c r="O160" s="56" t="str">
        <f t="shared" si="17"/>
        <v>{{集电线路_回填}}</v>
      </c>
      <c r="P160" s="56" t="str">
        <f t="shared" si="18"/>
        <v>{{集电线路_弃土}}</v>
      </c>
    </row>
    <row r="161" spans="1:18" ht="20.100000000000001" customHeight="1" thickBot="1" x14ac:dyDescent="0.2">
      <c r="A161" s="118">
        <v>6</v>
      </c>
      <c r="B161" s="248" t="s">
        <v>408</v>
      </c>
      <c r="C161" s="119">
        <f>SUM(C156:C160)</f>
        <v>354914.7066608413</v>
      </c>
      <c r="D161" s="119">
        <f>SUM(D156:D160)</f>
        <v>101731.11605807937</v>
      </c>
      <c r="E161" s="120">
        <f t="shared" ref="E160:E161" si="19">C161-D161</f>
        <v>253183.59060276195</v>
      </c>
      <c r="L161" s="118">
        <v>6</v>
      </c>
      <c r="M161" s="248" t="s">
        <v>408</v>
      </c>
      <c r="N161" s="56" t="str">
        <f t="shared" si="16"/>
        <v>{{合计_开挖}}</v>
      </c>
      <c r="O161" s="56" t="str">
        <f>"{{"&amp;M161&amp;"_回填}}"</f>
        <v>{{合计_回填}}</v>
      </c>
      <c r="P161" s="56" t="str">
        <f t="shared" si="18"/>
        <v>{{合计_弃土}}</v>
      </c>
    </row>
    <row r="162" spans="1:18" ht="20.100000000000001" customHeight="1" x14ac:dyDescent="0.15"/>
    <row r="163" spans="1:18" ht="20.100000000000001" customHeight="1" x14ac:dyDescent="0.15"/>
    <row r="164" spans="1:18" ht="20.100000000000001" customHeight="1" thickBot="1" x14ac:dyDescent="0.2">
      <c r="A164" s="2" t="s">
        <v>277</v>
      </c>
    </row>
    <row r="165" spans="1:18" ht="20.100000000000001" customHeight="1" x14ac:dyDescent="0.15">
      <c r="A165" s="129" t="s">
        <v>276</v>
      </c>
      <c r="B165" s="112" t="s">
        <v>283</v>
      </c>
      <c r="C165" s="112" t="s">
        <v>279</v>
      </c>
      <c r="D165" s="112" t="s">
        <v>284</v>
      </c>
      <c r="E165" s="112" t="s">
        <v>281</v>
      </c>
      <c r="F165" s="112" t="s">
        <v>282</v>
      </c>
      <c r="G165" s="113" t="s">
        <v>280</v>
      </c>
      <c r="L165" s="129" t="s">
        <v>12</v>
      </c>
      <c r="M165" s="112" t="s">
        <v>283</v>
      </c>
      <c r="N165" s="112" t="s">
        <v>279</v>
      </c>
      <c r="O165" s="112" t="s">
        <v>284</v>
      </c>
      <c r="P165" s="112" t="s">
        <v>281</v>
      </c>
      <c r="Q165" s="112" t="s">
        <v>282</v>
      </c>
      <c r="R165" s="113" t="s">
        <v>280</v>
      </c>
    </row>
    <row r="166" spans="1:18" ht="20.100000000000001" customHeight="1" thickBot="1" x14ac:dyDescent="0.2">
      <c r="A166" s="130">
        <v>1</v>
      </c>
      <c r="B166" s="131">
        <f>(INT(E161/100000)+1)*10000</f>
        <v>30000</v>
      </c>
      <c r="C166" s="131">
        <f>(INT(E161/100000)+1)*100000</f>
        <v>300000</v>
      </c>
      <c r="D166" s="131">
        <f>B166*1.25</f>
        <v>37500</v>
      </c>
      <c r="E166" s="131">
        <f>(INT(E161/100000)+1)*500*0.75</f>
        <v>1125</v>
      </c>
      <c r="F166" s="131">
        <f>(INT(E161/100000)+1)*480*0.35</f>
        <v>503.99999999999994</v>
      </c>
      <c r="G166" s="132">
        <f>(INT(E161/100000)+1)*4.75*80</f>
        <v>1140</v>
      </c>
      <c r="L166" s="130">
        <v>1</v>
      </c>
      <c r="M166" s="131" t="str">
        <f>"{{弃渣场_"&amp;M165&amp;"}}"</f>
        <v>{{弃渣场_面积（m2）}}</v>
      </c>
      <c r="N166" s="131" t="str">
        <f t="shared" ref="N166:R166" si="20">"{{弃渣场_"&amp;N165&amp;"}}"</f>
        <v>{{弃渣场_容量（m3）}}</v>
      </c>
      <c r="O166" s="131" t="str">
        <f t="shared" si="20"/>
        <v>{{弃渣场_喷播植草（m2）}}</v>
      </c>
      <c r="P166" s="131" t="str">
        <f t="shared" si="20"/>
        <v>{{弃渣场_截水沟（m）}}</v>
      </c>
      <c r="Q166" s="131" t="str">
        <f t="shared" si="20"/>
        <v>{{弃渣场_排水沟（m）}}</v>
      </c>
      <c r="R166" s="131" t="str">
        <f t="shared" si="20"/>
        <v>{{弃渣场_M7.5挡土墙（m3）}}</v>
      </c>
    </row>
    <row r="167" spans="1:18" ht="20.100000000000001" customHeight="1" x14ac:dyDescent="0.15"/>
    <row r="168" spans="1:18" ht="20.100000000000001" customHeight="1" x14ac:dyDescent="0.15"/>
    <row r="169" spans="1:18" ht="20.100000000000001" customHeight="1" thickBot="1" x14ac:dyDescent="0.2">
      <c r="A169" s="2" t="s">
        <v>264</v>
      </c>
    </row>
    <row r="170" spans="1:18" ht="20.100000000000001" customHeight="1" x14ac:dyDescent="0.15">
      <c r="A170" s="121" t="s">
        <v>263</v>
      </c>
      <c r="B170" s="58" t="s">
        <v>0</v>
      </c>
      <c r="C170" s="107" t="s">
        <v>257</v>
      </c>
      <c r="D170" s="61" t="s">
        <v>3</v>
      </c>
    </row>
    <row r="171" spans="1:18" ht="20.100000000000001" customHeight="1" x14ac:dyDescent="0.15">
      <c r="A171" s="25">
        <v>1</v>
      </c>
      <c r="B171" s="122" t="s">
        <v>255</v>
      </c>
      <c r="C171" s="123">
        <f t="array" ref="C171">VLOOKUP($A$2&amp;$B$2&amp;$E$2&amp;$F$2,IF({1,0},风机基础数据!A$17:A$88&amp;风机基础数据!B$17:B$88&amp;风机基础数据!C$17:C$88&amp;风机基础数据!D$17:D$88,风机基础数据!O$17:O$88),2,0)</f>
        <v>330.06357816777762</v>
      </c>
      <c r="D171" s="27"/>
    </row>
    <row r="172" spans="1:18" ht="20.100000000000001" customHeight="1" x14ac:dyDescent="0.15">
      <c r="A172" s="25">
        <v>2</v>
      </c>
      <c r="B172" s="122" t="s">
        <v>254</v>
      </c>
      <c r="C172" s="123">
        <f>VLOOKUP($C$2,风机基础数据!$A$98:$P$105,15)</f>
        <v>27</v>
      </c>
      <c r="D172" s="27"/>
    </row>
    <row r="173" spans="1:18" ht="20.100000000000001" customHeight="1" x14ac:dyDescent="0.15">
      <c r="A173" s="25">
        <v>3</v>
      </c>
      <c r="B173" s="26" t="s">
        <v>253</v>
      </c>
      <c r="C173" s="123">
        <f t="array" ref="C173">VLOOKUP($H$5&amp;$I$5&amp;$J$5,IF({1,0},升压站基础数据!A$15:A$30&amp;升压站基础数据!B$15:B$30&amp;升压站基础数据!C$15:C$30,升压站基础数据!G$15:G$30),2,0)</f>
        <v>12305.512999999999</v>
      </c>
      <c r="D173" s="124" t="s">
        <v>256</v>
      </c>
    </row>
    <row r="174" spans="1:18" ht="20.100000000000001" customHeight="1" thickBot="1" x14ac:dyDescent="0.2">
      <c r="A174" s="106">
        <v>4</v>
      </c>
      <c r="B174" s="29" t="s">
        <v>242</v>
      </c>
      <c r="C174" s="125">
        <f>SUM(C171:C173)</f>
        <v>12662.576578167776</v>
      </c>
      <c r="D174" s="126">
        <f>C174/666.667</f>
        <v>18.993855370323978</v>
      </c>
    </row>
    <row r="175" spans="1:18" ht="20.100000000000001" customHeight="1" x14ac:dyDescent="0.15"/>
    <row r="176" spans="1:18" ht="20.100000000000001" customHeight="1" x14ac:dyDescent="0.15"/>
    <row r="177" spans="1:5" ht="20.100000000000001" customHeight="1" thickBot="1" x14ac:dyDescent="0.2">
      <c r="A177" s="2" t="s">
        <v>265</v>
      </c>
    </row>
    <row r="178" spans="1:5" ht="20.100000000000001" customHeight="1" x14ac:dyDescent="0.15">
      <c r="A178" s="105" t="s">
        <v>85</v>
      </c>
      <c r="B178" s="58" t="s">
        <v>0</v>
      </c>
      <c r="C178" s="107" t="s">
        <v>252</v>
      </c>
      <c r="D178" s="61" t="s">
        <v>3</v>
      </c>
    </row>
    <row r="179" spans="1:5" ht="20.100000000000001" customHeight="1" x14ac:dyDescent="0.15">
      <c r="A179" s="25">
        <v>1</v>
      </c>
      <c r="B179" s="26" t="s">
        <v>266</v>
      </c>
      <c r="C179" s="108">
        <f>D151</f>
        <v>10500</v>
      </c>
      <c r="D179" s="27"/>
    </row>
    <row r="180" spans="1:5" ht="20.100000000000001" customHeight="1" x14ac:dyDescent="0.15">
      <c r="A180" s="25">
        <v>2</v>
      </c>
      <c r="B180" s="26" t="s">
        <v>267</v>
      </c>
      <c r="C180" s="127">
        <f>D2*D136-C171-C172</f>
        <v>26642.936421832223</v>
      </c>
      <c r="D180" s="27"/>
    </row>
    <row r="181" spans="1:5" ht="20.100000000000001" customHeight="1" x14ac:dyDescent="0.15">
      <c r="A181" s="25">
        <v>3</v>
      </c>
      <c r="B181" s="26" t="s">
        <v>268</v>
      </c>
      <c r="C181" s="108">
        <f>E101*2.5*1000+E122*(VLOOKUP($A$5,道路基础数据!$A$16:$AJ$23,36))</f>
        <v>132500</v>
      </c>
      <c r="D181" s="27"/>
    </row>
    <row r="182" spans="1:5" ht="20.100000000000001" customHeight="1" x14ac:dyDescent="0.15">
      <c r="A182" s="25">
        <v>4</v>
      </c>
      <c r="B182" s="26" t="s">
        <v>269</v>
      </c>
      <c r="C182" s="108">
        <f>(INT(E161/100000)+1)*10000</f>
        <v>30000</v>
      </c>
      <c r="D182" s="27"/>
    </row>
    <row r="183" spans="1:5" ht="20.100000000000001" customHeight="1" x14ac:dyDescent="0.15">
      <c r="A183" s="25">
        <v>5</v>
      </c>
      <c r="B183" s="26" t="s">
        <v>270</v>
      </c>
      <c r="C183" s="108">
        <f>E110*(VLOOKUP($A$5,道路基础数据!$A$16:$AJ$23,36))</f>
        <v>18000</v>
      </c>
      <c r="D183" s="27"/>
    </row>
    <row r="184" spans="1:5" ht="20.100000000000001" customHeight="1" x14ac:dyDescent="0.15">
      <c r="A184" s="25">
        <v>6</v>
      </c>
      <c r="B184" s="122" t="s">
        <v>273</v>
      </c>
      <c r="C184" s="108">
        <f>C8</f>
        <v>1500</v>
      </c>
      <c r="D184" s="27"/>
    </row>
    <row r="185" spans="1:5" ht="20.100000000000001" customHeight="1" x14ac:dyDescent="0.15">
      <c r="A185" s="25">
        <v>7</v>
      </c>
      <c r="B185" s="26" t="s">
        <v>271</v>
      </c>
      <c r="C185" s="108">
        <f>D8</f>
        <v>3000</v>
      </c>
      <c r="D185" s="27"/>
    </row>
    <row r="186" spans="1:5" ht="20.100000000000001" customHeight="1" thickBot="1" x14ac:dyDescent="0.2">
      <c r="A186" s="106">
        <v>8</v>
      </c>
      <c r="B186" s="29" t="s">
        <v>242</v>
      </c>
      <c r="C186" s="128">
        <f>SUM(C179:C185)</f>
        <v>222142.93642183222</v>
      </c>
      <c r="D186" s="126">
        <f>C186/666.667</f>
        <v>333.2142380256293</v>
      </c>
    </row>
    <row r="187" spans="1:5" ht="20.100000000000001" customHeight="1" x14ac:dyDescent="0.15"/>
    <row r="188" spans="1:5" ht="20.100000000000001" customHeight="1" x14ac:dyDescent="0.15"/>
    <row r="189" spans="1:5" ht="20.100000000000001" customHeight="1" thickBot="1" x14ac:dyDescent="0.2">
      <c r="A189" s="14" t="s">
        <v>285</v>
      </c>
      <c r="B189" s="24"/>
      <c r="C189" s="24"/>
      <c r="D189" s="24"/>
      <c r="E189" s="24"/>
    </row>
    <row r="190" spans="1:5" ht="20.100000000000001" customHeight="1" x14ac:dyDescent="0.15">
      <c r="A190" s="121" t="s">
        <v>276</v>
      </c>
      <c r="B190" s="58" t="s">
        <v>0</v>
      </c>
      <c r="C190" s="58" t="s">
        <v>1</v>
      </c>
      <c r="D190" s="107" t="s">
        <v>286</v>
      </c>
      <c r="E190" s="61" t="s">
        <v>3</v>
      </c>
    </row>
    <row r="191" spans="1:5" ht="20.100000000000001" customHeight="1" x14ac:dyDescent="0.15">
      <c r="A191" s="25">
        <v>1</v>
      </c>
      <c r="B191" s="26" t="s">
        <v>287</v>
      </c>
      <c r="C191" s="26" t="s">
        <v>288</v>
      </c>
      <c r="D191" s="108">
        <f>D2</f>
        <v>15</v>
      </c>
      <c r="E191" s="27"/>
    </row>
    <row r="192" spans="1:5" ht="20.100000000000001" customHeight="1" x14ac:dyDescent="0.15">
      <c r="A192" s="25">
        <v>2</v>
      </c>
      <c r="B192" s="26" t="s">
        <v>289</v>
      </c>
      <c r="C192" s="26" t="s">
        <v>290</v>
      </c>
      <c r="D192" s="123">
        <f>D83+D84+D85</f>
        <v>2197.2399999999998</v>
      </c>
      <c r="E192" s="27"/>
    </row>
    <row r="193" spans="1:5" ht="20.100000000000001" customHeight="1" x14ac:dyDescent="0.15">
      <c r="A193" s="25">
        <v>3</v>
      </c>
      <c r="B193" s="26" t="s">
        <v>291</v>
      </c>
      <c r="C193" s="26" t="s">
        <v>288</v>
      </c>
      <c r="D193" s="108">
        <f>K5</f>
        <v>2</v>
      </c>
      <c r="E193" s="27"/>
    </row>
    <row r="194" spans="1:5" ht="20.100000000000001" customHeight="1" x14ac:dyDescent="0.15">
      <c r="A194" s="25">
        <v>4</v>
      </c>
      <c r="B194" s="122" t="s">
        <v>296</v>
      </c>
      <c r="C194" s="122" t="s">
        <v>299</v>
      </c>
      <c r="D194" s="108">
        <f>E8</f>
        <v>20</v>
      </c>
      <c r="E194" s="27"/>
    </row>
    <row r="195" spans="1:5" ht="20.100000000000001" customHeight="1" x14ac:dyDescent="0.15">
      <c r="A195" s="25">
        <v>5</v>
      </c>
      <c r="B195" s="122" t="s">
        <v>297</v>
      </c>
      <c r="C195" s="122" t="s">
        <v>298</v>
      </c>
      <c r="D195" s="108">
        <f>F8</f>
        <v>2</v>
      </c>
      <c r="E195" s="27"/>
    </row>
    <row r="196" spans="1:5" ht="20.100000000000001" customHeight="1" x14ac:dyDescent="0.15">
      <c r="A196" s="25">
        <v>6</v>
      </c>
      <c r="B196" s="26" t="s">
        <v>292</v>
      </c>
      <c r="C196" s="26" t="s">
        <v>293</v>
      </c>
      <c r="D196" s="135">
        <f>C161/10000</f>
        <v>35.491470666084133</v>
      </c>
      <c r="E196" s="27"/>
    </row>
    <row r="197" spans="1:5" ht="20.100000000000001" customHeight="1" x14ac:dyDescent="0.15">
      <c r="A197" s="25">
        <v>7</v>
      </c>
      <c r="B197" s="26" t="s">
        <v>7</v>
      </c>
      <c r="C197" s="26" t="s">
        <v>293</v>
      </c>
      <c r="D197" s="135">
        <f>D161/10000</f>
        <v>10.173111605807936</v>
      </c>
      <c r="E197" s="27"/>
    </row>
    <row r="198" spans="1:5" ht="20.100000000000001" customHeight="1" x14ac:dyDescent="0.15">
      <c r="A198" s="25">
        <v>8</v>
      </c>
      <c r="B198" s="26" t="s">
        <v>294</v>
      </c>
      <c r="C198" s="26" t="s">
        <v>293</v>
      </c>
      <c r="D198" s="135">
        <f>(E50+E51+E57+E65+E66+D87+D88+D90+D91+D93+E115*0.2+E127*0.2)/10000</f>
        <v>1.2135933102761951</v>
      </c>
      <c r="E198" s="27"/>
    </row>
    <row r="199" spans="1:5" ht="20.100000000000001" customHeight="1" x14ac:dyDescent="0.15">
      <c r="A199" s="25">
        <v>9</v>
      </c>
      <c r="B199" s="26" t="s">
        <v>9</v>
      </c>
      <c r="C199" s="26" t="s">
        <v>10</v>
      </c>
      <c r="D199" s="135">
        <f>E52+E68+D89+D92+D96</f>
        <v>919.21037699350632</v>
      </c>
      <c r="E199" s="27"/>
    </row>
    <row r="200" spans="1:5" ht="20.100000000000001" customHeight="1" thickBot="1" x14ac:dyDescent="0.2">
      <c r="A200" s="106">
        <v>10</v>
      </c>
      <c r="B200" s="29" t="s">
        <v>295</v>
      </c>
      <c r="C200" s="29" t="s">
        <v>293</v>
      </c>
      <c r="D200" s="136">
        <f>(E107+E108+E117+E118+E129+E130+E140+E141+E166+F166+G166)/10000</f>
        <v>1.5841499999999999</v>
      </c>
      <c r="E200" s="30"/>
    </row>
    <row r="201" spans="1:5" ht="20.100000000000001" customHeight="1" x14ac:dyDescent="0.15"/>
    <row r="202" spans="1:5" ht="20.100000000000001" customHeight="1" x14ac:dyDescent="0.15"/>
    <row r="203" spans="1:5" ht="20.100000000000001" customHeight="1" x14ac:dyDescent="0.15"/>
    <row r="204" spans="1:5" ht="20.100000000000001" customHeight="1" x14ac:dyDescent="0.15"/>
    <row r="205" spans="1:5" ht="20.100000000000001" customHeight="1" x14ac:dyDescent="0.15"/>
    <row r="206" spans="1:5" ht="20.100000000000001" customHeight="1" x14ac:dyDescent="0.15"/>
    <row r="207" spans="1:5" ht="20.100000000000001" customHeight="1" x14ac:dyDescent="0.15"/>
    <row r="208" spans="1:5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  <row r="258" ht="20.100000000000001" customHeight="1" x14ac:dyDescent="0.15"/>
    <row r="259" ht="20.100000000000001" customHeight="1" x14ac:dyDescent="0.15"/>
    <row r="260" ht="20.100000000000001" customHeight="1" x14ac:dyDescent="0.15"/>
    <row r="261" ht="20.100000000000001" customHeight="1" x14ac:dyDescent="0.15"/>
    <row r="262" ht="20.100000000000001" customHeight="1" x14ac:dyDescent="0.15"/>
    <row r="263" ht="20.100000000000001" customHeight="1" x14ac:dyDescent="0.15"/>
    <row r="264" ht="20.100000000000001" customHeight="1" x14ac:dyDescent="0.15"/>
    <row r="265" ht="20.100000000000001" customHeight="1" x14ac:dyDescent="0.15"/>
    <row r="266" ht="20.100000000000001" customHeight="1" x14ac:dyDescent="0.15"/>
    <row r="267" ht="20.100000000000001" customHeight="1" x14ac:dyDescent="0.15"/>
    <row r="268" ht="20.100000000000001" customHeight="1" x14ac:dyDescent="0.15"/>
    <row r="269" ht="20.100000000000001" customHeight="1" x14ac:dyDescent="0.15"/>
    <row r="270" ht="20.100000000000001" customHeight="1" x14ac:dyDescent="0.15"/>
    <row r="271" ht="20.100000000000001" customHeight="1" x14ac:dyDescent="0.15"/>
    <row r="272" ht="20.100000000000001" customHeight="1" x14ac:dyDescent="0.15"/>
    <row r="273" ht="20.100000000000001" customHeight="1" x14ac:dyDescent="0.15"/>
    <row r="274" ht="20.100000000000001" customHeight="1" x14ac:dyDescent="0.15"/>
    <row r="275" ht="20.100000000000001" customHeight="1" x14ac:dyDescent="0.15"/>
    <row r="276" ht="20.100000000000001" customHeight="1" x14ac:dyDescent="0.15"/>
    <row r="277" ht="20.100000000000001" customHeight="1" x14ac:dyDescent="0.15"/>
    <row r="278" ht="20.100000000000001" customHeight="1" x14ac:dyDescent="0.15"/>
    <row r="279" ht="20.100000000000001" customHeight="1" x14ac:dyDescent="0.15"/>
    <row r="280" ht="20.100000000000001" customHeight="1" x14ac:dyDescent="0.15"/>
    <row r="281" ht="20.100000000000001" customHeight="1" x14ac:dyDescent="0.15"/>
    <row r="282" ht="20.100000000000001" customHeight="1" x14ac:dyDescent="0.15"/>
    <row r="283" ht="20.100000000000001" customHeight="1" x14ac:dyDescent="0.15"/>
    <row r="284" ht="20.100000000000001" customHeight="1" x14ac:dyDescent="0.15"/>
    <row r="285" ht="20.100000000000001" customHeight="1" x14ac:dyDescent="0.15"/>
    <row r="286" ht="20.100000000000001" customHeight="1" x14ac:dyDescent="0.15"/>
    <row r="287" ht="20.100000000000001" customHeight="1" x14ac:dyDescent="0.15"/>
    <row r="288" ht="20.100000000000001" customHeight="1" x14ac:dyDescent="0.15"/>
    <row r="289" ht="20.100000000000001" customHeight="1" x14ac:dyDescent="0.15"/>
    <row r="290" ht="20.100000000000001" customHeight="1" x14ac:dyDescent="0.15"/>
    <row r="291" ht="20.100000000000001" customHeight="1" x14ac:dyDescent="0.15"/>
    <row r="292" ht="20.100000000000001" customHeight="1" x14ac:dyDescent="0.15"/>
    <row r="293" ht="20.100000000000001" customHeight="1" x14ac:dyDescent="0.15"/>
    <row r="294" ht="20.100000000000001" customHeight="1" x14ac:dyDescent="0.15"/>
    <row r="295" ht="20.100000000000001" customHeight="1" x14ac:dyDescent="0.15"/>
    <row r="296" ht="20.100000000000001" customHeight="1" x14ac:dyDescent="0.15"/>
    <row r="297" ht="20.100000000000001" customHeight="1" x14ac:dyDescent="0.15"/>
    <row r="298" ht="20.100000000000001" customHeight="1" x14ac:dyDescent="0.15"/>
    <row r="299" ht="20.100000000000001" customHeight="1" x14ac:dyDescent="0.15"/>
    <row r="300" ht="20.100000000000001" customHeight="1" x14ac:dyDescent="0.15"/>
    <row r="301" ht="20.100000000000001" customHeight="1" x14ac:dyDescent="0.15"/>
    <row r="302" ht="20.100000000000001" customHeight="1" x14ac:dyDescent="0.15"/>
    <row r="303" ht="20.100000000000001" customHeight="1" x14ac:dyDescent="0.15"/>
    <row r="304" ht="20.100000000000001" customHeight="1" x14ac:dyDescent="0.15"/>
    <row r="305" ht="20.100000000000001" customHeight="1" x14ac:dyDescent="0.15"/>
    <row r="306" ht="20.100000000000001" customHeight="1" x14ac:dyDescent="0.15"/>
    <row r="307" ht="20.100000000000001" customHeight="1" x14ac:dyDescent="0.15"/>
    <row r="308" ht="20.100000000000001" customHeight="1" x14ac:dyDescent="0.15"/>
    <row r="309" ht="20.100000000000001" customHeight="1" x14ac:dyDescent="0.15"/>
    <row r="310" ht="20.100000000000001" customHeight="1" x14ac:dyDescent="0.15"/>
    <row r="311" ht="20.100000000000001" customHeight="1" x14ac:dyDescent="0.15"/>
    <row r="312" ht="20.100000000000001" customHeight="1" x14ac:dyDescent="0.15"/>
    <row r="313" ht="20.100000000000001" customHeight="1" x14ac:dyDescent="0.15"/>
    <row r="314" ht="20.100000000000001" customHeight="1" x14ac:dyDescent="0.15"/>
    <row r="315" ht="20.100000000000001" customHeight="1" x14ac:dyDescent="0.15"/>
    <row r="316" ht="20.100000000000001" customHeight="1" x14ac:dyDescent="0.15"/>
    <row r="317" ht="20.100000000000001" customHeight="1" x14ac:dyDescent="0.15"/>
    <row r="318" ht="20.100000000000001" customHeight="1" x14ac:dyDescent="0.15"/>
    <row r="319" ht="20.100000000000001" customHeight="1" x14ac:dyDescent="0.15"/>
    <row r="320" ht="20.100000000000001" customHeight="1" x14ac:dyDescent="0.15"/>
    <row r="321" ht="20.100000000000001" customHeight="1" x14ac:dyDescent="0.15"/>
    <row r="322" ht="20.100000000000001" customHeight="1" x14ac:dyDescent="0.15"/>
    <row r="323" ht="20.100000000000001" customHeight="1" x14ac:dyDescent="0.15"/>
    <row r="324" ht="20.100000000000001" customHeight="1" x14ac:dyDescent="0.15"/>
    <row r="325" ht="20.100000000000001" customHeight="1" x14ac:dyDescent="0.15"/>
    <row r="326" ht="20.100000000000001" customHeight="1" x14ac:dyDescent="0.15"/>
    <row r="327" ht="20.100000000000001" customHeight="1" x14ac:dyDescent="0.15"/>
    <row r="328" ht="20.100000000000001" customHeight="1" x14ac:dyDescent="0.15"/>
    <row r="329" ht="20.100000000000001" customHeight="1" x14ac:dyDescent="0.15"/>
    <row r="330" ht="20.100000000000001" customHeight="1" x14ac:dyDescent="0.15"/>
    <row r="331" ht="20.100000000000001" customHeight="1" x14ac:dyDescent="0.15"/>
    <row r="332" ht="20.100000000000001" customHeight="1" x14ac:dyDescent="0.15"/>
    <row r="333" ht="20.100000000000001" customHeight="1" x14ac:dyDescent="0.15"/>
    <row r="334" ht="20.100000000000001" customHeight="1" x14ac:dyDescent="0.15"/>
    <row r="335" ht="20.100000000000001" customHeight="1" x14ac:dyDescent="0.15"/>
    <row r="336" ht="20.100000000000001" customHeight="1" x14ac:dyDescent="0.15"/>
    <row r="337" ht="20.100000000000001" customHeight="1" x14ac:dyDescent="0.15"/>
    <row r="338" ht="20.100000000000001" customHeight="1" x14ac:dyDescent="0.15"/>
    <row r="339" ht="20.100000000000001" customHeight="1" x14ac:dyDescent="0.15"/>
    <row r="340" ht="20.100000000000001" customHeight="1" x14ac:dyDescent="0.15"/>
    <row r="341" ht="20.100000000000001" customHeight="1" x14ac:dyDescent="0.15"/>
    <row r="342" ht="20.100000000000001" customHeight="1" x14ac:dyDescent="0.15"/>
    <row r="343" ht="20.100000000000001" customHeight="1" x14ac:dyDescent="0.15"/>
    <row r="344" ht="20.100000000000001" customHeight="1" x14ac:dyDescent="0.15"/>
    <row r="345" ht="20.100000000000001" customHeight="1" x14ac:dyDescent="0.15"/>
    <row r="346" ht="20.100000000000001" customHeight="1" x14ac:dyDescent="0.15"/>
    <row r="347" ht="20.100000000000001" customHeight="1" x14ac:dyDescent="0.15"/>
    <row r="348" ht="20.100000000000001" customHeight="1" x14ac:dyDescent="0.15"/>
    <row r="349" ht="20.100000000000001" customHeight="1" x14ac:dyDescent="0.15"/>
    <row r="350" ht="20.100000000000001" customHeight="1" x14ac:dyDescent="0.15"/>
    <row r="351" ht="20.100000000000001" customHeight="1" x14ac:dyDescent="0.15"/>
    <row r="352" ht="20.100000000000001" customHeight="1" x14ac:dyDescent="0.15"/>
    <row r="353" ht="20.100000000000001" customHeight="1" x14ac:dyDescent="0.15"/>
    <row r="354" ht="20.100000000000001" customHeight="1" x14ac:dyDescent="0.15"/>
    <row r="355" ht="20.100000000000001" customHeight="1" x14ac:dyDescent="0.15"/>
    <row r="356" ht="20.100000000000001" customHeight="1" x14ac:dyDescent="0.15"/>
    <row r="357" ht="20.100000000000001" customHeight="1" x14ac:dyDescent="0.15"/>
    <row r="358" ht="20.100000000000001" customHeight="1" x14ac:dyDescent="0.15"/>
    <row r="359" ht="20.100000000000001" customHeight="1" x14ac:dyDescent="0.15"/>
    <row r="360" ht="20.100000000000001" customHeight="1" x14ac:dyDescent="0.15"/>
    <row r="361" ht="20.100000000000001" customHeight="1" x14ac:dyDescent="0.15"/>
    <row r="362" ht="20.100000000000001" customHeight="1" x14ac:dyDescent="0.15"/>
    <row r="363" ht="20.100000000000001" customHeight="1" x14ac:dyDescent="0.15"/>
    <row r="364" ht="20.100000000000001" customHeight="1" x14ac:dyDescent="0.15"/>
    <row r="365" ht="20.100000000000001" customHeight="1" x14ac:dyDescent="0.15"/>
    <row r="366" ht="20.100000000000001" customHeight="1" x14ac:dyDescent="0.15"/>
    <row r="367" ht="20.100000000000001" customHeight="1" x14ac:dyDescent="0.15"/>
    <row r="368" ht="20.100000000000001" customHeight="1" x14ac:dyDescent="0.15"/>
    <row r="369" ht="20.100000000000001" customHeight="1" x14ac:dyDescent="0.15"/>
    <row r="370" ht="20.100000000000001" customHeight="1" x14ac:dyDescent="0.15"/>
    <row r="371" ht="20.100000000000001" customHeight="1" x14ac:dyDescent="0.15"/>
    <row r="372" ht="20.100000000000001" customHeight="1" x14ac:dyDescent="0.15"/>
    <row r="373" ht="20.100000000000001" customHeight="1" x14ac:dyDescent="0.15"/>
    <row r="374" ht="20.100000000000001" customHeight="1" x14ac:dyDescent="0.15"/>
    <row r="375" ht="20.100000000000001" customHeight="1" x14ac:dyDescent="0.15"/>
    <row r="376" ht="20.100000000000001" customHeight="1" x14ac:dyDescent="0.15"/>
    <row r="377" ht="20.100000000000001" customHeight="1" x14ac:dyDescent="0.15"/>
    <row r="378" ht="20.100000000000001" customHeight="1" x14ac:dyDescent="0.15"/>
    <row r="379" ht="20.100000000000001" customHeight="1" x14ac:dyDescent="0.15"/>
    <row r="380" ht="20.100000000000001" customHeight="1" x14ac:dyDescent="0.15"/>
    <row r="381" ht="20.100000000000001" customHeight="1" x14ac:dyDescent="0.15"/>
    <row r="382" ht="20.100000000000001" customHeight="1" x14ac:dyDescent="0.15"/>
    <row r="383" ht="20.100000000000001" customHeight="1" x14ac:dyDescent="0.15"/>
    <row r="384" ht="20.100000000000001" customHeight="1" x14ac:dyDescent="0.15"/>
    <row r="385" ht="20.100000000000001" customHeight="1" x14ac:dyDescent="0.15"/>
    <row r="386" ht="20.100000000000001" customHeight="1" x14ac:dyDescent="0.15"/>
    <row r="387" ht="20.100000000000001" customHeight="1" x14ac:dyDescent="0.15"/>
    <row r="388" ht="20.100000000000001" customHeight="1" x14ac:dyDescent="0.15"/>
    <row r="389" ht="20.100000000000001" customHeight="1" x14ac:dyDescent="0.15"/>
    <row r="390" ht="20.100000000000001" customHeight="1" x14ac:dyDescent="0.15"/>
    <row r="391" ht="20.100000000000001" customHeight="1" x14ac:dyDescent="0.15"/>
    <row r="392" ht="20.100000000000001" customHeight="1" x14ac:dyDescent="0.15"/>
    <row r="393" ht="20.100000000000001" customHeight="1" x14ac:dyDescent="0.15"/>
    <row r="394" ht="20.100000000000001" customHeight="1" x14ac:dyDescent="0.15"/>
    <row r="395" ht="20.100000000000001" customHeight="1" x14ac:dyDescent="0.15"/>
    <row r="396" ht="20.100000000000001" customHeight="1" x14ac:dyDescent="0.15"/>
    <row r="397" ht="20.100000000000001" customHeight="1" x14ac:dyDescent="0.15"/>
    <row r="398" ht="20.100000000000001" customHeight="1" x14ac:dyDescent="0.15"/>
    <row r="399" ht="20.100000000000001" customHeight="1" x14ac:dyDescent="0.15"/>
    <row r="400" ht="20.100000000000001" customHeight="1" x14ac:dyDescent="0.15"/>
    <row r="401" ht="20.100000000000001" customHeight="1" x14ac:dyDescent="0.15"/>
    <row r="402" ht="20.100000000000001" customHeight="1" x14ac:dyDescent="0.15"/>
    <row r="403" ht="20.100000000000001" customHeight="1" x14ac:dyDescent="0.15"/>
    <row r="404" ht="20.100000000000001" customHeight="1" x14ac:dyDescent="0.15"/>
    <row r="405" ht="20.100000000000001" customHeight="1" x14ac:dyDescent="0.15"/>
    <row r="406" ht="20.100000000000001" customHeight="1" x14ac:dyDescent="0.15"/>
    <row r="407" ht="20.100000000000001" customHeight="1" x14ac:dyDescent="0.15"/>
    <row r="408" ht="20.100000000000001" customHeight="1" x14ac:dyDescent="0.15"/>
    <row r="409" ht="20.100000000000001" customHeight="1" x14ac:dyDescent="0.15"/>
    <row r="410" ht="20.100000000000001" customHeight="1" x14ac:dyDescent="0.15"/>
    <row r="411" ht="20.100000000000001" customHeight="1" x14ac:dyDescent="0.15"/>
    <row r="412" ht="20.100000000000001" customHeight="1" x14ac:dyDescent="0.15"/>
    <row r="413" ht="20.100000000000001" customHeight="1" x14ac:dyDescent="0.15"/>
    <row r="414" ht="20.100000000000001" customHeight="1" x14ac:dyDescent="0.15"/>
    <row r="415" ht="20.100000000000001" customHeight="1" x14ac:dyDescent="0.15"/>
    <row r="416" ht="20.100000000000001" customHeight="1" x14ac:dyDescent="0.15"/>
    <row r="417" ht="20.100000000000001" customHeight="1" x14ac:dyDescent="0.15"/>
    <row r="418" ht="20.100000000000001" customHeight="1" x14ac:dyDescent="0.15"/>
    <row r="419" ht="20.100000000000001" customHeight="1" x14ac:dyDescent="0.15"/>
    <row r="420" ht="20.100000000000001" customHeight="1" x14ac:dyDescent="0.15"/>
    <row r="421" ht="20.100000000000001" customHeight="1" x14ac:dyDescent="0.15"/>
    <row r="422" ht="20.100000000000001" customHeight="1" x14ac:dyDescent="0.15"/>
    <row r="423" ht="20.100000000000001" customHeight="1" x14ac:dyDescent="0.15"/>
    <row r="424" ht="20.100000000000001" customHeight="1" x14ac:dyDescent="0.15"/>
    <row r="425" ht="20.100000000000001" customHeight="1" x14ac:dyDescent="0.15"/>
    <row r="426" ht="20.100000000000001" customHeight="1" x14ac:dyDescent="0.15"/>
    <row r="427" ht="20.100000000000001" customHeight="1" x14ac:dyDescent="0.15"/>
    <row r="428" ht="20.100000000000001" customHeight="1" x14ac:dyDescent="0.15"/>
    <row r="429" ht="20.100000000000001" customHeight="1" x14ac:dyDescent="0.15"/>
    <row r="430" ht="20.100000000000001" customHeight="1" x14ac:dyDescent="0.15"/>
    <row r="431" ht="20.100000000000001" customHeight="1" x14ac:dyDescent="0.15"/>
    <row r="432" ht="20.100000000000001" customHeight="1" x14ac:dyDescent="0.15"/>
    <row r="433" ht="20.100000000000001" customHeight="1" x14ac:dyDescent="0.15"/>
    <row r="434" ht="20.100000000000001" customHeight="1" x14ac:dyDescent="0.15"/>
    <row r="435" ht="20.100000000000001" customHeight="1" x14ac:dyDescent="0.15"/>
    <row r="436" ht="20.100000000000001" customHeight="1" x14ac:dyDescent="0.15"/>
    <row r="437" ht="20.100000000000001" customHeight="1" x14ac:dyDescent="0.15"/>
    <row r="438" ht="20.100000000000001" customHeight="1" x14ac:dyDescent="0.15"/>
    <row r="439" ht="20.100000000000001" customHeight="1" x14ac:dyDescent="0.15"/>
    <row r="440" ht="20.100000000000001" customHeight="1" x14ac:dyDescent="0.15"/>
    <row r="441" ht="20.100000000000001" customHeight="1" x14ac:dyDescent="0.15"/>
    <row r="442" ht="20.100000000000001" customHeight="1" x14ac:dyDescent="0.15"/>
    <row r="443" ht="20.100000000000001" customHeight="1" x14ac:dyDescent="0.15"/>
    <row r="444" ht="20.100000000000001" customHeight="1" x14ac:dyDescent="0.15"/>
    <row r="445" ht="20.100000000000001" customHeight="1" x14ac:dyDescent="0.15"/>
    <row r="446" ht="20.100000000000001" customHeight="1" x14ac:dyDescent="0.15"/>
    <row r="447" ht="20.100000000000001" customHeight="1" x14ac:dyDescent="0.15"/>
    <row r="448" ht="20.100000000000001" customHeight="1" x14ac:dyDescent="0.15"/>
    <row r="449" ht="20.100000000000001" customHeight="1" x14ac:dyDescent="0.15"/>
    <row r="450" ht="20.100000000000001" customHeight="1" x14ac:dyDescent="0.15"/>
    <row r="451" ht="20.100000000000001" customHeight="1" x14ac:dyDescent="0.15"/>
    <row r="452" ht="20.100000000000001" customHeight="1" x14ac:dyDescent="0.15"/>
    <row r="453" ht="20.100000000000001" customHeight="1" x14ac:dyDescent="0.15"/>
    <row r="454" ht="20.100000000000001" customHeight="1" x14ac:dyDescent="0.15"/>
    <row r="455" ht="20.100000000000001" customHeight="1" x14ac:dyDescent="0.15"/>
    <row r="456" ht="20.100000000000001" customHeight="1" x14ac:dyDescent="0.15"/>
    <row r="457" ht="20.100000000000001" customHeight="1" x14ac:dyDescent="0.15"/>
    <row r="458" ht="20.100000000000001" customHeight="1" x14ac:dyDescent="0.15"/>
    <row r="459" ht="20.100000000000001" customHeight="1" x14ac:dyDescent="0.15"/>
    <row r="460" ht="20.100000000000001" customHeight="1" x14ac:dyDescent="0.15"/>
    <row r="461" ht="20.100000000000001" customHeight="1" x14ac:dyDescent="0.15"/>
    <row r="462" ht="20.100000000000001" customHeight="1" x14ac:dyDescent="0.15"/>
    <row r="463" ht="20.100000000000001" customHeight="1" x14ac:dyDescent="0.15"/>
    <row r="464" ht="20.100000000000001" customHeight="1" x14ac:dyDescent="0.15"/>
    <row r="465" ht="20.100000000000001" customHeight="1" x14ac:dyDescent="0.15"/>
    <row r="466" ht="20.100000000000001" customHeight="1" x14ac:dyDescent="0.15"/>
    <row r="467" ht="20.100000000000001" customHeight="1" x14ac:dyDescent="0.15"/>
    <row r="468" ht="20.100000000000001" customHeight="1" x14ac:dyDescent="0.15"/>
    <row r="469" ht="20.100000000000001" customHeight="1" x14ac:dyDescent="0.15"/>
    <row r="470" ht="20.100000000000001" customHeight="1" x14ac:dyDescent="0.15"/>
    <row r="471" ht="20.100000000000001" customHeight="1" x14ac:dyDescent="0.15"/>
    <row r="472" ht="20.100000000000001" customHeight="1" x14ac:dyDescent="0.15"/>
    <row r="473" ht="20.100000000000001" customHeight="1" x14ac:dyDescent="0.15"/>
    <row r="474" ht="20.100000000000001" customHeight="1" x14ac:dyDescent="0.15"/>
    <row r="475" ht="20.100000000000001" customHeight="1" x14ac:dyDescent="0.15"/>
    <row r="476" ht="20.100000000000001" customHeight="1" x14ac:dyDescent="0.15"/>
    <row r="477" ht="20.100000000000001" customHeight="1" x14ac:dyDescent="0.15"/>
    <row r="478" ht="20.100000000000001" customHeight="1" x14ac:dyDescent="0.15"/>
    <row r="479" ht="20.100000000000001" customHeight="1" x14ac:dyDescent="0.15"/>
    <row r="480" ht="20.100000000000001" customHeight="1" x14ac:dyDescent="0.15"/>
    <row r="481" ht="20.100000000000001" customHeight="1" x14ac:dyDescent="0.15"/>
    <row r="482" ht="20.100000000000001" customHeight="1" x14ac:dyDescent="0.15"/>
    <row r="483" ht="20.100000000000001" customHeight="1" x14ac:dyDescent="0.15"/>
    <row r="484" ht="20.100000000000001" customHeight="1" x14ac:dyDescent="0.15"/>
    <row r="485" ht="20.100000000000001" customHeight="1" x14ac:dyDescent="0.15"/>
    <row r="486" ht="20.100000000000001" customHeight="1" x14ac:dyDescent="0.15"/>
    <row r="487" ht="20.100000000000001" customHeight="1" x14ac:dyDescent="0.15"/>
    <row r="488" ht="20.100000000000001" customHeight="1" x14ac:dyDescent="0.15"/>
    <row r="489" ht="20.100000000000001" customHeight="1" x14ac:dyDescent="0.15"/>
    <row r="490" ht="20.100000000000001" customHeight="1" x14ac:dyDescent="0.15"/>
    <row r="491" ht="20.100000000000001" customHeight="1" x14ac:dyDescent="0.15"/>
    <row r="492" ht="20.100000000000001" customHeight="1" x14ac:dyDescent="0.15"/>
    <row r="493" ht="20.100000000000001" customHeight="1" x14ac:dyDescent="0.15"/>
    <row r="494" ht="20.100000000000001" customHeight="1" x14ac:dyDescent="0.15"/>
    <row r="495" ht="20.100000000000001" customHeight="1" x14ac:dyDescent="0.15"/>
    <row r="496" ht="20.100000000000001" customHeight="1" x14ac:dyDescent="0.15"/>
    <row r="497" ht="20.100000000000001" customHeight="1" x14ac:dyDescent="0.15"/>
    <row r="498" ht="20.100000000000001" customHeight="1" x14ac:dyDescent="0.15"/>
    <row r="499" ht="20.100000000000001" customHeight="1" x14ac:dyDescent="0.15"/>
    <row r="500" ht="20.100000000000001" customHeight="1" x14ac:dyDescent="0.15"/>
    <row r="501" ht="20.100000000000001" customHeight="1" x14ac:dyDescent="0.15"/>
    <row r="502" ht="20.100000000000001" customHeight="1" x14ac:dyDescent="0.15"/>
    <row r="503" ht="20.100000000000001" customHeight="1" x14ac:dyDescent="0.15"/>
    <row r="504" ht="20.100000000000001" customHeight="1" x14ac:dyDescent="0.15"/>
    <row r="505" ht="20.100000000000001" customHeight="1" x14ac:dyDescent="0.15"/>
    <row r="506" ht="20.100000000000001" customHeight="1" x14ac:dyDescent="0.15"/>
    <row r="507" ht="20.100000000000001" customHeight="1" x14ac:dyDescent="0.15"/>
    <row r="508" ht="20.100000000000001" customHeight="1" x14ac:dyDescent="0.15"/>
    <row r="509" ht="20.100000000000001" customHeight="1" x14ac:dyDescent="0.15"/>
    <row r="510" ht="20.100000000000001" customHeight="1" x14ac:dyDescent="0.15"/>
    <row r="511" ht="20.100000000000001" customHeight="1" x14ac:dyDescent="0.15"/>
    <row r="512" ht="20.100000000000001" customHeight="1" x14ac:dyDescent="0.15"/>
    <row r="513" ht="20.100000000000001" customHeight="1" x14ac:dyDescent="0.15"/>
    <row r="514" ht="20.100000000000001" customHeight="1" x14ac:dyDescent="0.15"/>
    <row r="515" ht="20.100000000000001" customHeight="1" x14ac:dyDescent="0.15"/>
    <row r="516" ht="20.100000000000001" customHeight="1" x14ac:dyDescent="0.15"/>
    <row r="517" ht="20.100000000000001" customHeight="1" x14ac:dyDescent="0.15"/>
    <row r="518" ht="20.100000000000001" customHeight="1" x14ac:dyDescent="0.15"/>
    <row r="519" ht="20.100000000000001" customHeight="1" x14ac:dyDescent="0.15"/>
    <row r="520" ht="20.100000000000001" customHeight="1" x14ac:dyDescent="0.15"/>
    <row r="521" ht="20.100000000000001" customHeight="1" x14ac:dyDescent="0.15"/>
    <row r="522" ht="20.100000000000001" customHeight="1" x14ac:dyDescent="0.15"/>
    <row r="523" ht="20.100000000000001" customHeight="1" x14ac:dyDescent="0.15"/>
  </sheetData>
  <sheetProtection autoFilter="0"/>
  <dataConsolidate/>
  <mergeCells count="5">
    <mergeCell ref="A32:G32"/>
    <mergeCell ref="A37:G37"/>
    <mergeCell ref="A40:G40"/>
    <mergeCell ref="C30:D30"/>
    <mergeCell ref="E30:F30"/>
  </mergeCells>
  <phoneticPr fontId="5" type="noConversion"/>
  <pageMargins left="0.75" right="0.75" top="1" bottom="1" header="0.5" footer="0.5"/>
  <pageSetup paperSize="9" orientation="portrait" horizontalDpi="300" verticalDpi="4294967295" r:id="rId1"/>
  <headerFooter alignWithMargins="0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风机基础数据!$B$1:$B$4</xm:f>
          </x14:formula1>
          <xm:sqref>A2</xm:sqref>
        </x14:dataValidation>
        <x14:dataValidation type="list" allowBlank="1" showInputMessage="1" showErrorMessage="1" xr:uid="{00000000-0002-0000-0100-000001000000}">
          <x14:formula1>
            <xm:f>风机基础数据!$E$1:$E$11</xm:f>
          </x14:formula1>
          <xm:sqref>B2</xm:sqref>
        </x14:dataValidation>
        <x14:dataValidation type="list" allowBlank="1" showInputMessage="1" showErrorMessage="1" xr:uid="{00000000-0002-0000-0100-000002000000}">
          <x14:formula1>
            <xm:f>风机基础数据!$K$1:$K$7</xm:f>
          </x14:formula1>
          <xm:sqref>C2</xm:sqref>
        </x14:dataValidation>
        <x14:dataValidation type="list" allowBlank="1" showInputMessage="1" showErrorMessage="1" xr:uid="{00000000-0002-0000-0100-000003000000}">
          <x14:formula1>
            <xm:f>风机基础数据!$H$1:$H$4</xm:f>
          </x14:formula1>
          <xm:sqref>E2</xm:sqref>
        </x14:dataValidation>
        <x14:dataValidation type="list" allowBlank="1" showInputMessage="1" showErrorMessage="1" xr:uid="{00000000-0002-0000-0100-000004000000}">
          <x14:formula1>
            <xm:f>风机基础数据!$Q$1:$Q$10</xm:f>
          </x14:formula1>
          <xm:sqref>G2 E5</xm:sqref>
        </x14:dataValidation>
        <x14:dataValidation type="list" allowBlank="1" showInputMessage="1" showErrorMessage="1" xr:uid="{00000000-0002-0000-0100-000005000000}">
          <x14:formula1>
            <xm:f>道路基础数据!$B$1:$B$8</xm:f>
          </x14:formula1>
          <xm:sqref>A5</xm:sqref>
        </x14:dataValidation>
        <x14:dataValidation type="list" allowBlank="1" showInputMessage="1" showErrorMessage="1" xr:uid="{00000000-0002-0000-0100-000006000000}">
          <x14:formula1>
            <xm:f>道路基础数据!$H$1:$H$3</xm:f>
          </x14:formula1>
          <xm:sqref>G5</xm:sqref>
        </x14:dataValidation>
        <x14:dataValidation type="list" allowBlank="1" showInputMessage="1" showErrorMessage="1" xr:uid="{00000000-0002-0000-0100-000007000000}">
          <x14:formula1>
            <xm:f>道路基础数据!$E$1:$E$2</xm:f>
          </x14:formula1>
          <xm:sqref>H5</xm:sqref>
        </x14:dataValidation>
        <x14:dataValidation type="list" allowBlank="1" showInputMessage="1" showErrorMessage="1" xr:uid="{00000000-0002-0000-0100-000008000000}">
          <x14:formula1>
            <xm:f>升压站基础数据!$B$2:$B$3</xm:f>
          </x14:formula1>
          <xm:sqref>I5</xm:sqref>
        </x14:dataValidation>
        <x14:dataValidation type="list" allowBlank="1" showInputMessage="1" showErrorMessage="1" xr:uid="{00000000-0002-0000-0100-000009000000}">
          <x14:formula1>
            <xm:f>升压站基础数据!$C$2:$C$5</xm:f>
          </x14:formula1>
          <xm:sqref>J5</xm:sqref>
        </x14:dataValidation>
        <x14:dataValidation type="list" allowBlank="1" showInputMessage="1" showErrorMessage="1" xr:uid="{00000000-0002-0000-0100-00000A000000}">
          <x14:formula1>
            <xm:f>风机基础数据!$N$1:$N$8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5"/>
  <sheetViews>
    <sheetView topLeftCell="A13" zoomScale="85" zoomScaleNormal="85" workbookViewId="0">
      <selection activeCell="C20" sqref="C20"/>
    </sheetView>
  </sheetViews>
  <sheetFormatPr defaultRowHeight="14.25" x14ac:dyDescent="0.15"/>
  <cols>
    <col min="1" max="2" width="9" style="24"/>
    <col min="3" max="3" width="13.25" style="24" customWidth="1"/>
    <col min="4" max="4" width="12.875" style="24" customWidth="1"/>
    <col min="5" max="5" width="9" style="24"/>
    <col min="6" max="6" width="15.5" style="24" customWidth="1"/>
    <col min="7" max="9" width="9" style="24"/>
    <col min="10" max="10" width="11.75" style="24" customWidth="1"/>
    <col min="11" max="13" width="9" style="24"/>
    <col min="14" max="14" width="9.125" style="24" bestFit="1" customWidth="1"/>
    <col min="15" max="16" width="9.625" style="24" bestFit="1" customWidth="1"/>
    <col min="17" max="17" width="9.125" style="24" bestFit="1" customWidth="1"/>
    <col min="18" max="20" width="10.75" style="24" bestFit="1" customWidth="1"/>
    <col min="21" max="21" width="12.625" style="24" customWidth="1"/>
    <col min="22" max="22" width="11.75" style="24" customWidth="1"/>
    <col min="23" max="16384" width="9" style="24"/>
  </cols>
  <sheetData>
    <row r="1" spans="1:22" x14ac:dyDescent="0.15">
      <c r="A1" s="24" t="s">
        <v>19</v>
      </c>
      <c r="B1" s="24">
        <v>6</v>
      </c>
      <c r="D1" s="24" t="s">
        <v>20</v>
      </c>
      <c r="E1" s="24">
        <v>60</v>
      </c>
      <c r="G1" s="12" t="s">
        <v>22</v>
      </c>
      <c r="H1" s="12" t="s">
        <v>23</v>
      </c>
      <c r="J1" s="12" t="s">
        <v>15</v>
      </c>
      <c r="K1" s="24">
        <v>2</v>
      </c>
      <c r="M1" s="20" t="s">
        <v>17</v>
      </c>
      <c r="N1" s="14">
        <v>50000</v>
      </c>
      <c r="P1" s="24" t="s">
        <v>58</v>
      </c>
      <c r="Q1" s="171">
        <v>0.1</v>
      </c>
    </row>
    <row r="2" spans="1:22" x14ac:dyDescent="0.15">
      <c r="A2" s="24" t="s">
        <v>19</v>
      </c>
      <c r="B2" s="24">
        <v>7</v>
      </c>
      <c r="D2" s="24" t="s">
        <v>20</v>
      </c>
      <c r="E2" s="24">
        <v>80</v>
      </c>
      <c r="G2" s="12" t="s">
        <v>22</v>
      </c>
      <c r="H2" s="12" t="s">
        <v>37</v>
      </c>
      <c r="J2" s="12" t="s">
        <v>15</v>
      </c>
      <c r="K2" s="24">
        <v>2.2000000000000002</v>
      </c>
      <c r="M2" s="20" t="s">
        <v>17</v>
      </c>
      <c r="N2" s="14">
        <v>60000</v>
      </c>
      <c r="P2" s="24" t="s">
        <v>58</v>
      </c>
      <c r="Q2" s="171">
        <v>0.2</v>
      </c>
    </row>
    <row r="3" spans="1:22" x14ac:dyDescent="0.15">
      <c r="A3" s="24" t="s">
        <v>19</v>
      </c>
      <c r="B3" s="24">
        <v>8</v>
      </c>
      <c r="D3" s="24" t="s">
        <v>20</v>
      </c>
      <c r="E3" s="24">
        <v>100</v>
      </c>
      <c r="G3" s="12" t="s">
        <v>22</v>
      </c>
      <c r="H3" s="14" t="s">
        <v>38</v>
      </c>
      <c r="J3" s="12" t="s">
        <v>15</v>
      </c>
      <c r="K3" s="24">
        <v>2.5</v>
      </c>
      <c r="M3" s="20" t="s">
        <v>17</v>
      </c>
      <c r="N3" s="14">
        <v>70000</v>
      </c>
      <c r="P3" s="24" t="s">
        <v>58</v>
      </c>
      <c r="Q3" s="171">
        <v>0.3</v>
      </c>
    </row>
    <row r="4" spans="1:22" x14ac:dyDescent="0.15">
      <c r="A4" s="24" t="s">
        <v>19</v>
      </c>
      <c r="B4" s="24">
        <v>9</v>
      </c>
      <c r="D4" s="24" t="s">
        <v>20</v>
      </c>
      <c r="E4" s="24">
        <v>120</v>
      </c>
      <c r="G4" s="12" t="s">
        <v>22</v>
      </c>
      <c r="H4" s="12" t="s">
        <v>25</v>
      </c>
      <c r="J4" s="12" t="s">
        <v>15</v>
      </c>
      <c r="K4" s="24">
        <v>3</v>
      </c>
      <c r="M4" s="20" t="s">
        <v>17</v>
      </c>
      <c r="N4" s="14">
        <v>80000</v>
      </c>
      <c r="P4" s="24" t="s">
        <v>58</v>
      </c>
      <c r="Q4" s="171">
        <v>0.4</v>
      </c>
    </row>
    <row r="5" spans="1:22" x14ac:dyDescent="0.15">
      <c r="D5" s="24" t="s">
        <v>20</v>
      </c>
      <c r="E5" s="24">
        <v>140</v>
      </c>
      <c r="J5" s="12" t="s">
        <v>15</v>
      </c>
      <c r="K5" s="24">
        <v>3.2</v>
      </c>
      <c r="M5" s="20" t="s">
        <v>17</v>
      </c>
      <c r="N5" s="14">
        <v>90000</v>
      </c>
      <c r="P5" s="24" t="s">
        <v>58</v>
      </c>
      <c r="Q5" s="171">
        <v>0.5</v>
      </c>
    </row>
    <row r="6" spans="1:22" x14ac:dyDescent="0.15">
      <c r="D6" s="24" t="s">
        <v>20</v>
      </c>
      <c r="E6" s="24">
        <v>160</v>
      </c>
      <c r="J6" s="12" t="s">
        <v>15</v>
      </c>
      <c r="K6" s="24">
        <v>3.3</v>
      </c>
      <c r="M6" s="20" t="s">
        <v>17</v>
      </c>
      <c r="N6" s="14">
        <v>100000</v>
      </c>
      <c r="P6" s="24" t="s">
        <v>58</v>
      </c>
      <c r="Q6" s="171">
        <v>0.6</v>
      </c>
    </row>
    <row r="7" spans="1:22" x14ac:dyDescent="0.15">
      <c r="D7" s="24" t="s">
        <v>20</v>
      </c>
      <c r="E7" s="24">
        <v>180</v>
      </c>
      <c r="J7" s="12" t="s">
        <v>15</v>
      </c>
      <c r="K7" s="24">
        <v>3.4</v>
      </c>
      <c r="M7" s="20" t="s">
        <v>17</v>
      </c>
      <c r="N7" s="14">
        <v>110000</v>
      </c>
      <c r="P7" s="24" t="s">
        <v>58</v>
      </c>
      <c r="Q7" s="171">
        <v>0.7</v>
      </c>
    </row>
    <row r="8" spans="1:22" x14ac:dyDescent="0.15">
      <c r="D8" s="24" t="s">
        <v>20</v>
      </c>
      <c r="E8" s="24">
        <v>200</v>
      </c>
      <c r="J8" s="12" t="s">
        <v>15</v>
      </c>
      <c r="K8" s="24">
        <v>3.6</v>
      </c>
      <c r="M8" s="20" t="s">
        <v>17</v>
      </c>
      <c r="N8" s="14">
        <v>120000</v>
      </c>
      <c r="P8" s="24" t="s">
        <v>58</v>
      </c>
      <c r="Q8" s="171">
        <v>0.8</v>
      </c>
    </row>
    <row r="9" spans="1:22" x14ac:dyDescent="0.15">
      <c r="D9" s="24" t="s">
        <v>20</v>
      </c>
      <c r="E9" s="24">
        <v>220</v>
      </c>
      <c r="P9" s="24" t="s">
        <v>58</v>
      </c>
      <c r="Q9" s="171">
        <v>0.9</v>
      </c>
    </row>
    <row r="10" spans="1:22" x14ac:dyDescent="0.15">
      <c r="D10" s="24" t="s">
        <v>20</v>
      </c>
      <c r="E10" s="24">
        <v>240</v>
      </c>
      <c r="P10" s="24" t="s">
        <v>58</v>
      </c>
      <c r="Q10" s="171">
        <v>1</v>
      </c>
    </row>
    <row r="11" spans="1:22" x14ac:dyDescent="0.15">
      <c r="D11" s="24" t="s">
        <v>20</v>
      </c>
      <c r="E11" s="24">
        <v>260</v>
      </c>
    </row>
    <row r="15" spans="1:22" x14ac:dyDescent="0.15">
      <c r="A15" s="20" t="s">
        <v>57</v>
      </c>
      <c r="C15" s="20"/>
    </row>
    <row r="16" spans="1:22" ht="25.5" x14ac:dyDescent="0.15">
      <c r="A16" s="20" t="s">
        <v>55</v>
      </c>
      <c r="B16" s="20" t="s">
        <v>56</v>
      </c>
      <c r="C16" s="12" t="s">
        <v>21</v>
      </c>
      <c r="D16" s="12" t="s">
        <v>17</v>
      </c>
      <c r="E16" s="11" t="s">
        <v>27</v>
      </c>
      <c r="F16" s="11" t="s">
        <v>28</v>
      </c>
      <c r="G16" s="11" t="s">
        <v>29</v>
      </c>
      <c r="H16" s="13" t="s">
        <v>30</v>
      </c>
      <c r="I16" s="11" t="s">
        <v>31</v>
      </c>
      <c r="J16" s="11" t="s">
        <v>32</v>
      </c>
      <c r="K16" s="11" t="s">
        <v>35</v>
      </c>
      <c r="L16" s="11" t="s">
        <v>39</v>
      </c>
      <c r="M16" s="11" t="s">
        <v>40</v>
      </c>
      <c r="N16" s="50" t="s">
        <v>159</v>
      </c>
      <c r="O16" s="11" t="s">
        <v>33</v>
      </c>
      <c r="P16" s="11" t="s">
        <v>34</v>
      </c>
      <c r="Q16" s="11" t="s">
        <v>46</v>
      </c>
      <c r="R16" s="11" t="s">
        <v>43</v>
      </c>
      <c r="S16" s="11" t="s">
        <v>44</v>
      </c>
      <c r="T16" s="11" t="s">
        <v>45</v>
      </c>
      <c r="U16" s="49" t="s">
        <v>157</v>
      </c>
      <c r="V16" s="50" t="s">
        <v>156</v>
      </c>
    </row>
    <row r="17" spans="1:22" x14ac:dyDescent="0.15">
      <c r="A17" s="24">
        <v>6</v>
      </c>
      <c r="B17" s="24">
        <v>180</v>
      </c>
      <c r="C17" s="16" t="s">
        <v>16</v>
      </c>
      <c r="D17" s="14">
        <v>50000</v>
      </c>
      <c r="E17" s="65">
        <v>9.5</v>
      </c>
      <c r="F17" s="65">
        <v>3</v>
      </c>
      <c r="G17" s="65">
        <v>3</v>
      </c>
      <c r="H17" s="65">
        <v>1</v>
      </c>
      <c r="I17" s="65">
        <v>1.2</v>
      </c>
      <c r="J17" s="65">
        <v>0.8</v>
      </c>
      <c r="K17" s="65">
        <v>0</v>
      </c>
      <c r="L17" s="65">
        <v>0</v>
      </c>
      <c r="M17" s="65">
        <v>0</v>
      </c>
      <c r="N17" s="53">
        <v>0</v>
      </c>
      <c r="O17" s="52">
        <f>PI()*E17^2</f>
        <v>283.5287369864788</v>
      </c>
      <c r="P17" s="52">
        <f>PI()*E17^2*H17+PI()*G17^2*J17+PI()*(E17^2+F17^2+(E17^2*F17^2)^0.5)*I17/3</f>
        <v>466.68358869076371</v>
      </c>
      <c r="Q17" s="52">
        <f>PI()*(E17+0.1)^2*0.15</f>
        <v>43.429376843225299</v>
      </c>
      <c r="R17" s="52">
        <f>PI()*(E17+1.3)^2*(H17+I17+J17+0.15)*条件输入!$G$2</f>
        <v>923.41712512907804</v>
      </c>
      <c r="S17" s="52">
        <f>PI()*(E17+1.3)^2*(H17+I17+J17+0.15)*条件输入!$H$2</f>
        <v>230.85428128226945</v>
      </c>
      <c r="T17" s="52">
        <f t="shared" ref="T17:T32" si="0">R17+S17-P17-Q17</f>
        <v>644.15844087735843</v>
      </c>
      <c r="U17" s="52">
        <f>120*(H17+I17+J17+1)</f>
        <v>480</v>
      </c>
      <c r="V17" s="51">
        <v>2</v>
      </c>
    </row>
    <row r="18" spans="1:22" x14ac:dyDescent="0.15">
      <c r="A18" s="24">
        <v>6</v>
      </c>
      <c r="B18" s="24">
        <v>180</v>
      </c>
      <c r="C18" s="16" t="s">
        <v>16</v>
      </c>
      <c r="D18" s="14">
        <v>60000</v>
      </c>
      <c r="E18" s="65">
        <v>10</v>
      </c>
      <c r="F18" s="65">
        <v>3</v>
      </c>
      <c r="G18" s="65">
        <v>3</v>
      </c>
      <c r="H18" s="65">
        <v>1</v>
      </c>
      <c r="I18" s="65">
        <v>1.4</v>
      </c>
      <c r="J18" s="65">
        <v>0.8</v>
      </c>
      <c r="K18" s="65">
        <v>0</v>
      </c>
      <c r="L18" s="65">
        <v>0</v>
      </c>
      <c r="M18" s="65">
        <v>0</v>
      </c>
      <c r="N18" s="53">
        <v>0</v>
      </c>
      <c r="O18" s="52">
        <f>PI()*E18^2</f>
        <v>314.15926535897933</v>
      </c>
      <c r="P18" s="52">
        <f>PI()*E18^2*H18+PI()*G18^2*J18+PI()*(E18^2+F18^2+(E18^2*F18^2)^0.5)*I18/3</f>
        <v>540.56337592768375</v>
      </c>
      <c r="Q18" s="52">
        <f>PI()*(E18+0.1)^2*0.15</f>
        <v>48.071079988904216</v>
      </c>
      <c r="R18" s="52">
        <f>PI()*(E18+1.3)^2*(H18+I18+J18+0.15)*条件输入!$G$2</f>
        <v>1075.0819087108405</v>
      </c>
      <c r="S18" s="52">
        <f>PI()*(E18+1.3)^2*(H18+I18+J18+0.15)*条件输入!$H$2</f>
        <v>268.77047717771006</v>
      </c>
      <c r="T18" s="52">
        <f>R18+S18-P18-Q18</f>
        <v>755.21792997196258</v>
      </c>
      <c r="U18" s="52">
        <f>120*(H18+I18+J18+1)</f>
        <v>504</v>
      </c>
      <c r="V18" s="51">
        <v>2</v>
      </c>
    </row>
    <row r="19" spans="1:22" x14ac:dyDescent="0.15">
      <c r="A19" s="24">
        <v>6</v>
      </c>
      <c r="B19" s="24">
        <v>180</v>
      </c>
      <c r="C19" s="16" t="s">
        <v>16</v>
      </c>
      <c r="D19" s="14">
        <v>70000</v>
      </c>
      <c r="E19" s="65">
        <v>10.25</v>
      </c>
      <c r="F19" s="65">
        <v>3</v>
      </c>
      <c r="G19" s="65">
        <v>3</v>
      </c>
      <c r="H19" s="65">
        <v>1</v>
      </c>
      <c r="I19" s="65">
        <v>1.6</v>
      </c>
      <c r="J19" s="65">
        <v>1</v>
      </c>
      <c r="K19" s="65">
        <v>0</v>
      </c>
      <c r="L19" s="65">
        <v>0</v>
      </c>
      <c r="M19" s="65">
        <v>0</v>
      </c>
      <c r="N19" s="53">
        <v>0</v>
      </c>
      <c r="O19" s="52">
        <f t="shared" ref="O19:O32" si="1">PI()*E19^2</f>
        <v>330.06357816777762</v>
      </c>
      <c r="P19" s="52">
        <f t="shared" ref="P19:P32" si="2">PI()*E19^2*H19+PI()*G19^2*J19+PI()*(E19^2+F19^2+(E19^2*F19^2)^0.5)*I19/3</f>
        <v>600.97358466233754</v>
      </c>
      <c r="Q19" s="52">
        <f t="shared" ref="Q19:Q32" si="3">PI()*(E19+0.1)^2*0.15</f>
        <v>50.480288855125885</v>
      </c>
      <c r="R19" s="52">
        <f>PI()*(E19+1.3)^2*(H19+I19+J19+0.15)*条件输入!$G$2</f>
        <v>1257.2889419115372</v>
      </c>
      <c r="S19" s="52">
        <f>PI()*(E19+1.3)^2*(H19+I19+J19+0.15)*条件输入!$H$2</f>
        <v>314.32223547788419</v>
      </c>
      <c r="T19" s="52">
        <f t="shared" si="0"/>
        <v>920.15730387195788</v>
      </c>
      <c r="U19" s="52">
        <f t="shared" ref="U19:U32" si="4">120*(H19+I19+J19+1)</f>
        <v>552</v>
      </c>
      <c r="V19" s="51">
        <v>2</v>
      </c>
    </row>
    <row r="20" spans="1:22" x14ac:dyDescent="0.15">
      <c r="A20" s="24">
        <v>6</v>
      </c>
      <c r="B20" s="24">
        <v>180</v>
      </c>
      <c r="C20" s="16" t="s">
        <v>16</v>
      </c>
      <c r="D20" s="14">
        <v>80000</v>
      </c>
      <c r="E20" s="65">
        <v>10.25</v>
      </c>
      <c r="F20" s="65">
        <v>3</v>
      </c>
      <c r="G20" s="65">
        <v>3</v>
      </c>
      <c r="H20" s="65">
        <v>1</v>
      </c>
      <c r="I20" s="65">
        <v>1.7</v>
      </c>
      <c r="J20" s="65">
        <v>1</v>
      </c>
      <c r="K20" s="65">
        <v>0</v>
      </c>
      <c r="L20" s="65">
        <v>0</v>
      </c>
      <c r="M20" s="65">
        <v>0</v>
      </c>
      <c r="N20" s="53">
        <v>0</v>
      </c>
      <c r="O20" s="52">
        <f t="shared" si="1"/>
        <v>330.06357816777762</v>
      </c>
      <c r="P20" s="52">
        <f t="shared" si="2"/>
        <v>616.13831420060319</v>
      </c>
      <c r="Q20" s="52">
        <f t="shared" si="3"/>
        <v>50.480288855125885</v>
      </c>
      <c r="R20" s="52">
        <f>PI()*(E20+1.3)^2*(H20+I20+J20+0.15)*条件输入!$G$2</f>
        <v>1290.8166470291781</v>
      </c>
      <c r="S20" s="52">
        <f>PI()*(E20+1.3)^2*(H20+I20+J20+0.15)*条件输入!$H$2</f>
        <v>322.70416175729446</v>
      </c>
      <c r="T20" s="52">
        <f t="shared" si="0"/>
        <v>946.9022057307435</v>
      </c>
      <c r="U20" s="52">
        <f t="shared" si="4"/>
        <v>564</v>
      </c>
      <c r="V20" s="51">
        <v>2</v>
      </c>
    </row>
    <row r="21" spans="1:22" x14ac:dyDescent="0.15">
      <c r="A21" s="24">
        <v>6</v>
      </c>
      <c r="B21" s="24">
        <v>180</v>
      </c>
      <c r="C21" s="16" t="s">
        <v>16</v>
      </c>
      <c r="D21" s="14">
        <v>90000</v>
      </c>
      <c r="E21" s="65">
        <v>10.75</v>
      </c>
      <c r="F21" s="65">
        <v>3</v>
      </c>
      <c r="G21" s="65">
        <v>3</v>
      </c>
      <c r="H21" s="65">
        <v>1</v>
      </c>
      <c r="I21" s="65">
        <v>1.7</v>
      </c>
      <c r="J21" s="65">
        <v>1</v>
      </c>
      <c r="K21" s="65">
        <v>0</v>
      </c>
      <c r="L21" s="65">
        <v>0</v>
      </c>
      <c r="M21" s="65">
        <v>0</v>
      </c>
      <c r="N21" s="53">
        <v>0</v>
      </c>
      <c r="O21" s="52">
        <f t="shared" si="1"/>
        <v>363.05030103047045</v>
      </c>
      <c r="P21" s="52">
        <f t="shared" si="2"/>
        <v>670.48786710770662</v>
      </c>
      <c r="Q21" s="52">
        <f t="shared" si="3"/>
        <v>55.475421174333661</v>
      </c>
      <c r="R21" s="52">
        <f>PI()*(E21+1.3)^2*(H21+I21+J21+0.15)*条件输入!$G$2</f>
        <v>1404.9946904312458</v>
      </c>
      <c r="S21" s="52">
        <f>PI()*(E21+1.3)^2*(H21+I21+J21+0.15)*条件输入!$H$2</f>
        <v>351.24867260781133</v>
      </c>
      <c r="T21" s="52">
        <f t="shared" si="0"/>
        <v>1030.280074757017</v>
      </c>
      <c r="U21" s="52">
        <f>120*(H21+I21+J21+1)</f>
        <v>564</v>
      </c>
      <c r="V21" s="51">
        <v>2</v>
      </c>
    </row>
    <row r="22" spans="1:22" x14ac:dyDescent="0.15">
      <c r="A22" s="24">
        <v>6</v>
      </c>
      <c r="B22" s="24">
        <v>180</v>
      </c>
      <c r="C22" s="16" t="s">
        <v>16</v>
      </c>
      <c r="D22" s="14">
        <v>100000</v>
      </c>
      <c r="E22" s="65">
        <v>11</v>
      </c>
      <c r="F22" s="65">
        <v>3</v>
      </c>
      <c r="G22" s="65">
        <v>3</v>
      </c>
      <c r="H22" s="65">
        <v>1</v>
      </c>
      <c r="I22" s="65">
        <v>1.8</v>
      </c>
      <c r="J22" s="65">
        <v>1</v>
      </c>
      <c r="K22" s="65">
        <v>0</v>
      </c>
      <c r="L22" s="65">
        <v>0</v>
      </c>
      <c r="M22" s="65">
        <v>0</v>
      </c>
      <c r="N22" s="53">
        <v>0</v>
      </c>
      <c r="O22" s="52">
        <f t="shared" si="1"/>
        <v>380.13271108436498</v>
      </c>
      <c r="P22" s="52">
        <f t="shared" si="2"/>
        <v>715.65480648775497</v>
      </c>
      <c r="Q22" s="52">
        <f t="shared" si="3"/>
        <v>58.061344627319755</v>
      </c>
      <c r="R22" s="52">
        <f>PI()*(E22+1.3)^2*(H22+I22+J22+0.15)*条件输入!$G$2</f>
        <v>1501.9213060946556</v>
      </c>
      <c r="S22" s="52">
        <f>PI()*(E22+1.3)^2*(H22+I22+J22+0.15)*条件输入!$H$2</f>
        <v>375.48032652366379</v>
      </c>
      <c r="T22" s="52">
        <f t="shared" si="0"/>
        <v>1103.6854815032445</v>
      </c>
      <c r="U22" s="52">
        <f t="shared" si="4"/>
        <v>576</v>
      </c>
      <c r="V22" s="51">
        <v>2</v>
      </c>
    </row>
    <row r="23" spans="1:22" x14ac:dyDescent="0.15">
      <c r="A23" s="24">
        <v>6</v>
      </c>
      <c r="B23" s="24">
        <v>180</v>
      </c>
      <c r="C23" s="16" t="s">
        <v>16</v>
      </c>
      <c r="D23" s="14">
        <v>110000</v>
      </c>
      <c r="E23" s="65">
        <v>11.5</v>
      </c>
      <c r="F23" s="65">
        <v>3</v>
      </c>
      <c r="G23" s="65">
        <v>3</v>
      </c>
      <c r="H23" s="65">
        <v>1.1000000000000001</v>
      </c>
      <c r="I23" s="65">
        <v>1.8</v>
      </c>
      <c r="J23" s="65">
        <v>1</v>
      </c>
      <c r="K23" s="65">
        <v>0</v>
      </c>
      <c r="L23" s="65">
        <v>0</v>
      </c>
      <c r="M23" s="65">
        <v>0</v>
      </c>
      <c r="N23" s="53">
        <v>0</v>
      </c>
      <c r="O23" s="52">
        <f t="shared" si="1"/>
        <v>415.47562843725012</v>
      </c>
      <c r="P23" s="52">
        <f t="shared" si="2"/>
        <v>816.578470484327</v>
      </c>
      <c r="Q23" s="52">
        <f t="shared" si="3"/>
        <v>63.409906120056384</v>
      </c>
      <c r="R23" s="52">
        <f>PI()*(E23+1.3)^2*(H23+I23+J23+0.15)*条件输入!$G$2</f>
        <v>1667.6880707798518</v>
      </c>
      <c r="S23" s="52">
        <f>PI()*(E23+1.3)^2*(H23+I23+J23+0.15)*条件输入!$H$2</f>
        <v>416.92201769496285</v>
      </c>
      <c r="T23" s="52">
        <f t="shared" si="0"/>
        <v>1204.6217118704315</v>
      </c>
      <c r="U23" s="52">
        <f t="shared" si="4"/>
        <v>588</v>
      </c>
      <c r="V23" s="51">
        <v>2</v>
      </c>
    </row>
    <row r="24" spans="1:22" x14ac:dyDescent="0.15">
      <c r="A24" s="24">
        <v>6</v>
      </c>
      <c r="B24" s="24">
        <v>180</v>
      </c>
      <c r="C24" s="16" t="s">
        <v>16</v>
      </c>
      <c r="D24" s="14">
        <v>120000</v>
      </c>
      <c r="E24" s="65">
        <v>12</v>
      </c>
      <c r="F24" s="65">
        <v>3</v>
      </c>
      <c r="G24" s="65">
        <v>3</v>
      </c>
      <c r="H24" s="65">
        <v>1.2</v>
      </c>
      <c r="I24" s="65">
        <v>1.8</v>
      </c>
      <c r="J24" s="65">
        <v>1</v>
      </c>
      <c r="K24" s="65">
        <v>0</v>
      </c>
      <c r="L24" s="65">
        <v>0</v>
      </c>
      <c r="M24" s="65">
        <v>0</v>
      </c>
      <c r="N24" s="53">
        <v>0</v>
      </c>
      <c r="O24" s="52">
        <f t="shared" si="1"/>
        <v>452.38934211693021</v>
      </c>
      <c r="P24" s="52">
        <f t="shared" si="2"/>
        <v>927.39815133970694</v>
      </c>
      <c r="Q24" s="52">
        <f t="shared" si="3"/>
        <v>68.994087061812237</v>
      </c>
      <c r="R24" s="52">
        <f>PI()*(E24+1.3)^2*(H24+I24+J24+0.15)*条件输入!$G$2</f>
        <v>1844.9781973184154</v>
      </c>
      <c r="S24" s="52">
        <f>PI()*(E24+1.3)^2*(H24+I24+J24+0.15)*条件输入!$H$2</f>
        <v>461.24454932960367</v>
      </c>
      <c r="T24" s="52">
        <f t="shared" si="0"/>
        <v>1309.8305082464997</v>
      </c>
      <c r="U24" s="52">
        <f t="shared" si="4"/>
        <v>600</v>
      </c>
      <c r="V24" s="51">
        <v>2</v>
      </c>
    </row>
    <row r="25" spans="1:22" x14ac:dyDescent="0.15">
      <c r="A25" s="24">
        <v>6</v>
      </c>
      <c r="B25" s="24">
        <v>180</v>
      </c>
      <c r="C25" s="16" t="s">
        <v>36</v>
      </c>
      <c r="D25" s="14">
        <v>50000</v>
      </c>
      <c r="E25" s="65">
        <v>9</v>
      </c>
      <c r="F25" s="65">
        <v>3</v>
      </c>
      <c r="G25" s="65">
        <v>3</v>
      </c>
      <c r="H25" s="65">
        <v>1</v>
      </c>
      <c r="I25" s="65">
        <v>1.2</v>
      </c>
      <c r="J25" s="65">
        <v>0.8</v>
      </c>
      <c r="K25" s="65">
        <v>0.6</v>
      </c>
      <c r="L25" s="65">
        <v>20</v>
      </c>
      <c r="M25" s="65">
        <v>20</v>
      </c>
      <c r="N25" s="53">
        <f t="shared" ref="N25:N32" si="5">L25*M25</f>
        <v>400</v>
      </c>
      <c r="O25" s="52">
        <f t="shared" si="1"/>
        <v>254.46900494077323</v>
      </c>
      <c r="P25" s="52">
        <f t="shared" si="2"/>
        <v>424.11500823462211</v>
      </c>
      <c r="Q25" s="52">
        <f t="shared" si="3"/>
        <v>39.023293146565614</v>
      </c>
      <c r="R25" s="52">
        <f>PI()*(E25+1.3)^2*(H25+I25+J25+0.15)*条件输入!$G$2</f>
        <v>839.89474284073992</v>
      </c>
      <c r="S25" s="52">
        <f>PI()*(E25+1.3)^2*(H25+I25+J25+0.15)*条件输入!$H$2</f>
        <v>209.97368571018492</v>
      </c>
      <c r="T25" s="52">
        <f t="shared" si="0"/>
        <v>586.7301271697371</v>
      </c>
      <c r="U25" s="52">
        <f t="shared" si="4"/>
        <v>480</v>
      </c>
      <c r="V25" s="51">
        <v>2</v>
      </c>
    </row>
    <row r="26" spans="1:22" x14ac:dyDescent="0.15">
      <c r="A26" s="24">
        <v>6</v>
      </c>
      <c r="B26" s="24">
        <v>180</v>
      </c>
      <c r="C26" s="16" t="s">
        <v>36</v>
      </c>
      <c r="D26" s="14">
        <v>60000</v>
      </c>
      <c r="E26" s="65">
        <v>9.5</v>
      </c>
      <c r="F26" s="65">
        <v>3</v>
      </c>
      <c r="G26" s="65">
        <v>3</v>
      </c>
      <c r="H26" s="65">
        <v>1</v>
      </c>
      <c r="I26" s="65">
        <v>1.2</v>
      </c>
      <c r="J26" s="65">
        <v>0.8</v>
      </c>
      <c r="K26" s="65">
        <v>0.6</v>
      </c>
      <c r="L26" s="65">
        <v>22</v>
      </c>
      <c r="M26" s="65">
        <v>20</v>
      </c>
      <c r="N26" s="53">
        <f t="shared" si="5"/>
        <v>440</v>
      </c>
      <c r="O26" s="52">
        <f t="shared" si="1"/>
        <v>283.5287369864788</v>
      </c>
      <c r="P26" s="52">
        <f t="shared" si="2"/>
        <v>466.68358869076371</v>
      </c>
      <c r="Q26" s="52">
        <f>PI()*(E26+0.1)^2*0.15</f>
        <v>43.429376843225299</v>
      </c>
      <c r="R26" s="52">
        <f>PI()*(E26+1.3)^2*(H26+I26+J26+0.15)*条件输入!$G$2</f>
        <v>923.41712512907804</v>
      </c>
      <c r="S26" s="52">
        <f>PI()*(E26+1.3)^2*(H26+I26+J26+0.15)*条件输入!$H$2</f>
        <v>230.85428128226945</v>
      </c>
      <c r="T26" s="52">
        <f t="shared" si="0"/>
        <v>644.15844087735843</v>
      </c>
      <c r="U26" s="52">
        <f t="shared" si="4"/>
        <v>480</v>
      </c>
      <c r="V26" s="51">
        <v>2</v>
      </c>
    </row>
    <row r="27" spans="1:22" x14ac:dyDescent="0.15">
      <c r="A27" s="24">
        <v>6</v>
      </c>
      <c r="B27" s="24">
        <v>180</v>
      </c>
      <c r="C27" s="16" t="s">
        <v>36</v>
      </c>
      <c r="D27" s="14">
        <v>70000</v>
      </c>
      <c r="E27" s="65">
        <v>9.5</v>
      </c>
      <c r="F27" s="65">
        <v>3</v>
      </c>
      <c r="G27" s="65">
        <v>3</v>
      </c>
      <c r="H27" s="65">
        <v>1</v>
      </c>
      <c r="I27" s="65">
        <v>1.2</v>
      </c>
      <c r="J27" s="65">
        <v>0.8</v>
      </c>
      <c r="K27" s="65">
        <v>0.6</v>
      </c>
      <c r="L27" s="65">
        <v>24</v>
      </c>
      <c r="M27" s="65">
        <v>20</v>
      </c>
      <c r="N27" s="53">
        <f t="shared" si="5"/>
        <v>480</v>
      </c>
      <c r="O27" s="52">
        <f t="shared" si="1"/>
        <v>283.5287369864788</v>
      </c>
      <c r="P27" s="52">
        <f t="shared" si="2"/>
        <v>466.68358869076371</v>
      </c>
      <c r="Q27" s="52">
        <f t="shared" si="3"/>
        <v>43.429376843225299</v>
      </c>
      <c r="R27" s="52">
        <f>PI()*(E27+1.3)^2*(H27+I27+J27+0.15)*条件输入!$G$2</f>
        <v>923.41712512907804</v>
      </c>
      <c r="S27" s="52">
        <f>PI()*(E27+1.3)^2*(H27+I27+J27+0.15)*条件输入!$H$2</f>
        <v>230.85428128226945</v>
      </c>
      <c r="T27" s="52">
        <f t="shared" si="0"/>
        <v>644.15844087735843</v>
      </c>
      <c r="U27" s="52">
        <f t="shared" si="4"/>
        <v>480</v>
      </c>
      <c r="V27" s="51">
        <v>2</v>
      </c>
    </row>
    <row r="28" spans="1:22" x14ac:dyDescent="0.15">
      <c r="A28" s="24">
        <v>6</v>
      </c>
      <c r="B28" s="24">
        <v>180</v>
      </c>
      <c r="C28" s="16" t="s">
        <v>36</v>
      </c>
      <c r="D28" s="14">
        <v>80000</v>
      </c>
      <c r="E28" s="65">
        <v>10</v>
      </c>
      <c r="F28" s="65">
        <v>3</v>
      </c>
      <c r="G28" s="65">
        <v>3</v>
      </c>
      <c r="H28" s="65">
        <v>1</v>
      </c>
      <c r="I28" s="65">
        <v>1.4</v>
      </c>
      <c r="J28" s="65">
        <v>1</v>
      </c>
      <c r="K28" s="65">
        <v>0.6</v>
      </c>
      <c r="L28" s="65">
        <v>26</v>
      </c>
      <c r="M28" s="65">
        <v>20</v>
      </c>
      <c r="N28" s="53">
        <f t="shared" si="5"/>
        <v>520</v>
      </c>
      <c r="O28" s="52">
        <f t="shared" si="1"/>
        <v>314.15926535897933</v>
      </c>
      <c r="P28" s="52">
        <f t="shared" si="2"/>
        <v>546.21824270414538</v>
      </c>
      <c r="Q28" s="52">
        <f t="shared" si="3"/>
        <v>48.071079988904216</v>
      </c>
      <c r="R28" s="52">
        <f>PI()*(E28+1.3)^2*(H28+I28+J28+0.15)*条件输入!$G$2</f>
        <v>1139.2659032607414</v>
      </c>
      <c r="S28" s="52">
        <f>PI()*(E28+1.3)^2*(H28+I28+J28+0.15)*条件输入!$H$2</f>
        <v>284.81647581518524</v>
      </c>
      <c r="T28" s="52">
        <f t="shared" si="0"/>
        <v>829.79305638287701</v>
      </c>
      <c r="U28" s="52">
        <f t="shared" si="4"/>
        <v>528</v>
      </c>
      <c r="V28" s="51">
        <v>2</v>
      </c>
    </row>
    <row r="29" spans="1:22" x14ac:dyDescent="0.15">
      <c r="A29" s="24">
        <v>6</v>
      </c>
      <c r="B29" s="24">
        <v>180</v>
      </c>
      <c r="C29" s="16" t="s">
        <v>36</v>
      </c>
      <c r="D29" s="14">
        <v>90000</v>
      </c>
      <c r="E29" s="65">
        <v>10</v>
      </c>
      <c r="F29" s="65">
        <v>3</v>
      </c>
      <c r="G29" s="65">
        <v>3</v>
      </c>
      <c r="H29" s="65">
        <v>1</v>
      </c>
      <c r="I29" s="65">
        <v>1.4</v>
      </c>
      <c r="J29" s="65">
        <v>1</v>
      </c>
      <c r="K29" s="65">
        <v>0.6</v>
      </c>
      <c r="L29" s="65">
        <v>28</v>
      </c>
      <c r="M29" s="65">
        <v>20</v>
      </c>
      <c r="N29" s="53">
        <f t="shared" si="5"/>
        <v>560</v>
      </c>
      <c r="O29" s="52">
        <f t="shared" si="1"/>
        <v>314.15926535897933</v>
      </c>
      <c r="P29" s="52">
        <f t="shared" si="2"/>
        <v>546.21824270414538</v>
      </c>
      <c r="Q29" s="52">
        <f t="shared" si="3"/>
        <v>48.071079988904216</v>
      </c>
      <c r="R29" s="52">
        <f>PI()*(E29+1.3)^2*(H29+I29+J29+0.15)*条件输入!$G$2</f>
        <v>1139.2659032607414</v>
      </c>
      <c r="S29" s="52">
        <f>PI()*(E29+1.3)^2*(H29+I29+J29+0.15)*条件输入!$H$2</f>
        <v>284.81647581518524</v>
      </c>
      <c r="T29" s="52">
        <f t="shared" si="0"/>
        <v>829.79305638287701</v>
      </c>
      <c r="U29" s="52">
        <f t="shared" si="4"/>
        <v>528</v>
      </c>
      <c r="V29" s="51">
        <v>2</v>
      </c>
    </row>
    <row r="30" spans="1:22" x14ac:dyDescent="0.15">
      <c r="A30" s="24">
        <v>6</v>
      </c>
      <c r="B30" s="24">
        <v>180</v>
      </c>
      <c r="C30" s="16" t="s">
        <v>36</v>
      </c>
      <c r="D30" s="14">
        <v>100000</v>
      </c>
      <c r="E30" s="65">
        <v>10.25</v>
      </c>
      <c r="F30" s="65">
        <v>3</v>
      </c>
      <c r="G30" s="65">
        <v>3</v>
      </c>
      <c r="H30" s="65">
        <v>1.1000000000000001</v>
      </c>
      <c r="I30" s="65">
        <v>1.4</v>
      </c>
      <c r="J30" s="65">
        <v>1</v>
      </c>
      <c r="K30" s="65">
        <v>0.6</v>
      </c>
      <c r="L30" s="65">
        <v>30</v>
      </c>
      <c r="M30" s="65">
        <v>20</v>
      </c>
      <c r="N30" s="53">
        <f t="shared" si="5"/>
        <v>600</v>
      </c>
      <c r="O30" s="52">
        <f t="shared" si="1"/>
        <v>330.06357816777762</v>
      </c>
      <c r="P30" s="52">
        <f t="shared" si="2"/>
        <v>603.65048340258375</v>
      </c>
      <c r="Q30" s="52">
        <f t="shared" si="3"/>
        <v>50.480288855125885</v>
      </c>
      <c r="R30" s="52">
        <f>PI()*(E30+1.3)^2*(H30+I30+J30+0.15)*条件输入!$G$2</f>
        <v>1223.7612367938962</v>
      </c>
      <c r="S30" s="52">
        <f>PI()*(E30+1.3)^2*(H30+I30+J30+0.15)*条件输入!$H$2</f>
        <v>305.94030919847393</v>
      </c>
      <c r="T30" s="52">
        <f t="shared" si="0"/>
        <v>875.57077373466041</v>
      </c>
      <c r="U30" s="52">
        <f t="shared" si="4"/>
        <v>540</v>
      </c>
      <c r="V30" s="51">
        <v>2</v>
      </c>
    </row>
    <row r="31" spans="1:22" x14ac:dyDescent="0.15">
      <c r="A31" s="24">
        <v>6</v>
      </c>
      <c r="B31" s="24">
        <v>180</v>
      </c>
      <c r="C31" s="16" t="s">
        <v>36</v>
      </c>
      <c r="D31" s="14">
        <v>110000</v>
      </c>
      <c r="E31" s="65">
        <v>10.25</v>
      </c>
      <c r="F31" s="65">
        <v>3</v>
      </c>
      <c r="G31" s="65">
        <v>3</v>
      </c>
      <c r="H31" s="65">
        <v>1.1000000000000001</v>
      </c>
      <c r="I31" s="65">
        <v>1.4</v>
      </c>
      <c r="J31" s="65">
        <v>1</v>
      </c>
      <c r="K31" s="65">
        <v>0.6</v>
      </c>
      <c r="L31" s="65">
        <v>32</v>
      </c>
      <c r="M31" s="65">
        <v>20</v>
      </c>
      <c r="N31" s="53">
        <f t="shared" si="5"/>
        <v>640</v>
      </c>
      <c r="O31" s="52">
        <f t="shared" si="1"/>
        <v>330.06357816777762</v>
      </c>
      <c r="P31" s="52">
        <f t="shared" si="2"/>
        <v>603.65048340258375</v>
      </c>
      <c r="Q31" s="52">
        <f t="shared" si="3"/>
        <v>50.480288855125885</v>
      </c>
      <c r="R31" s="52">
        <f>PI()*(E31+1.3)^2*(H31+I31+J31+0.15)*条件输入!$G$2</f>
        <v>1223.7612367938962</v>
      </c>
      <c r="S31" s="52">
        <f>PI()*(E31+1.3)^2*(H31+I31+J31+0.15)*条件输入!$H$2</f>
        <v>305.94030919847393</v>
      </c>
      <c r="T31" s="52">
        <f t="shared" si="0"/>
        <v>875.57077373466041</v>
      </c>
      <c r="U31" s="52">
        <f t="shared" si="4"/>
        <v>540</v>
      </c>
      <c r="V31" s="51">
        <v>2</v>
      </c>
    </row>
    <row r="32" spans="1:22" x14ac:dyDescent="0.15">
      <c r="A32" s="24">
        <v>6</v>
      </c>
      <c r="B32" s="24">
        <v>180</v>
      </c>
      <c r="C32" s="16" t="s">
        <v>36</v>
      </c>
      <c r="D32" s="14">
        <v>120000</v>
      </c>
      <c r="E32" s="65">
        <v>10.5</v>
      </c>
      <c r="F32" s="65">
        <v>3</v>
      </c>
      <c r="G32" s="65">
        <v>3</v>
      </c>
      <c r="H32" s="65">
        <v>1.2</v>
      </c>
      <c r="I32" s="65">
        <v>1.4</v>
      </c>
      <c r="J32" s="65">
        <v>1</v>
      </c>
      <c r="K32" s="65">
        <v>0.6</v>
      </c>
      <c r="L32" s="65">
        <v>34</v>
      </c>
      <c r="M32" s="65">
        <v>20</v>
      </c>
      <c r="N32" s="53">
        <f t="shared" si="5"/>
        <v>680</v>
      </c>
      <c r="O32" s="52">
        <f t="shared" si="1"/>
        <v>346.36059005827468</v>
      </c>
      <c r="P32" s="52">
        <f t="shared" si="2"/>
        <v>664.91808513227966</v>
      </c>
      <c r="Q32" s="52">
        <f t="shared" si="3"/>
        <v>52.948402583602373</v>
      </c>
      <c r="R32" s="52">
        <f>PI()*(E32+1.3)^2*(H32+I32+J32+0.15)*条件输入!$G$2</f>
        <v>1312.3060832575284</v>
      </c>
      <c r="S32" s="52">
        <f>PI()*(E32+1.3)^2*(H32+I32+J32+0.15)*条件输入!$H$2</f>
        <v>328.07652081438204</v>
      </c>
      <c r="T32" s="52">
        <f t="shared" si="0"/>
        <v>922.51611635602842</v>
      </c>
      <c r="U32" s="52">
        <f t="shared" si="4"/>
        <v>552</v>
      </c>
      <c r="V32" s="51">
        <v>2</v>
      </c>
    </row>
    <row r="33" spans="1:22" x14ac:dyDescent="0.15">
      <c r="A33" s="24">
        <v>6</v>
      </c>
      <c r="B33" s="24">
        <v>180</v>
      </c>
      <c r="C33" s="16" t="s">
        <v>158</v>
      </c>
      <c r="D33" s="14">
        <v>50000</v>
      </c>
      <c r="E33" s="65">
        <v>9</v>
      </c>
      <c r="F33" s="65">
        <v>3</v>
      </c>
      <c r="G33" s="65">
        <v>3</v>
      </c>
      <c r="H33" s="65">
        <v>1</v>
      </c>
      <c r="I33" s="65">
        <v>1.2</v>
      </c>
      <c r="J33" s="65">
        <v>0.8</v>
      </c>
      <c r="K33" s="65">
        <v>1</v>
      </c>
      <c r="L33" s="65">
        <v>18</v>
      </c>
      <c r="M33" s="65">
        <v>20</v>
      </c>
      <c r="N33" s="53">
        <f t="shared" ref="N33:N40" si="6">L33*M33</f>
        <v>360</v>
      </c>
      <c r="O33" s="52">
        <f t="shared" ref="O33:O56" si="7">PI()*E33^2</f>
        <v>254.46900494077323</v>
      </c>
      <c r="P33" s="52">
        <f t="shared" ref="P33:P40" si="8">PI()*E33^2*H33+PI()*G33^2*J33+PI()*(E33^2+F33^2+(E33^2*F33^2)^0.5)*I33/3</f>
        <v>424.11500823462211</v>
      </c>
      <c r="Q33" s="52">
        <f t="shared" ref="Q33:Q40" si="9">PI()*(E33+0.1)^2*0.15</f>
        <v>39.023293146565614</v>
      </c>
      <c r="R33" s="52">
        <f>PI()*(E33+1.3)^2*(H33+I33+J33+0.15)*条件输入!$G$2</f>
        <v>839.89474284073992</v>
      </c>
      <c r="S33" s="52">
        <f>PI()*(E33+1.3)^2*(H33+I33+J33+0.15)*条件输入!$H$2</f>
        <v>209.97368571018492</v>
      </c>
      <c r="T33" s="52">
        <f t="shared" ref="T33:T56" si="10">R33+S33-P33-Q33</f>
        <v>586.7301271697371</v>
      </c>
      <c r="U33" s="52">
        <f t="shared" ref="U33:U40" si="11">120*(H33+I33+J33+1)</f>
        <v>480</v>
      </c>
      <c r="V33" s="51">
        <v>2</v>
      </c>
    </row>
    <row r="34" spans="1:22" x14ac:dyDescent="0.15">
      <c r="A34" s="24">
        <v>6</v>
      </c>
      <c r="B34" s="24">
        <v>180</v>
      </c>
      <c r="C34" s="16" t="s">
        <v>158</v>
      </c>
      <c r="D34" s="14">
        <v>60000</v>
      </c>
      <c r="E34" s="65">
        <v>9.5</v>
      </c>
      <c r="F34" s="65">
        <v>3</v>
      </c>
      <c r="G34" s="65">
        <v>3</v>
      </c>
      <c r="H34" s="65">
        <v>1</v>
      </c>
      <c r="I34" s="65">
        <v>1.2</v>
      </c>
      <c r="J34" s="65">
        <v>0.8</v>
      </c>
      <c r="K34" s="65">
        <v>1</v>
      </c>
      <c r="L34" s="65">
        <v>20</v>
      </c>
      <c r="M34" s="65">
        <v>20</v>
      </c>
      <c r="N34" s="53">
        <f t="shared" si="6"/>
        <v>400</v>
      </c>
      <c r="O34" s="52">
        <f t="shared" si="7"/>
        <v>283.5287369864788</v>
      </c>
      <c r="P34" s="52">
        <f t="shared" si="8"/>
        <v>466.68358869076371</v>
      </c>
      <c r="Q34" s="52">
        <f t="shared" si="9"/>
        <v>43.429376843225299</v>
      </c>
      <c r="R34" s="52">
        <f>PI()*(E34+1.3)^2*(H34+I34+J34+0.15)*条件输入!$G$2</f>
        <v>923.41712512907804</v>
      </c>
      <c r="S34" s="52">
        <f>PI()*(E34+1.3)^2*(H34+I34+J34+0.15)*条件输入!$H$2</f>
        <v>230.85428128226945</v>
      </c>
      <c r="T34" s="52">
        <f t="shared" si="10"/>
        <v>644.15844087735843</v>
      </c>
      <c r="U34" s="52">
        <f t="shared" si="11"/>
        <v>480</v>
      </c>
      <c r="V34" s="51">
        <v>2</v>
      </c>
    </row>
    <row r="35" spans="1:22" x14ac:dyDescent="0.15">
      <c r="A35" s="24">
        <v>6</v>
      </c>
      <c r="B35" s="24">
        <v>180</v>
      </c>
      <c r="C35" s="16" t="s">
        <v>158</v>
      </c>
      <c r="D35" s="14">
        <v>70000</v>
      </c>
      <c r="E35" s="65">
        <v>9.5</v>
      </c>
      <c r="F35" s="65">
        <v>3</v>
      </c>
      <c r="G35" s="65">
        <v>3</v>
      </c>
      <c r="H35" s="65">
        <v>1</v>
      </c>
      <c r="I35" s="65">
        <v>1.2</v>
      </c>
      <c r="J35" s="65">
        <v>0.8</v>
      </c>
      <c r="K35" s="65">
        <v>1</v>
      </c>
      <c r="L35" s="65">
        <v>22</v>
      </c>
      <c r="M35" s="65">
        <v>20</v>
      </c>
      <c r="N35" s="53">
        <f t="shared" si="6"/>
        <v>440</v>
      </c>
      <c r="O35" s="52">
        <f t="shared" si="7"/>
        <v>283.5287369864788</v>
      </c>
      <c r="P35" s="52">
        <f t="shared" si="8"/>
        <v>466.68358869076371</v>
      </c>
      <c r="Q35" s="52">
        <f t="shared" si="9"/>
        <v>43.429376843225299</v>
      </c>
      <c r="R35" s="52">
        <f>PI()*(E35+1.3)^2*(H35+I35+J35+0.15)*条件输入!$G$2</f>
        <v>923.41712512907804</v>
      </c>
      <c r="S35" s="52">
        <f>PI()*(E35+1.3)^2*(H35+I35+J35+0.15)*条件输入!$H$2</f>
        <v>230.85428128226945</v>
      </c>
      <c r="T35" s="52">
        <f t="shared" si="10"/>
        <v>644.15844087735843</v>
      </c>
      <c r="U35" s="52">
        <f t="shared" si="11"/>
        <v>480</v>
      </c>
      <c r="V35" s="51">
        <v>2</v>
      </c>
    </row>
    <row r="36" spans="1:22" x14ac:dyDescent="0.15">
      <c r="A36" s="24">
        <v>6</v>
      </c>
      <c r="B36" s="24">
        <v>180</v>
      </c>
      <c r="C36" s="16" t="s">
        <v>158</v>
      </c>
      <c r="D36" s="14">
        <v>80000</v>
      </c>
      <c r="E36" s="65">
        <v>10</v>
      </c>
      <c r="F36" s="65">
        <v>3</v>
      </c>
      <c r="G36" s="65">
        <v>3</v>
      </c>
      <c r="H36" s="65">
        <v>1</v>
      </c>
      <c r="I36" s="65">
        <v>1.4</v>
      </c>
      <c r="J36" s="65">
        <v>1</v>
      </c>
      <c r="K36" s="65">
        <v>1</v>
      </c>
      <c r="L36" s="65">
        <v>24</v>
      </c>
      <c r="M36" s="65">
        <v>20</v>
      </c>
      <c r="N36" s="53">
        <f t="shared" si="6"/>
        <v>480</v>
      </c>
      <c r="O36" s="52">
        <f t="shared" si="7"/>
        <v>314.15926535897933</v>
      </c>
      <c r="P36" s="52">
        <f t="shared" si="8"/>
        <v>546.21824270414538</v>
      </c>
      <c r="Q36" s="52">
        <f t="shared" si="9"/>
        <v>48.071079988904216</v>
      </c>
      <c r="R36" s="52">
        <f>PI()*(E36+1.3)^2*(H36+I36+J36+0.15)*条件输入!$G$2</f>
        <v>1139.2659032607414</v>
      </c>
      <c r="S36" s="52">
        <f>PI()*(E36+1.3)^2*(H36+I36+J36+0.15)*条件输入!$H$2</f>
        <v>284.81647581518524</v>
      </c>
      <c r="T36" s="52">
        <f t="shared" si="10"/>
        <v>829.79305638287701</v>
      </c>
      <c r="U36" s="52">
        <f t="shared" si="11"/>
        <v>528</v>
      </c>
      <c r="V36" s="51">
        <v>2</v>
      </c>
    </row>
    <row r="37" spans="1:22" x14ac:dyDescent="0.15">
      <c r="A37" s="24">
        <v>6</v>
      </c>
      <c r="B37" s="24">
        <v>180</v>
      </c>
      <c r="C37" s="16" t="s">
        <v>158</v>
      </c>
      <c r="D37" s="14">
        <v>90000</v>
      </c>
      <c r="E37" s="65">
        <v>10</v>
      </c>
      <c r="F37" s="65">
        <v>3</v>
      </c>
      <c r="G37" s="65">
        <v>3</v>
      </c>
      <c r="H37" s="65">
        <v>1</v>
      </c>
      <c r="I37" s="65">
        <v>1.4</v>
      </c>
      <c r="J37" s="65">
        <v>1</v>
      </c>
      <c r="K37" s="65">
        <v>1</v>
      </c>
      <c r="L37" s="65">
        <v>26</v>
      </c>
      <c r="M37" s="65">
        <v>20</v>
      </c>
      <c r="N37" s="53">
        <f t="shared" si="6"/>
        <v>520</v>
      </c>
      <c r="O37" s="52">
        <f t="shared" si="7"/>
        <v>314.15926535897933</v>
      </c>
      <c r="P37" s="52">
        <f t="shared" si="8"/>
        <v>546.21824270414538</v>
      </c>
      <c r="Q37" s="52">
        <f t="shared" si="9"/>
        <v>48.071079988904216</v>
      </c>
      <c r="R37" s="52">
        <f>PI()*(E37+1.3)^2*(H37+I37+J37+0.15)*条件输入!$G$2</f>
        <v>1139.2659032607414</v>
      </c>
      <c r="S37" s="52">
        <f>PI()*(E37+1.3)^2*(H37+I37+J37+0.15)*条件输入!$H$2</f>
        <v>284.81647581518524</v>
      </c>
      <c r="T37" s="52">
        <f t="shared" si="10"/>
        <v>829.79305638287701</v>
      </c>
      <c r="U37" s="52">
        <f t="shared" si="11"/>
        <v>528</v>
      </c>
      <c r="V37" s="51">
        <v>2</v>
      </c>
    </row>
    <row r="38" spans="1:22" x14ac:dyDescent="0.15">
      <c r="A38" s="24">
        <v>6</v>
      </c>
      <c r="B38" s="24">
        <v>180</v>
      </c>
      <c r="C38" s="16" t="s">
        <v>158</v>
      </c>
      <c r="D38" s="14">
        <v>100000</v>
      </c>
      <c r="E38" s="65">
        <v>10.25</v>
      </c>
      <c r="F38" s="65">
        <v>3</v>
      </c>
      <c r="G38" s="65">
        <v>3</v>
      </c>
      <c r="H38" s="65">
        <v>1.1000000000000001</v>
      </c>
      <c r="I38" s="65">
        <v>1.4</v>
      </c>
      <c r="J38" s="65">
        <v>1</v>
      </c>
      <c r="K38" s="65">
        <v>1</v>
      </c>
      <c r="L38" s="65">
        <v>28</v>
      </c>
      <c r="M38" s="65">
        <v>20</v>
      </c>
      <c r="N38" s="53">
        <f t="shared" si="6"/>
        <v>560</v>
      </c>
      <c r="O38" s="52">
        <f t="shared" si="7"/>
        <v>330.06357816777762</v>
      </c>
      <c r="P38" s="52">
        <f t="shared" si="8"/>
        <v>603.65048340258375</v>
      </c>
      <c r="Q38" s="52">
        <f t="shared" si="9"/>
        <v>50.480288855125885</v>
      </c>
      <c r="R38" s="52">
        <f>PI()*(E38+1.3)^2*(H38+I38+J38+0.15)*条件输入!$G$2</f>
        <v>1223.7612367938962</v>
      </c>
      <c r="S38" s="52">
        <f>PI()*(E38+1.3)^2*(H38+I38+J38+0.15)*条件输入!$H$2</f>
        <v>305.94030919847393</v>
      </c>
      <c r="T38" s="52">
        <f t="shared" si="10"/>
        <v>875.57077373466041</v>
      </c>
      <c r="U38" s="52">
        <f t="shared" si="11"/>
        <v>540</v>
      </c>
      <c r="V38" s="51">
        <v>2</v>
      </c>
    </row>
    <row r="39" spans="1:22" x14ac:dyDescent="0.15">
      <c r="A39" s="24">
        <v>6</v>
      </c>
      <c r="B39" s="24">
        <v>180</v>
      </c>
      <c r="C39" s="16" t="s">
        <v>158</v>
      </c>
      <c r="D39" s="14">
        <v>110000</v>
      </c>
      <c r="E39" s="65">
        <v>10.25</v>
      </c>
      <c r="F39" s="65">
        <v>3</v>
      </c>
      <c r="G39" s="65">
        <v>3</v>
      </c>
      <c r="H39" s="65">
        <v>1.1000000000000001</v>
      </c>
      <c r="I39" s="65">
        <v>1.4</v>
      </c>
      <c r="J39" s="65">
        <v>1</v>
      </c>
      <c r="K39" s="65">
        <v>1</v>
      </c>
      <c r="L39" s="65">
        <v>30</v>
      </c>
      <c r="M39" s="65">
        <v>20</v>
      </c>
      <c r="N39" s="53">
        <f t="shared" si="6"/>
        <v>600</v>
      </c>
      <c r="O39" s="52">
        <f t="shared" si="7"/>
        <v>330.06357816777762</v>
      </c>
      <c r="P39" s="52">
        <f t="shared" si="8"/>
        <v>603.65048340258375</v>
      </c>
      <c r="Q39" s="52">
        <f t="shared" si="9"/>
        <v>50.480288855125885</v>
      </c>
      <c r="R39" s="52">
        <f>PI()*(E39+1.3)^2*(H39+I39+J39+0.15)*条件输入!$G$2</f>
        <v>1223.7612367938962</v>
      </c>
      <c r="S39" s="52">
        <f>PI()*(E39+1.3)^2*(H39+I39+J39+0.15)*条件输入!$H$2</f>
        <v>305.94030919847393</v>
      </c>
      <c r="T39" s="52">
        <f t="shared" si="10"/>
        <v>875.57077373466041</v>
      </c>
      <c r="U39" s="52">
        <f t="shared" si="11"/>
        <v>540</v>
      </c>
      <c r="V39" s="51">
        <v>2</v>
      </c>
    </row>
    <row r="40" spans="1:22" x14ac:dyDescent="0.15">
      <c r="A40" s="24">
        <v>6</v>
      </c>
      <c r="B40" s="24">
        <v>180</v>
      </c>
      <c r="C40" s="16" t="s">
        <v>158</v>
      </c>
      <c r="D40" s="14">
        <v>120000</v>
      </c>
      <c r="E40" s="65">
        <v>10.5</v>
      </c>
      <c r="F40" s="65">
        <v>3</v>
      </c>
      <c r="G40" s="65">
        <v>3</v>
      </c>
      <c r="H40" s="65">
        <v>1.2</v>
      </c>
      <c r="I40" s="65">
        <v>1.4</v>
      </c>
      <c r="J40" s="65">
        <v>1</v>
      </c>
      <c r="K40" s="65">
        <v>1</v>
      </c>
      <c r="L40" s="65">
        <v>32</v>
      </c>
      <c r="M40" s="65">
        <v>20</v>
      </c>
      <c r="N40" s="53">
        <f t="shared" si="6"/>
        <v>640</v>
      </c>
      <c r="O40" s="52">
        <f t="shared" si="7"/>
        <v>346.36059005827468</v>
      </c>
      <c r="P40" s="52">
        <f t="shared" si="8"/>
        <v>664.91808513227966</v>
      </c>
      <c r="Q40" s="52">
        <f t="shared" si="9"/>
        <v>52.948402583602373</v>
      </c>
      <c r="R40" s="52">
        <f>PI()*(E40+1.3)^2*(H40+I40+J40+0.15)*条件输入!$G$2</f>
        <v>1312.3060832575284</v>
      </c>
      <c r="S40" s="52">
        <f>PI()*(E40+1.3)^2*(H40+I40+J40+0.15)*条件输入!$H$2</f>
        <v>328.07652081438204</v>
      </c>
      <c r="T40" s="52">
        <f t="shared" si="10"/>
        <v>922.51611635602842</v>
      </c>
      <c r="U40" s="52">
        <f t="shared" si="11"/>
        <v>552</v>
      </c>
      <c r="V40" s="51">
        <v>2</v>
      </c>
    </row>
    <row r="41" spans="1:22" x14ac:dyDescent="0.15">
      <c r="A41" s="24">
        <v>7</v>
      </c>
      <c r="B41" s="24">
        <v>180</v>
      </c>
      <c r="C41" s="16" t="s">
        <v>16</v>
      </c>
      <c r="D41" s="14">
        <v>50000</v>
      </c>
      <c r="E41" s="65">
        <v>9.5</v>
      </c>
      <c r="F41" s="65">
        <v>3</v>
      </c>
      <c r="G41" s="65">
        <v>3</v>
      </c>
      <c r="H41" s="65">
        <v>1</v>
      </c>
      <c r="I41" s="65">
        <v>1.2</v>
      </c>
      <c r="J41" s="65">
        <v>0.8</v>
      </c>
      <c r="K41" s="65">
        <v>0</v>
      </c>
      <c r="L41" s="65">
        <v>0</v>
      </c>
      <c r="M41" s="65">
        <v>0</v>
      </c>
      <c r="N41" s="53">
        <v>0</v>
      </c>
      <c r="O41" s="52">
        <f t="shared" si="7"/>
        <v>283.5287369864788</v>
      </c>
      <c r="P41" s="52">
        <f>PI()*E41^2*H41+PI()*G41^2*J41+PI()*(E41^2+F41^2+(E41^2*F41^2)^0.5)*I41/3</f>
        <v>466.68358869076371</v>
      </c>
      <c r="Q41" s="52">
        <f>PI()*(E41+0.1)^2*0.15</f>
        <v>43.429376843225299</v>
      </c>
      <c r="R41" s="52">
        <f>PI()*(E41+1.3)^2*(H41+I41+J41+0.15)*条件输入!$G$2</f>
        <v>923.41712512907804</v>
      </c>
      <c r="S41" s="52">
        <f>PI()*(E41+1.3)^2*(H41+I41+J41+0.15)*条件输入!$H$2</f>
        <v>230.85428128226945</v>
      </c>
      <c r="T41" s="52">
        <f t="shared" si="10"/>
        <v>644.15844087735843</v>
      </c>
      <c r="U41" s="52">
        <f>120*(H41+I41+J41+1)</f>
        <v>480</v>
      </c>
      <c r="V41" s="51">
        <v>2</v>
      </c>
    </row>
    <row r="42" spans="1:22" x14ac:dyDescent="0.15">
      <c r="A42" s="24">
        <v>7</v>
      </c>
      <c r="B42" s="24">
        <v>180</v>
      </c>
      <c r="C42" s="16" t="s">
        <v>16</v>
      </c>
      <c r="D42" s="14">
        <v>60000</v>
      </c>
      <c r="E42" s="65">
        <v>10</v>
      </c>
      <c r="F42" s="65">
        <v>3</v>
      </c>
      <c r="G42" s="65">
        <v>3</v>
      </c>
      <c r="H42" s="65">
        <v>1</v>
      </c>
      <c r="I42" s="65">
        <v>1.4</v>
      </c>
      <c r="J42" s="65">
        <v>0.8</v>
      </c>
      <c r="K42" s="65">
        <v>0</v>
      </c>
      <c r="L42" s="65">
        <v>0</v>
      </c>
      <c r="M42" s="65">
        <v>0</v>
      </c>
      <c r="N42" s="53">
        <v>0</v>
      </c>
      <c r="O42" s="52">
        <f t="shared" si="7"/>
        <v>314.15926535897933</v>
      </c>
      <c r="P42" s="52">
        <f t="shared" ref="P42:P64" si="12">PI()*E42^2*H42+PI()*G42^2*J42+PI()*(E42^2+F42^2+(E42^2*F42^2)^0.5)*I42/3</f>
        <v>540.56337592768375</v>
      </c>
      <c r="Q42" s="52">
        <f t="shared" ref="Q42:Q64" si="13">PI()*(E42+0.1)^2*0.15</f>
        <v>48.071079988904216</v>
      </c>
      <c r="R42" s="52">
        <f>PI()*(E42+1.3)^2*(H42+I42+J42+0.15)*条件输入!$G$2</f>
        <v>1075.0819087108405</v>
      </c>
      <c r="S42" s="52">
        <f>PI()*(E42+1.3)^2*(H42+I42+J42+0.15)*条件输入!$H$2</f>
        <v>268.77047717771006</v>
      </c>
      <c r="T42" s="52">
        <f t="shared" si="10"/>
        <v>755.21792997196258</v>
      </c>
      <c r="U42" s="52">
        <f t="shared" ref="U42:U64" si="14">120*(H42+I42+J42+1)</f>
        <v>504</v>
      </c>
      <c r="V42" s="51">
        <v>2</v>
      </c>
    </row>
    <row r="43" spans="1:22" s="235" customFormat="1" ht="13.5" x14ac:dyDescent="0.15">
      <c r="A43" s="235">
        <v>7</v>
      </c>
      <c r="B43" s="235">
        <v>180</v>
      </c>
      <c r="C43" s="236" t="s">
        <v>16</v>
      </c>
      <c r="D43" s="235">
        <v>70000</v>
      </c>
      <c r="E43" s="237">
        <v>10.25</v>
      </c>
      <c r="F43" s="237">
        <v>3</v>
      </c>
      <c r="G43" s="237">
        <v>3</v>
      </c>
      <c r="H43" s="237">
        <v>1</v>
      </c>
      <c r="I43" s="237">
        <v>1.6</v>
      </c>
      <c r="J43" s="237">
        <v>1</v>
      </c>
      <c r="K43" s="237">
        <v>0</v>
      </c>
      <c r="L43" s="237">
        <v>0</v>
      </c>
      <c r="M43" s="237">
        <v>0</v>
      </c>
      <c r="N43" s="238">
        <v>0</v>
      </c>
      <c r="O43" s="239">
        <f t="shared" si="7"/>
        <v>330.06357816777762</v>
      </c>
      <c r="P43" s="239">
        <f t="shared" si="12"/>
        <v>600.97358466233754</v>
      </c>
      <c r="Q43" s="239">
        <f t="shared" si="13"/>
        <v>50.480288855125885</v>
      </c>
      <c r="R43" s="239">
        <f>PI()*(E43+1.3)^2*(H43+I43+J43+0.15)*条件输入!$G$2</f>
        <v>1257.2889419115372</v>
      </c>
      <c r="S43" s="239">
        <f>PI()*(E43+1.3)^2*(H43+I43+J43+0.15)*条件输入!$H$2</f>
        <v>314.32223547788419</v>
      </c>
      <c r="T43" s="239">
        <f t="shared" si="10"/>
        <v>920.15730387195788</v>
      </c>
      <c r="U43" s="239">
        <f t="shared" si="14"/>
        <v>552</v>
      </c>
      <c r="V43" s="237">
        <v>2</v>
      </c>
    </row>
    <row r="44" spans="1:22" ht="17.25" customHeight="1" x14ac:dyDescent="0.15">
      <c r="A44" s="24">
        <v>7</v>
      </c>
      <c r="B44" s="24">
        <v>180</v>
      </c>
      <c r="C44" s="16" t="s">
        <v>16</v>
      </c>
      <c r="D44" s="14">
        <v>80000</v>
      </c>
      <c r="E44" s="65">
        <v>10.25</v>
      </c>
      <c r="F44" s="65">
        <v>3</v>
      </c>
      <c r="G44" s="65">
        <v>3</v>
      </c>
      <c r="H44" s="65">
        <v>1</v>
      </c>
      <c r="I44" s="65">
        <v>1.7</v>
      </c>
      <c r="J44" s="65">
        <v>1</v>
      </c>
      <c r="K44" s="65">
        <v>0</v>
      </c>
      <c r="L44" s="65">
        <v>0</v>
      </c>
      <c r="M44" s="65">
        <v>0</v>
      </c>
      <c r="N44" s="53">
        <v>0</v>
      </c>
      <c r="O44" s="52">
        <f t="shared" si="7"/>
        <v>330.06357816777762</v>
      </c>
      <c r="P44" s="52">
        <f t="shared" si="12"/>
        <v>616.13831420060319</v>
      </c>
      <c r="Q44" s="52">
        <f t="shared" si="13"/>
        <v>50.480288855125885</v>
      </c>
      <c r="R44" s="52">
        <f>PI()*(E44+1.3)^2*(H44+I44+J44+0.15)*条件输入!$G$2</f>
        <v>1290.8166470291781</v>
      </c>
      <c r="S44" s="52">
        <f>PI()*(E44+1.3)^2*(H44+I44+J44+0.15)*条件输入!$H$2</f>
        <v>322.70416175729446</v>
      </c>
      <c r="T44" s="52">
        <f t="shared" si="10"/>
        <v>946.9022057307435</v>
      </c>
      <c r="U44" s="52">
        <f t="shared" si="14"/>
        <v>564</v>
      </c>
      <c r="V44" s="51">
        <v>2</v>
      </c>
    </row>
    <row r="45" spans="1:22" x14ac:dyDescent="0.15">
      <c r="A45" s="24">
        <v>7</v>
      </c>
      <c r="B45" s="24">
        <v>180</v>
      </c>
      <c r="C45" s="16" t="s">
        <v>16</v>
      </c>
      <c r="D45" s="14">
        <v>90000</v>
      </c>
      <c r="E45" s="65">
        <v>10.75</v>
      </c>
      <c r="F45" s="65">
        <v>3</v>
      </c>
      <c r="G45" s="65">
        <v>3</v>
      </c>
      <c r="H45" s="65">
        <v>1</v>
      </c>
      <c r="I45" s="65">
        <v>1.7</v>
      </c>
      <c r="J45" s="65">
        <v>1</v>
      </c>
      <c r="K45" s="65">
        <v>0</v>
      </c>
      <c r="L45" s="65">
        <v>0</v>
      </c>
      <c r="M45" s="65">
        <v>0</v>
      </c>
      <c r="N45" s="53">
        <v>0</v>
      </c>
      <c r="O45" s="52">
        <f t="shared" si="7"/>
        <v>363.05030103047045</v>
      </c>
      <c r="P45" s="52">
        <f t="shared" si="12"/>
        <v>670.48786710770662</v>
      </c>
      <c r="Q45" s="52">
        <f t="shared" si="13"/>
        <v>55.475421174333661</v>
      </c>
      <c r="R45" s="52">
        <f>PI()*(E45+1.3)^2*(H45+I45+J45+0.15)*条件输入!$G$2</f>
        <v>1404.9946904312458</v>
      </c>
      <c r="S45" s="52">
        <f>PI()*(E45+1.3)^2*(H45+I45+J45+0.15)*条件输入!$H$2</f>
        <v>351.24867260781133</v>
      </c>
      <c r="T45" s="52">
        <f t="shared" si="10"/>
        <v>1030.280074757017</v>
      </c>
      <c r="U45" s="52">
        <f t="shared" si="14"/>
        <v>564</v>
      </c>
      <c r="V45" s="51">
        <v>2</v>
      </c>
    </row>
    <row r="46" spans="1:22" x14ac:dyDescent="0.15">
      <c r="A46" s="24">
        <v>7</v>
      </c>
      <c r="B46" s="24">
        <v>180</v>
      </c>
      <c r="C46" s="16" t="s">
        <v>16</v>
      </c>
      <c r="D46" s="14">
        <v>100000</v>
      </c>
      <c r="E46" s="65">
        <v>11</v>
      </c>
      <c r="F46" s="65">
        <v>3</v>
      </c>
      <c r="G46" s="65">
        <v>3</v>
      </c>
      <c r="H46" s="65">
        <v>1</v>
      </c>
      <c r="I46" s="65">
        <v>1.8</v>
      </c>
      <c r="J46" s="65">
        <v>1</v>
      </c>
      <c r="K46" s="65">
        <v>0</v>
      </c>
      <c r="L46" s="65">
        <v>0</v>
      </c>
      <c r="M46" s="65">
        <v>0</v>
      </c>
      <c r="N46" s="53">
        <v>0</v>
      </c>
      <c r="O46" s="52">
        <f t="shared" si="7"/>
        <v>380.13271108436498</v>
      </c>
      <c r="P46" s="52">
        <f t="shared" si="12"/>
        <v>715.65480648775497</v>
      </c>
      <c r="Q46" s="52">
        <f t="shared" si="13"/>
        <v>58.061344627319755</v>
      </c>
      <c r="R46" s="52">
        <f>PI()*(E46+1.3)^2*(H46+I46+J46+0.15)*条件输入!$G$2</f>
        <v>1501.9213060946556</v>
      </c>
      <c r="S46" s="52">
        <f>PI()*(E46+1.3)^2*(H46+I46+J46+0.15)*条件输入!$H$2</f>
        <v>375.48032652366379</v>
      </c>
      <c r="T46" s="52">
        <f t="shared" si="10"/>
        <v>1103.6854815032445</v>
      </c>
      <c r="U46" s="52">
        <f t="shared" si="14"/>
        <v>576</v>
      </c>
      <c r="V46" s="51">
        <v>2</v>
      </c>
    </row>
    <row r="47" spans="1:22" x14ac:dyDescent="0.15">
      <c r="A47" s="24">
        <v>7</v>
      </c>
      <c r="B47" s="24">
        <v>180</v>
      </c>
      <c r="C47" s="16" t="s">
        <v>16</v>
      </c>
      <c r="D47" s="14">
        <v>110000</v>
      </c>
      <c r="E47" s="65">
        <v>11.5</v>
      </c>
      <c r="F47" s="65">
        <v>3</v>
      </c>
      <c r="G47" s="65">
        <v>3</v>
      </c>
      <c r="H47" s="65">
        <v>1.1000000000000001</v>
      </c>
      <c r="I47" s="65">
        <v>1.8</v>
      </c>
      <c r="J47" s="65">
        <v>1</v>
      </c>
      <c r="K47" s="65">
        <v>0</v>
      </c>
      <c r="L47" s="65">
        <v>0</v>
      </c>
      <c r="M47" s="65">
        <v>0</v>
      </c>
      <c r="N47" s="53">
        <v>0</v>
      </c>
      <c r="O47" s="52">
        <f t="shared" si="7"/>
        <v>415.47562843725012</v>
      </c>
      <c r="P47" s="52">
        <f t="shared" si="12"/>
        <v>816.578470484327</v>
      </c>
      <c r="Q47" s="52">
        <f t="shared" si="13"/>
        <v>63.409906120056384</v>
      </c>
      <c r="R47" s="52">
        <f>PI()*(E47+1.3)^2*(H47+I47+J47+0.15)*条件输入!$G$2</f>
        <v>1667.6880707798518</v>
      </c>
      <c r="S47" s="52">
        <f>PI()*(E47+1.3)^2*(H47+I47+J47+0.15)*条件输入!$H$2</f>
        <v>416.92201769496285</v>
      </c>
      <c r="T47" s="52">
        <f t="shared" si="10"/>
        <v>1204.6217118704315</v>
      </c>
      <c r="U47" s="52">
        <f t="shared" si="14"/>
        <v>588</v>
      </c>
      <c r="V47" s="51">
        <v>2</v>
      </c>
    </row>
    <row r="48" spans="1:22" x14ac:dyDescent="0.15">
      <c r="A48" s="24">
        <v>7</v>
      </c>
      <c r="B48" s="24">
        <v>180</v>
      </c>
      <c r="C48" s="16" t="s">
        <v>16</v>
      </c>
      <c r="D48" s="14">
        <v>120000</v>
      </c>
      <c r="E48" s="65">
        <v>12</v>
      </c>
      <c r="F48" s="65">
        <v>3</v>
      </c>
      <c r="G48" s="65">
        <v>3</v>
      </c>
      <c r="H48" s="65">
        <v>1.2</v>
      </c>
      <c r="I48" s="65">
        <v>1.8</v>
      </c>
      <c r="J48" s="65">
        <v>1</v>
      </c>
      <c r="K48" s="65">
        <v>0</v>
      </c>
      <c r="L48" s="65">
        <v>0</v>
      </c>
      <c r="M48" s="65">
        <v>0</v>
      </c>
      <c r="N48" s="53">
        <v>0</v>
      </c>
      <c r="O48" s="52">
        <f t="shared" si="7"/>
        <v>452.38934211693021</v>
      </c>
      <c r="P48" s="52">
        <f t="shared" si="12"/>
        <v>927.39815133970694</v>
      </c>
      <c r="Q48" s="52">
        <f t="shared" si="13"/>
        <v>68.994087061812237</v>
      </c>
      <c r="R48" s="52">
        <f>PI()*(E48+1.3)^2*(H48+I48+J48+0.15)*条件输入!$G$2</f>
        <v>1844.9781973184154</v>
      </c>
      <c r="S48" s="52">
        <f>PI()*(E48+1.3)^2*(H48+I48+J48+0.15)*条件输入!$H$2</f>
        <v>461.24454932960367</v>
      </c>
      <c r="T48" s="52">
        <f t="shared" si="10"/>
        <v>1309.8305082464997</v>
      </c>
      <c r="U48" s="52">
        <f t="shared" si="14"/>
        <v>600</v>
      </c>
      <c r="V48" s="51">
        <v>2</v>
      </c>
    </row>
    <row r="49" spans="1:22" x14ac:dyDescent="0.15">
      <c r="A49" s="24">
        <v>7</v>
      </c>
      <c r="B49" s="24">
        <v>180</v>
      </c>
      <c r="C49" s="16" t="s">
        <v>36</v>
      </c>
      <c r="D49" s="14">
        <v>50000</v>
      </c>
      <c r="E49" s="65">
        <v>9</v>
      </c>
      <c r="F49" s="65">
        <v>3</v>
      </c>
      <c r="G49" s="65">
        <v>3</v>
      </c>
      <c r="H49" s="65">
        <v>1</v>
      </c>
      <c r="I49" s="65">
        <v>1.2</v>
      </c>
      <c r="J49" s="65">
        <v>0.8</v>
      </c>
      <c r="K49" s="65">
        <v>0.6</v>
      </c>
      <c r="L49" s="65">
        <v>20</v>
      </c>
      <c r="M49" s="65">
        <v>20</v>
      </c>
      <c r="N49" s="53">
        <f t="shared" ref="N49:N64" si="15">L49*M49</f>
        <v>400</v>
      </c>
      <c r="O49" s="52">
        <f t="shared" si="7"/>
        <v>254.46900494077323</v>
      </c>
      <c r="P49" s="52">
        <f t="shared" si="12"/>
        <v>424.11500823462211</v>
      </c>
      <c r="Q49" s="52">
        <f t="shared" si="13"/>
        <v>39.023293146565614</v>
      </c>
      <c r="R49" s="52">
        <f>PI()*(E49+1.3)^2*(H49+I49+J49+0.15)*条件输入!$G$2</f>
        <v>839.89474284073992</v>
      </c>
      <c r="S49" s="52">
        <f>PI()*(E49+1.3)^2*(H49+I49+J49+0.15)*条件输入!$H$2</f>
        <v>209.97368571018492</v>
      </c>
      <c r="T49" s="52">
        <f t="shared" si="10"/>
        <v>586.7301271697371</v>
      </c>
      <c r="U49" s="52">
        <f t="shared" si="14"/>
        <v>480</v>
      </c>
      <c r="V49" s="51">
        <v>2</v>
      </c>
    </row>
    <row r="50" spans="1:22" x14ac:dyDescent="0.15">
      <c r="A50" s="24">
        <v>7</v>
      </c>
      <c r="B50" s="24">
        <v>180</v>
      </c>
      <c r="C50" s="16" t="s">
        <v>36</v>
      </c>
      <c r="D50" s="14">
        <v>60000</v>
      </c>
      <c r="E50" s="65">
        <v>9.5</v>
      </c>
      <c r="F50" s="65">
        <v>3</v>
      </c>
      <c r="G50" s="65">
        <v>3</v>
      </c>
      <c r="H50" s="65">
        <v>1</v>
      </c>
      <c r="I50" s="65">
        <v>1.2</v>
      </c>
      <c r="J50" s="65">
        <v>0.8</v>
      </c>
      <c r="K50" s="65">
        <v>0.6</v>
      </c>
      <c r="L50" s="65">
        <v>22</v>
      </c>
      <c r="M50" s="65">
        <v>20</v>
      </c>
      <c r="N50" s="53">
        <f t="shared" si="15"/>
        <v>440</v>
      </c>
      <c r="O50" s="52">
        <f t="shared" si="7"/>
        <v>283.5287369864788</v>
      </c>
      <c r="P50" s="52">
        <f t="shared" si="12"/>
        <v>466.68358869076371</v>
      </c>
      <c r="Q50" s="52">
        <f t="shared" si="13"/>
        <v>43.429376843225299</v>
      </c>
      <c r="R50" s="52">
        <f>PI()*(E50+1.3)^2*(H50+I50+J50+0.15)*条件输入!$G$2</f>
        <v>923.41712512907804</v>
      </c>
      <c r="S50" s="52">
        <f>PI()*(E50+1.3)^2*(H50+I50+J50+0.15)*条件输入!$H$2</f>
        <v>230.85428128226945</v>
      </c>
      <c r="T50" s="52">
        <f t="shared" si="10"/>
        <v>644.15844087735843</v>
      </c>
      <c r="U50" s="52">
        <f t="shared" si="14"/>
        <v>480</v>
      </c>
      <c r="V50" s="51">
        <v>2</v>
      </c>
    </row>
    <row r="51" spans="1:22" x14ac:dyDescent="0.15">
      <c r="A51" s="24">
        <v>7</v>
      </c>
      <c r="B51" s="24">
        <v>180</v>
      </c>
      <c r="C51" s="16" t="s">
        <v>36</v>
      </c>
      <c r="D51" s="14">
        <v>70000</v>
      </c>
      <c r="E51" s="65">
        <v>9.5</v>
      </c>
      <c r="F51" s="65">
        <v>3</v>
      </c>
      <c r="G51" s="65">
        <v>3</v>
      </c>
      <c r="H51" s="65">
        <v>1</v>
      </c>
      <c r="I51" s="65">
        <v>1.2</v>
      </c>
      <c r="J51" s="65">
        <v>0.8</v>
      </c>
      <c r="K51" s="65">
        <v>0.6</v>
      </c>
      <c r="L51" s="65">
        <v>24</v>
      </c>
      <c r="M51" s="65">
        <v>20</v>
      </c>
      <c r="N51" s="53">
        <f t="shared" si="15"/>
        <v>480</v>
      </c>
      <c r="O51" s="52">
        <f t="shared" si="7"/>
        <v>283.5287369864788</v>
      </c>
      <c r="P51" s="52">
        <f t="shared" si="12"/>
        <v>466.68358869076371</v>
      </c>
      <c r="Q51" s="52">
        <f t="shared" si="13"/>
        <v>43.429376843225299</v>
      </c>
      <c r="R51" s="52">
        <f>PI()*(E51+1.3)^2*(H51+I51+J51+0.15)*条件输入!$G$2</f>
        <v>923.41712512907804</v>
      </c>
      <c r="S51" s="52">
        <f>PI()*(E51+1.3)^2*(H51+I51+J51+0.15)*条件输入!$H$2</f>
        <v>230.85428128226945</v>
      </c>
      <c r="T51" s="52">
        <f t="shared" si="10"/>
        <v>644.15844087735843</v>
      </c>
      <c r="U51" s="52">
        <f t="shared" si="14"/>
        <v>480</v>
      </c>
      <c r="V51" s="51">
        <v>2</v>
      </c>
    </row>
    <row r="52" spans="1:22" x14ac:dyDescent="0.15">
      <c r="A52" s="24">
        <v>7</v>
      </c>
      <c r="B52" s="24">
        <v>180</v>
      </c>
      <c r="C52" s="16" t="s">
        <v>36</v>
      </c>
      <c r="D52" s="14">
        <v>80000</v>
      </c>
      <c r="E52" s="65">
        <v>10</v>
      </c>
      <c r="F52" s="65">
        <v>3</v>
      </c>
      <c r="G52" s="65">
        <v>3</v>
      </c>
      <c r="H52" s="65">
        <v>1</v>
      </c>
      <c r="I52" s="65">
        <v>1.4</v>
      </c>
      <c r="J52" s="65">
        <v>1</v>
      </c>
      <c r="K52" s="65">
        <v>0.6</v>
      </c>
      <c r="L52" s="65">
        <v>26</v>
      </c>
      <c r="M52" s="65">
        <v>20</v>
      </c>
      <c r="N52" s="53">
        <f t="shared" si="15"/>
        <v>520</v>
      </c>
      <c r="O52" s="52">
        <f t="shared" si="7"/>
        <v>314.15926535897933</v>
      </c>
      <c r="P52" s="52">
        <f t="shared" si="12"/>
        <v>546.21824270414538</v>
      </c>
      <c r="Q52" s="52">
        <f t="shared" si="13"/>
        <v>48.071079988904216</v>
      </c>
      <c r="R52" s="52">
        <f>PI()*(E52+1.3)^2*(H52+I52+J52+0.15)*条件输入!$G$2</f>
        <v>1139.2659032607414</v>
      </c>
      <c r="S52" s="52">
        <f>PI()*(E52+1.3)^2*(H52+I52+J52+0.15)*条件输入!$H$2</f>
        <v>284.81647581518524</v>
      </c>
      <c r="T52" s="52">
        <f t="shared" si="10"/>
        <v>829.79305638287701</v>
      </c>
      <c r="U52" s="52">
        <f t="shared" si="14"/>
        <v>528</v>
      </c>
      <c r="V52" s="51">
        <v>2</v>
      </c>
    </row>
    <row r="53" spans="1:22" x14ac:dyDescent="0.15">
      <c r="A53" s="24">
        <v>7</v>
      </c>
      <c r="B53" s="24">
        <v>180</v>
      </c>
      <c r="C53" s="16" t="s">
        <v>36</v>
      </c>
      <c r="D53" s="14">
        <v>90000</v>
      </c>
      <c r="E53" s="65">
        <v>10</v>
      </c>
      <c r="F53" s="65">
        <v>3</v>
      </c>
      <c r="G53" s="65">
        <v>3</v>
      </c>
      <c r="H53" s="65">
        <v>1</v>
      </c>
      <c r="I53" s="65">
        <v>1.4</v>
      </c>
      <c r="J53" s="65">
        <v>1</v>
      </c>
      <c r="K53" s="65">
        <v>0.6</v>
      </c>
      <c r="L53" s="65">
        <v>28</v>
      </c>
      <c r="M53" s="65">
        <v>20</v>
      </c>
      <c r="N53" s="53">
        <f t="shared" si="15"/>
        <v>560</v>
      </c>
      <c r="O53" s="52">
        <f t="shared" si="7"/>
        <v>314.15926535897933</v>
      </c>
      <c r="P53" s="52">
        <f t="shared" si="12"/>
        <v>546.21824270414538</v>
      </c>
      <c r="Q53" s="52">
        <f t="shared" si="13"/>
        <v>48.071079988904216</v>
      </c>
      <c r="R53" s="52">
        <f>PI()*(E53+1.3)^2*(H53+I53+J53+0.15)*条件输入!$G$2</f>
        <v>1139.2659032607414</v>
      </c>
      <c r="S53" s="52">
        <f>PI()*(E53+1.3)^2*(H53+I53+J53+0.15)*条件输入!$H$2</f>
        <v>284.81647581518524</v>
      </c>
      <c r="T53" s="52">
        <f t="shared" si="10"/>
        <v>829.79305638287701</v>
      </c>
      <c r="U53" s="52">
        <f t="shared" si="14"/>
        <v>528</v>
      </c>
      <c r="V53" s="51">
        <v>2</v>
      </c>
    </row>
    <row r="54" spans="1:22" x14ac:dyDescent="0.15">
      <c r="A54" s="24">
        <v>7</v>
      </c>
      <c r="B54" s="24">
        <v>180</v>
      </c>
      <c r="C54" s="16" t="s">
        <v>36</v>
      </c>
      <c r="D54" s="14">
        <v>100000</v>
      </c>
      <c r="E54" s="65">
        <v>10.25</v>
      </c>
      <c r="F54" s="65">
        <v>3</v>
      </c>
      <c r="G54" s="65">
        <v>3</v>
      </c>
      <c r="H54" s="65">
        <v>1.1000000000000001</v>
      </c>
      <c r="I54" s="65">
        <v>1.4</v>
      </c>
      <c r="J54" s="65">
        <v>1</v>
      </c>
      <c r="K54" s="65">
        <v>0.6</v>
      </c>
      <c r="L54" s="65">
        <v>30</v>
      </c>
      <c r="M54" s="65">
        <v>20</v>
      </c>
      <c r="N54" s="53">
        <f t="shared" si="15"/>
        <v>600</v>
      </c>
      <c r="O54" s="52">
        <f t="shared" si="7"/>
        <v>330.06357816777762</v>
      </c>
      <c r="P54" s="52">
        <f t="shared" si="12"/>
        <v>603.65048340258375</v>
      </c>
      <c r="Q54" s="52">
        <f t="shared" si="13"/>
        <v>50.480288855125885</v>
      </c>
      <c r="R54" s="52">
        <f>PI()*(E54+1.3)^2*(H54+I54+J54+0.15)*条件输入!$G$2</f>
        <v>1223.7612367938962</v>
      </c>
      <c r="S54" s="52">
        <f>PI()*(E54+1.3)^2*(H54+I54+J54+0.15)*条件输入!$H$2</f>
        <v>305.94030919847393</v>
      </c>
      <c r="T54" s="52">
        <f t="shared" si="10"/>
        <v>875.57077373466041</v>
      </c>
      <c r="U54" s="52">
        <f t="shared" si="14"/>
        <v>540</v>
      </c>
      <c r="V54" s="51">
        <v>2</v>
      </c>
    </row>
    <row r="55" spans="1:22" x14ac:dyDescent="0.15">
      <c r="A55" s="24">
        <v>7</v>
      </c>
      <c r="B55" s="24">
        <v>180</v>
      </c>
      <c r="C55" s="16" t="s">
        <v>36</v>
      </c>
      <c r="D55" s="14">
        <v>110000</v>
      </c>
      <c r="E55" s="65">
        <v>10.25</v>
      </c>
      <c r="F55" s="65">
        <v>3</v>
      </c>
      <c r="G55" s="65">
        <v>3</v>
      </c>
      <c r="H55" s="65">
        <v>1.1000000000000001</v>
      </c>
      <c r="I55" s="65">
        <v>1.4</v>
      </c>
      <c r="J55" s="65">
        <v>1</v>
      </c>
      <c r="K55" s="65">
        <v>0.6</v>
      </c>
      <c r="L55" s="65">
        <v>32</v>
      </c>
      <c r="M55" s="65">
        <v>20</v>
      </c>
      <c r="N55" s="53">
        <f t="shared" si="15"/>
        <v>640</v>
      </c>
      <c r="O55" s="52">
        <f t="shared" si="7"/>
        <v>330.06357816777762</v>
      </c>
      <c r="P55" s="52">
        <f t="shared" si="12"/>
        <v>603.65048340258375</v>
      </c>
      <c r="Q55" s="52">
        <f t="shared" si="13"/>
        <v>50.480288855125885</v>
      </c>
      <c r="R55" s="52">
        <f>PI()*(E55+1.3)^2*(H55+I55+J55+0.15)*条件输入!$G$2</f>
        <v>1223.7612367938962</v>
      </c>
      <c r="S55" s="52">
        <f>PI()*(E55+1.3)^2*(H55+I55+J55+0.15)*条件输入!$H$2</f>
        <v>305.94030919847393</v>
      </c>
      <c r="T55" s="52">
        <f t="shared" si="10"/>
        <v>875.57077373466041</v>
      </c>
      <c r="U55" s="52">
        <f t="shared" si="14"/>
        <v>540</v>
      </c>
      <c r="V55" s="51">
        <v>2</v>
      </c>
    </row>
    <row r="56" spans="1:22" x14ac:dyDescent="0.15">
      <c r="A56" s="24">
        <v>7</v>
      </c>
      <c r="B56" s="24">
        <v>180</v>
      </c>
      <c r="C56" s="16" t="s">
        <v>36</v>
      </c>
      <c r="D56" s="14">
        <v>120000</v>
      </c>
      <c r="E56" s="65">
        <v>10.5</v>
      </c>
      <c r="F56" s="65">
        <v>3</v>
      </c>
      <c r="G56" s="65">
        <v>3</v>
      </c>
      <c r="H56" s="65">
        <v>1.2</v>
      </c>
      <c r="I56" s="65">
        <v>1.4</v>
      </c>
      <c r="J56" s="65">
        <v>1</v>
      </c>
      <c r="K56" s="65">
        <v>0.6</v>
      </c>
      <c r="L56" s="65">
        <v>34</v>
      </c>
      <c r="M56" s="65">
        <v>20</v>
      </c>
      <c r="N56" s="53">
        <f t="shared" si="15"/>
        <v>680</v>
      </c>
      <c r="O56" s="52">
        <f t="shared" si="7"/>
        <v>346.36059005827468</v>
      </c>
      <c r="P56" s="52">
        <f t="shared" si="12"/>
        <v>664.91808513227966</v>
      </c>
      <c r="Q56" s="52">
        <f t="shared" si="13"/>
        <v>52.948402583602373</v>
      </c>
      <c r="R56" s="52">
        <f>PI()*(E56+1.3)^2*(H56+I56+J56+0.15)*条件输入!$G$2</f>
        <v>1312.3060832575284</v>
      </c>
      <c r="S56" s="52">
        <f>PI()*(E56+1.3)^2*(H56+I56+J56+0.15)*条件输入!$H$2</f>
        <v>328.07652081438204</v>
      </c>
      <c r="T56" s="52">
        <f t="shared" si="10"/>
        <v>922.51611635602842</v>
      </c>
      <c r="U56" s="52">
        <f t="shared" si="14"/>
        <v>552</v>
      </c>
      <c r="V56" s="51">
        <v>2</v>
      </c>
    </row>
    <row r="57" spans="1:22" x14ac:dyDescent="0.15">
      <c r="A57" s="24">
        <v>7</v>
      </c>
      <c r="B57" s="24">
        <v>180</v>
      </c>
      <c r="C57" s="16" t="s">
        <v>158</v>
      </c>
      <c r="D57" s="14">
        <v>50000</v>
      </c>
      <c r="E57" s="65">
        <v>9</v>
      </c>
      <c r="F57" s="65">
        <v>3</v>
      </c>
      <c r="G57" s="65">
        <v>3</v>
      </c>
      <c r="H57" s="65">
        <v>1</v>
      </c>
      <c r="I57" s="65">
        <v>1.2</v>
      </c>
      <c r="J57" s="65">
        <v>0.8</v>
      </c>
      <c r="K57" s="65">
        <v>1</v>
      </c>
      <c r="L57" s="65">
        <v>18</v>
      </c>
      <c r="M57" s="65">
        <v>20</v>
      </c>
      <c r="N57" s="53">
        <f t="shared" si="15"/>
        <v>360</v>
      </c>
      <c r="O57" s="52">
        <f t="shared" ref="O57:O88" si="16">PI()*E57^2</f>
        <v>254.46900494077323</v>
      </c>
      <c r="P57" s="52">
        <f t="shared" si="12"/>
        <v>424.11500823462211</v>
      </c>
      <c r="Q57" s="52">
        <f t="shared" si="13"/>
        <v>39.023293146565614</v>
      </c>
      <c r="R57" s="52">
        <f>PI()*(E57+1.3)^2*(H57+I57+J57+0.15)*条件输入!$G$2</f>
        <v>839.89474284073992</v>
      </c>
      <c r="S57" s="52">
        <f>PI()*(E57+1.3)^2*(H57+I57+J57+0.15)*条件输入!$H$2</f>
        <v>209.97368571018492</v>
      </c>
      <c r="T57" s="52">
        <f t="shared" ref="T57:T88" si="17">R57+S57-P57-Q57</f>
        <v>586.7301271697371</v>
      </c>
      <c r="U57" s="52">
        <f t="shared" si="14"/>
        <v>480</v>
      </c>
      <c r="V57" s="51">
        <v>2</v>
      </c>
    </row>
    <row r="58" spans="1:22" x14ac:dyDescent="0.15">
      <c r="A58" s="24">
        <v>7</v>
      </c>
      <c r="B58" s="24">
        <v>180</v>
      </c>
      <c r="C58" s="16" t="s">
        <v>158</v>
      </c>
      <c r="D58" s="14">
        <v>60000</v>
      </c>
      <c r="E58" s="65">
        <v>9.5</v>
      </c>
      <c r="F58" s="65">
        <v>3</v>
      </c>
      <c r="G58" s="65">
        <v>3</v>
      </c>
      <c r="H58" s="65">
        <v>1</v>
      </c>
      <c r="I58" s="65">
        <v>1.2</v>
      </c>
      <c r="J58" s="65">
        <v>0.8</v>
      </c>
      <c r="K58" s="65">
        <v>1</v>
      </c>
      <c r="L58" s="65">
        <v>20</v>
      </c>
      <c r="M58" s="65">
        <v>20</v>
      </c>
      <c r="N58" s="53">
        <f t="shared" si="15"/>
        <v>400</v>
      </c>
      <c r="O58" s="52">
        <f t="shared" si="16"/>
        <v>283.5287369864788</v>
      </c>
      <c r="P58" s="52">
        <f t="shared" si="12"/>
        <v>466.68358869076371</v>
      </c>
      <c r="Q58" s="52">
        <f t="shared" si="13"/>
        <v>43.429376843225299</v>
      </c>
      <c r="R58" s="52">
        <f>PI()*(E58+1.3)^2*(H58+I58+J58+0.15)*条件输入!$G$2</f>
        <v>923.41712512907804</v>
      </c>
      <c r="S58" s="52">
        <f>PI()*(E58+1.3)^2*(H58+I58+J58+0.15)*条件输入!$H$2</f>
        <v>230.85428128226945</v>
      </c>
      <c r="T58" s="52">
        <f t="shared" si="17"/>
        <v>644.15844087735843</v>
      </c>
      <c r="U58" s="52">
        <f t="shared" si="14"/>
        <v>480</v>
      </c>
      <c r="V58" s="51">
        <v>2</v>
      </c>
    </row>
    <row r="59" spans="1:22" x14ac:dyDescent="0.15">
      <c r="A59" s="24">
        <v>7</v>
      </c>
      <c r="B59" s="24">
        <v>180</v>
      </c>
      <c r="C59" s="16" t="s">
        <v>158</v>
      </c>
      <c r="D59" s="14">
        <v>70000</v>
      </c>
      <c r="E59" s="65">
        <v>9.5</v>
      </c>
      <c r="F59" s="65">
        <v>3</v>
      </c>
      <c r="G59" s="65">
        <v>3</v>
      </c>
      <c r="H59" s="65">
        <v>1</v>
      </c>
      <c r="I59" s="65">
        <v>1.2</v>
      </c>
      <c r="J59" s="65">
        <v>0.8</v>
      </c>
      <c r="K59" s="65">
        <v>1</v>
      </c>
      <c r="L59" s="65">
        <v>22</v>
      </c>
      <c r="M59" s="65">
        <v>20</v>
      </c>
      <c r="N59" s="53">
        <f t="shared" si="15"/>
        <v>440</v>
      </c>
      <c r="O59" s="52">
        <f t="shared" si="16"/>
        <v>283.5287369864788</v>
      </c>
      <c r="P59" s="52">
        <f t="shared" si="12"/>
        <v>466.68358869076371</v>
      </c>
      <c r="Q59" s="52">
        <f t="shared" si="13"/>
        <v>43.429376843225299</v>
      </c>
      <c r="R59" s="52">
        <f>PI()*(E59+1.3)^2*(H59+I59+J59+0.15)*条件输入!$G$2</f>
        <v>923.41712512907804</v>
      </c>
      <c r="S59" s="52">
        <f>PI()*(E59+1.3)^2*(H59+I59+J59+0.15)*条件输入!$H$2</f>
        <v>230.85428128226945</v>
      </c>
      <c r="T59" s="52">
        <f t="shared" si="17"/>
        <v>644.15844087735843</v>
      </c>
      <c r="U59" s="52">
        <f t="shared" si="14"/>
        <v>480</v>
      </c>
      <c r="V59" s="51">
        <v>2</v>
      </c>
    </row>
    <row r="60" spans="1:22" x14ac:dyDescent="0.15">
      <c r="A60" s="24">
        <v>7</v>
      </c>
      <c r="B60" s="24">
        <v>180</v>
      </c>
      <c r="C60" s="16" t="s">
        <v>158</v>
      </c>
      <c r="D60" s="14">
        <v>80000</v>
      </c>
      <c r="E60" s="65">
        <v>10</v>
      </c>
      <c r="F60" s="65">
        <v>3</v>
      </c>
      <c r="G60" s="65">
        <v>3</v>
      </c>
      <c r="H60" s="65">
        <v>1</v>
      </c>
      <c r="I60" s="65">
        <v>1.4</v>
      </c>
      <c r="J60" s="65">
        <v>1</v>
      </c>
      <c r="K60" s="65">
        <v>1</v>
      </c>
      <c r="L60" s="65">
        <v>24</v>
      </c>
      <c r="M60" s="65">
        <v>20</v>
      </c>
      <c r="N60" s="53">
        <f t="shared" si="15"/>
        <v>480</v>
      </c>
      <c r="O60" s="52">
        <f t="shared" si="16"/>
        <v>314.15926535897933</v>
      </c>
      <c r="P60" s="52">
        <f t="shared" si="12"/>
        <v>546.21824270414538</v>
      </c>
      <c r="Q60" s="52">
        <f t="shared" si="13"/>
        <v>48.071079988904216</v>
      </c>
      <c r="R60" s="52">
        <f>PI()*(E60+1.3)^2*(H60+I60+J60+0.15)*条件输入!$G$2</f>
        <v>1139.2659032607414</v>
      </c>
      <c r="S60" s="52">
        <f>PI()*(E60+1.3)^2*(H60+I60+J60+0.15)*条件输入!$H$2</f>
        <v>284.81647581518524</v>
      </c>
      <c r="T60" s="52">
        <f t="shared" si="17"/>
        <v>829.79305638287701</v>
      </c>
      <c r="U60" s="52">
        <f t="shared" si="14"/>
        <v>528</v>
      </c>
      <c r="V60" s="51">
        <v>2</v>
      </c>
    </row>
    <row r="61" spans="1:22" x14ac:dyDescent="0.15">
      <c r="A61" s="24">
        <v>7</v>
      </c>
      <c r="B61" s="24">
        <v>180</v>
      </c>
      <c r="C61" s="16" t="s">
        <v>158</v>
      </c>
      <c r="D61" s="14">
        <v>90000</v>
      </c>
      <c r="E61" s="65">
        <v>10</v>
      </c>
      <c r="F61" s="65">
        <v>3</v>
      </c>
      <c r="G61" s="65">
        <v>3</v>
      </c>
      <c r="H61" s="65">
        <v>1</v>
      </c>
      <c r="I61" s="65">
        <v>1.4</v>
      </c>
      <c r="J61" s="65">
        <v>1</v>
      </c>
      <c r="K61" s="65">
        <v>1</v>
      </c>
      <c r="L61" s="65">
        <v>26</v>
      </c>
      <c r="M61" s="65">
        <v>20</v>
      </c>
      <c r="N61" s="53">
        <f t="shared" si="15"/>
        <v>520</v>
      </c>
      <c r="O61" s="52">
        <f t="shared" si="16"/>
        <v>314.15926535897933</v>
      </c>
      <c r="P61" s="52">
        <f t="shared" si="12"/>
        <v>546.21824270414538</v>
      </c>
      <c r="Q61" s="52">
        <f t="shared" si="13"/>
        <v>48.071079988904216</v>
      </c>
      <c r="R61" s="52">
        <f>PI()*(E61+1.3)^2*(H61+I61+J61+0.15)*条件输入!$G$2</f>
        <v>1139.2659032607414</v>
      </c>
      <c r="S61" s="52">
        <f>PI()*(E61+1.3)^2*(H61+I61+J61+0.15)*条件输入!$H$2</f>
        <v>284.81647581518524</v>
      </c>
      <c r="T61" s="52">
        <f t="shared" si="17"/>
        <v>829.79305638287701</v>
      </c>
      <c r="U61" s="52">
        <f t="shared" si="14"/>
        <v>528</v>
      </c>
      <c r="V61" s="51">
        <v>2</v>
      </c>
    </row>
    <row r="62" spans="1:22" x14ac:dyDescent="0.15">
      <c r="A62" s="24">
        <v>7</v>
      </c>
      <c r="B62" s="24">
        <v>180</v>
      </c>
      <c r="C62" s="16" t="s">
        <v>158</v>
      </c>
      <c r="D62" s="14">
        <v>100000</v>
      </c>
      <c r="E62" s="65">
        <v>10.25</v>
      </c>
      <c r="F62" s="65">
        <v>3</v>
      </c>
      <c r="G62" s="65">
        <v>3</v>
      </c>
      <c r="H62" s="65">
        <v>1.1000000000000001</v>
      </c>
      <c r="I62" s="65">
        <v>1.4</v>
      </c>
      <c r="J62" s="65">
        <v>1</v>
      </c>
      <c r="K62" s="65">
        <v>1</v>
      </c>
      <c r="L62" s="65">
        <v>28</v>
      </c>
      <c r="M62" s="65">
        <v>20</v>
      </c>
      <c r="N62" s="53">
        <f t="shared" si="15"/>
        <v>560</v>
      </c>
      <c r="O62" s="52">
        <f t="shared" si="16"/>
        <v>330.06357816777762</v>
      </c>
      <c r="P62" s="52">
        <f t="shared" si="12"/>
        <v>603.65048340258375</v>
      </c>
      <c r="Q62" s="52">
        <f t="shared" si="13"/>
        <v>50.480288855125885</v>
      </c>
      <c r="R62" s="52">
        <f>PI()*(E62+1.3)^2*(H62+I62+J62+0.15)*条件输入!$G$2</f>
        <v>1223.7612367938962</v>
      </c>
      <c r="S62" s="52">
        <f>PI()*(E62+1.3)^2*(H62+I62+J62+0.15)*条件输入!$H$2</f>
        <v>305.94030919847393</v>
      </c>
      <c r="T62" s="52">
        <f t="shared" si="17"/>
        <v>875.57077373466041</v>
      </c>
      <c r="U62" s="52">
        <f t="shared" si="14"/>
        <v>540</v>
      </c>
      <c r="V62" s="51">
        <v>2</v>
      </c>
    </row>
    <row r="63" spans="1:22" x14ac:dyDescent="0.15">
      <c r="A63" s="24">
        <v>7</v>
      </c>
      <c r="B63" s="24">
        <v>180</v>
      </c>
      <c r="C63" s="16" t="s">
        <v>158</v>
      </c>
      <c r="D63" s="14">
        <v>110000</v>
      </c>
      <c r="E63" s="65">
        <v>10.25</v>
      </c>
      <c r="F63" s="65">
        <v>3</v>
      </c>
      <c r="G63" s="65">
        <v>3</v>
      </c>
      <c r="H63" s="65">
        <v>1.1000000000000001</v>
      </c>
      <c r="I63" s="65">
        <v>1.4</v>
      </c>
      <c r="J63" s="65">
        <v>1</v>
      </c>
      <c r="K63" s="65">
        <v>1</v>
      </c>
      <c r="L63" s="65">
        <v>30</v>
      </c>
      <c r="M63" s="65">
        <v>20</v>
      </c>
      <c r="N63" s="53">
        <f t="shared" si="15"/>
        <v>600</v>
      </c>
      <c r="O63" s="52">
        <f t="shared" si="16"/>
        <v>330.06357816777762</v>
      </c>
      <c r="P63" s="52">
        <f t="shared" si="12"/>
        <v>603.65048340258375</v>
      </c>
      <c r="Q63" s="52">
        <f t="shared" si="13"/>
        <v>50.480288855125885</v>
      </c>
      <c r="R63" s="52">
        <f>PI()*(E63+1.3)^2*(H63+I63+J63+0.15)*条件输入!$G$2</f>
        <v>1223.7612367938962</v>
      </c>
      <c r="S63" s="52">
        <f>PI()*(E63+1.3)^2*(H63+I63+J63+0.15)*条件输入!$H$2</f>
        <v>305.94030919847393</v>
      </c>
      <c r="T63" s="52">
        <f t="shared" si="17"/>
        <v>875.57077373466041</v>
      </c>
      <c r="U63" s="52">
        <f t="shared" si="14"/>
        <v>540</v>
      </c>
      <c r="V63" s="51">
        <v>2</v>
      </c>
    </row>
    <row r="64" spans="1:22" x14ac:dyDescent="0.15">
      <c r="A64" s="24">
        <v>7</v>
      </c>
      <c r="B64" s="24">
        <v>180</v>
      </c>
      <c r="C64" s="16" t="s">
        <v>158</v>
      </c>
      <c r="D64" s="14">
        <v>120000</v>
      </c>
      <c r="E64" s="65">
        <v>10.5</v>
      </c>
      <c r="F64" s="65">
        <v>3</v>
      </c>
      <c r="G64" s="65">
        <v>3</v>
      </c>
      <c r="H64" s="65">
        <v>1.2</v>
      </c>
      <c r="I64" s="65">
        <v>1.4</v>
      </c>
      <c r="J64" s="65">
        <v>1</v>
      </c>
      <c r="K64" s="65">
        <v>1</v>
      </c>
      <c r="L64" s="65">
        <v>32</v>
      </c>
      <c r="M64" s="65">
        <v>20</v>
      </c>
      <c r="N64" s="53">
        <f t="shared" si="15"/>
        <v>640</v>
      </c>
      <c r="O64" s="52">
        <f t="shared" si="16"/>
        <v>346.36059005827468</v>
      </c>
      <c r="P64" s="52">
        <f t="shared" si="12"/>
        <v>664.91808513227966</v>
      </c>
      <c r="Q64" s="52">
        <f t="shared" si="13"/>
        <v>52.948402583602373</v>
      </c>
      <c r="R64" s="52">
        <f>PI()*(E64+1.3)^2*(H64+I64+J64+0.15)*条件输入!$G$2</f>
        <v>1312.3060832575284</v>
      </c>
      <c r="S64" s="52">
        <f>PI()*(E64+1.3)^2*(H64+I64+J64+0.15)*条件输入!$H$2</f>
        <v>328.07652081438204</v>
      </c>
      <c r="T64" s="52">
        <f t="shared" si="17"/>
        <v>922.51611635602842</v>
      </c>
      <c r="U64" s="52">
        <f t="shared" si="14"/>
        <v>552</v>
      </c>
      <c r="V64" s="51">
        <v>2</v>
      </c>
    </row>
    <row r="65" spans="1:22" x14ac:dyDescent="0.15">
      <c r="A65" s="24">
        <v>8</v>
      </c>
      <c r="B65" s="24">
        <v>180</v>
      </c>
      <c r="C65" s="16" t="s">
        <v>16</v>
      </c>
      <c r="D65" s="14">
        <v>50000</v>
      </c>
      <c r="E65" s="65">
        <v>9.5</v>
      </c>
      <c r="F65" s="65">
        <v>3</v>
      </c>
      <c r="G65" s="65">
        <v>3</v>
      </c>
      <c r="H65" s="65">
        <v>1</v>
      </c>
      <c r="I65" s="65">
        <v>1.2</v>
      </c>
      <c r="J65" s="65">
        <v>0.8</v>
      </c>
      <c r="K65" s="65">
        <v>0</v>
      </c>
      <c r="L65" s="65">
        <v>0</v>
      </c>
      <c r="M65" s="65">
        <v>0</v>
      </c>
      <c r="N65" s="53">
        <v>0</v>
      </c>
      <c r="O65" s="52">
        <f t="shared" si="16"/>
        <v>283.5287369864788</v>
      </c>
      <c r="P65" s="52">
        <f>PI()*E65^2*H65+PI()*G65^2*J65+PI()*(E65^2+F65^2+(E65^2*F65^2)^0.5)*I65/3</f>
        <v>466.68358869076371</v>
      </c>
      <c r="Q65" s="52">
        <f>PI()*(E65+0.1)^2*0.15</f>
        <v>43.429376843225299</v>
      </c>
      <c r="R65" s="52">
        <f>PI()*(E65+1.3)^2*(H65+I65+J65+0.15)*条件输入!$G$2</f>
        <v>923.41712512907804</v>
      </c>
      <c r="S65" s="52">
        <f>PI()*(E65+1.3)^2*(H65+I65+J65+0.15)*条件输入!$H$2</f>
        <v>230.85428128226945</v>
      </c>
      <c r="T65" s="52">
        <f t="shared" si="17"/>
        <v>644.15844087735843</v>
      </c>
      <c r="U65" s="52">
        <f>120*(H65+I65+J65+1)</f>
        <v>480</v>
      </c>
      <c r="V65" s="51">
        <v>2</v>
      </c>
    </row>
    <row r="66" spans="1:22" x14ac:dyDescent="0.15">
      <c r="A66" s="24">
        <v>8</v>
      </c>
      <c r="B66" s="24">
        <v>180</v>
      </c>
      <c r="C66" s="16" t="s">
        <v>16</v>
      </c>
      <c r="D66" s="14">
        <v>60000</v>
      </c>
      <c r="E66" s="65">
        <v>10</v>
      </c>
      <c r="F66" s="65">
        <v>3</v>
      </c>
      <c r="G66" s="65">
        <v>3</v>
      </c>
      <c r="H66" s="65">
        <v>1</v>
      </c>
      <c r="I66" s="65">
        <v>1.4</v>
      </c>
      <c r="J66" s="65">
        <v>0.8</v>
      </c>
      <c r="K66" s="65">
        <v>0</v>
      </c>
      <c r="L66" s="65">
        <v>0</v>
      </c>
      <c r="M66" s="65">
        <v>0</v>
      </c>
      <c r="N66" s="53">
        <v>0</v>
      </c>
      <c r="O66" s="52">
        <f t="shared" si="16"/>
        <v>314.15926535897933</v>
      </c>
      <c r="P66" s="52">
        <f t="shared" ref="P66:P88" si="18">PI()*E66^2*H66+PI()*G66^2*J66+PI()*(E66^2+F66^2+(E66^2*F66^2)^0.5)*I66/3</f>
        <v>540.56337592768375</v>
      </c>
      <c r="Q66" s="52">
        <f t="shared" ref="Q66:Q88" si="19">PI()*(E66+0.1)^2*0.15</f>
        <v>48.071079988904216</v>
      </c>
      <c r="R66" s="52">
        <f>PI()*(E66+1.3)^2*(H66+I66+J66+0.15)*条件输入!$G$2</f>
        <v>1075.0819087108405</v>
      </c>
      <c r="S66" s="52">
        <f>PI()*(E66+1.3)^2*(H66+I66+J66+0.15)*条件输入!$H$2</f>
        <v>268.77047717771006</v>
      </c>
      <c r="T66" s="52">
        <f t="shared" si="17"/>
        <v>755.21792997196258</v>
      </c>
      <c r="U66" s="52">
        <f t="shared" ref="U66:U88" si="20">120*(H66+I66+J66+1)</f>
        <v>504</v>
      </c>
      <c r="V66" s="51">
        <v>2</v>
      </c>
    </row>
    <row r="67" spans="1:22" x14ac:dyDescent="0.15">
      <c r="A67" s="24">
        <v>8</v>
      </c>
      <c r="B67" s="24">
        <v>180</v>
      </c>
      <c r="C67" s="16" t="s">
        <v>16</v>
      </c>
      <c r="D67" s="14">
        <v>70000</v>
      </c>
      <c r="E67" s="65">
        <v>10.25</v>
      </c>
      <c r="F67" s="65">
        <v>3</v>
      </c>
      <c r="G67" s="65">
        <v>3</v>
      </c>
      <c r="H67" s="65">
        <v>1</v>
      </c>
      <c r="I67" s="65">
        <v>1.6</v>
      </c>
      <c r="J67" s="65">
        <v>1</v>
      </c>
      <c r="K67" s="65">
        <v>0</v>
      </c>
      <c r="L67" s="65">
        <v>0</v>
      </c>
      <c r="M67" s="65">
        <v>0</v>
      </c>
      <c r="N67" s="53">
        <v>0</v>
      </c>
      <c r="O67" s="52">
        <f t="shared" si="16"/>
        <v>330.06357816777762</v>
      </c>
      <c r="P67" s="52">
        <f t="shared" si="18"/>
        <v>600.97358466233754</v>
      </c>
      <c r="Q67" s="52">
        <f t="shared" si="19"/>
        <v>50.480288855125885</v>
      </c>
      <c r="R67" s="52">
        <f>PI()*(E67+1.3)^2*(H67+I67+J67+0.15)*条件输入!$G$2</f>
        <v>1257.2889419115372</v>
      </c>
      <c r="S67" s="52">
        <f>PI()*(E67+1.3)^2*(H67+I67+J67+0.15)*条件输入!$H$2</f>
        <v>314.32223547788419</v>
      </c>
      <c r="T67" s="52">
        <f t="shared" si="17"/>
        <v>920.15730387195788</v>
      </c>
      <c r="U67" s="52">
        <f t="shared" si="20"/>
        <v>552</v>
      </c>
      <c r="V67" s="51">
        <v>2</v>
      </c>
    </row>
    <row r="68" spans="1:22" x14ac:dyDescent="0.15">
      <c r="A68" s="24">
        <v>8</v>
      </c>
      <c r="B68" s="24">
        <v>180</v>
      </c>
      <c r="C68" s="16" t="s">
        <v>16</v>
      </c>
      <c r="D68" s="14">
        <v>80000</v>
      </c>
      <c r="E68" s="65">
        <v>10.25</v>
      </c>
      <c r="F68" s="65">
        <v>3</v>
      </c>
      <c r="G68" s="65">
        <v>3</v>
      </c>
      <c r="H68" s="65">
        <v>1</v>
      </c>
      <c r="I68" s="65">
        <v>1.7</v>
      </c>
      <c r="J68" s="65">
        <v>1</v>
      </c>
      <c r="K68" s="65">
        <v>0</v>
      </c>
      <c r="L68" s="65">
        <v>0</v>
      </c>
      <c r="M68" s="65">
        <v>0</v>
      </c>
      <c r="N68" s="53">
        <v>0</v>
      </c>
      <c r="O68" s="52">
        <f t="shared" si="16"/>
        <v>330.06357816777762</v>
      </c>
      <c r="P68" s="52">
        <f t="shared" si="18"/>
        <v>616.13831420060319</v>
      </c>
      <c r="Q68" s="52">
        <f t="shared" si="19"/>
        <v>50.480288855125885</v>
      </c>
      <c r="R68" s="52">
        <f>PI()*(E68+1.3)^2*(H68+I68+J68+0.15)*条件输入!$G$2</f>
        <v>1290.8166470291781</v>
      </c>
      <c r="S68" s="52">
        <f>PI()*(E68+1.3)^2*(H68+I68+J68+0.15)*条件输入!$H$2</f>
        <v>322.70416175729446</v>
      </c>
      <c r="T68" s="52">
        <f t="shared" si="17"/>
        <v>946.9022057307435</v>
      </c>
      <c r="U68" s="52">
        <f t="shared" si="20"/>
        <v>564</v>
      </c>
      <c r="V68" s="51">
        <v>2</v>
      </c>
    </row>
    <row r="69" spans="1:22" x14ac:dyDescent="0.15">
      <c r="A69" s="24">
        <v>8</v>
      </c>
      <c r="B69" s="24">
        <v>180</v>
      </c>
      <c r="C69" s="16" t="s">
        <v>16</v>
      </c>
      <c r="D69" s="14">
        <v>90000</v>
      </c>
      <c r="E69" s="65">
        <v>10.75</v>
      </c>
      <c r="F69" s="65">
        <v>3</v>
      </c>
      <c r="G69" s="65">
        <v>3</v>
      </c>
      <c r="H69" s="65">
        <v>1</v>
      </c>
      <c r="I69" s="65">
        <v>1.7</v>
      </c>
      <c r="J69" s="65">
        <v>1</v>
      </c>
      <c r="K69" s="65">
        <v>0</v>
      </c>
      <c r="L69" s="65">
        <v>0</v>
      </c>
      <c r="M69" s="65">
        <v>0</v>
      </c>
      <c r="N69" s="53">
        <v>0</v>
      </c>
      <c r="O69" s="52">
        <f t="shared" si="16"/>
        <v>363.05030103047045</v>
      </c>
      <c r="P69" s="52">
        <f t="shared" si="18"/>
        <v>670.48786710770662</v>
      </c>
      <c r="Q69" s="52">
        <f t="shared" si="19"/>
        <v>55.475421174333661</v>
      </c>
      <c r="R69" s="52">
        <f>PI()*(E69+1.3)^2*(H69+I69+J69+0.15)*条件输入!$G$2</f>
        <v>1404.9946904312458</v>
      </c>
      <c r="S69" s="52">
        <f>PI()*(E69+1.3)^2*(H69+I69+J69+0.15)*条件输入!$H$2</f>
        <v>351.24867260781133</v>
      </c>
      <c r="T69" s="52">
        <f t="shared" si="17"/>
        <v>1030.280074757017</v>
      </c>
      <c r="U69" s="52">
        <f t="shared" si="20"/>
        <v>564</v>
      </c>
      <c r="V69" s="51">
        <v>2</v>
      </c>
    </row>
    <row r="70" spans="1:22" x14ac:dyDescent="0.15">
      <c r="A70" s="24">
        <v>8</v>
      </c>
      <c r="B70" s="24">
        <v>180</v>
      </c>
      <c r="C70" s="16" t="s">
        <v>16</v>
      </c>
      <c r="D70" s="14">
        <v>100000</v>
      </c>
      <c r="E70" s="65">
        <v>11</v>
      </c>
      <c r="F70" s="65">
        <v>3</v>
      </c>
      <c r="G70" s="65">
        <v>3</v>
      </c>
      <c r="H70" s="65">
        <v>1</v>
      </c>
      <c r="I70" s="65">
        <v>1.8</v>
      </c>
      <c r="J70" s="65">
        <v>1</v>
      </c>
      <c r="K70" s="65">
        <v>0</v>
      </c>
      <c r="L70" s="65">
        <v>0</v>
      </c>
      <c r="M70" s="65">
        <v>0</v>
      </c>
      <c r="N70" s="53">
        <v>0</v>
      </c>
      <c r="O70" s="52">
        <f t="shared" si="16"/>
        <v>380.13271108436498</v>
      </c>
      <c r="P70" s="52">
        <f t="shared" si="18"/>
        <v>715.65480648775497</v>
      </c>
      <c r="Q70" s="52">
        <f t="shared" si="19"/>
        <v>58.061344627319755</v>
      </c>
      <c r="R70" s="52">
        <f>PI()*(E70+1.3)^2*(H70+I70+J70+0.15)*条件输入!$G$2</f>
        <v>1501.9213060946556</v>
      </c>
      <c r="S70" s="52">
        <f>PI()*(E70+1.3)^2*(H70+I70+J70+0.15)*条件输入!$H$2</f>
        <v>375.48032652366379</v>
      </c>
      <c r="T70" s="52">
        <f t="shared" si="17"/>
        <v>1103.6854815032445</v>
      </c>
      <c r="U70" s="52">
        <f t="shared" si="20"/>
        <v>576</v>
      </c>
      <c r="V70" s="51">
        <v>2</v>
      </c>
    </row>
    <row r="71" spans="1:22" x14ac:dyDescent="0.15">
      <c r="A71" s="24">
        <v>8</v>
      </c>
      <c r="B71" s="24">
        <v>180</v>
      </c>
      <c r="C71" s="16" t="s">
        <v>16</v>
      </c>
      <c r="D71" s="14">
        <v>110000</v>
      </c>
      <c r="E71" s="65">
        <v>11.5</v>
      </c>
      <c r="F71" s="65">
        <v>3</v>
      </c>
      <c r="G71" s="65">
        <v>3</v>
      </c>
      <c r="H71" s="65">
        <v>1.1000000000000001</v>
      </c>
      <c r="I71" s="65">
        <v>1.8</v>
      </c>
      <c r="J71" s="65">
        <v>1</v>
      </c>
      <c r="K71" s="65">
        <v>0</v>
      </c>
      <c r="L71" s="65">
        <v>0</v>
      </c>
      <c r="M71" s="65">
        <v>0</v>
      </c>
      <c r="N71" s="53">
        <v>0</v>
      </c>
      <c r="O71" s="52">
        <f t="shared" si="16"/>
        <v>415.47562843725012</v>
      </c>
      <c r="P71" s="52">
        <f t="shared" si="18"/>
        <v>816.578470484327</v>
      </c>
      <c r="Q71" s="52">
        <f t="shared" si="19"/>
        <v>63.409906120056384</v>
      </c>
      <c r="R71" s="52">
        <f>PI()*(E71+1.3)^2*(H71+I71+J71+0.15)*条件输入!$G$2</f>
        <v>1667.6880707798518</v>
      </c>
      <c r="S71" s="52">
        <f>PI()*(E71+1.3)^2*(H71+I71+J71+0.15)*条件输入!$H$2</f>
        <v>416.92201769496285</v>
      </c>
      <c r="T71" s="52">
        <f t="shared" si="17"/>
        <v>1204.6217118704315</v>
      </c>
      <c r="U71" s="52">
        <f t="shared" si="20"/>
        <v>588</v>
      </c>
      <c r="V71" s="51">
        <v>2</v>
      </c>
    </row>
    <row r="72" spans="1:22" x14ac:dyDescent="0.15">
      <c r="A72" s="24">
        <v>8</v>
      </c>
      <c r="B72" s="24">
        <v>180</v>
      </c>
      <c r="C72" s="16" t="s">
        <v>16</v>
      </c>
      <c r="D72" s="14">
        <v>120000</v>
      </c>
      <c r="E72" s="65">
        <v>12</v>
      </c>
      <c r="F72" s="65">
        <v>3</v>
      </c>
      <c r="G72" s="65">
        <v>3</v>
      </c>
      <c r="H72" s="65">
        <v>1.2</v>
      </c>
      <c r="I72" s="65">
        <v>1.8</v>
      </c>
      <c r="J72" s="65">
        <v>1</v>
      </c>
      <c r="K72" s="65">
        <v>0</v>
      </c>
      <c r="L72" s="65">
        <v>0</v>
      </c>
      <c r="M72" s="65">
        <v>0</v>
      </c>
      <c r="N72" s="53">
        <v>0</v>
      </c>
      <c r="O72" s="52">
        <f t="shared" si="16"/>
        <v>452.38934211693021</v>
      </c>
      <c r="P72" s="52">
        <f t="shared" si="18"/>
        <v>927.39815133970694</v>
      </c>
      <c r="Q72" s="52">
        <f t="shared" si="19"/>
        <v>68.994087061812237</v>
      </c>
      <c r="R72" s="52">
        <f>PI()*(E72+1.3)^2*(H72+I72+J72+0.15)*条件输入!$G$2</f>
        <v>1844.9781973184154</v>
      </c>
      <c r="S72" s="52">
        <f>PI()*(E72+1.3)^2*(H72+I72+J72+0.15)*条件输入!$H$2</f>
        <v>461.24454932960367</v>
      </c>
      <c r="T72" s="52">
        <f t="shared" si="17"/>
        <v>1309.8305082464997</v>
      </c>
      <c r="U72" s="52">
        <f t="shared" si="20"/>
        <v>600</v>
      </c>
      <c r="V72" s="51">
        <v>2</v>
      </c>
    </row>
    <row r="73" spans="1:22" x14ac:dyDescent="0.15">
      <c r="A73" s="24">
        <v>8</v>
      </c>
      <c r="B73" s="24">
        <v>180</v>
      </c>
      <c r="C73" s="16" t="s">
        <v>36</v>
      </c>
      <c r="D73" s="14">
        <v>50000</v>
      </c>
      <c r="E73" s="65">
        <v>9</v>
      </c>
      <c r="F73" s="65">
        <v>3</v>
      </c>
      <c r="G73" s="65">
        <v>3</v>
      </c>
      <c r="H73" s="65">
        <v>1</v>
      </c>
      <c r="I73" s="65">
        <v>1.2</v>
      </c>
      <c r="J73" s="65">
        <v>0.8</v>
      </c>
      <c r="K73" s="65">
        <v>0.6</v>
      </c>
      <c r="L73" s="65">
        <v>20</v>
      </c>
      <c r="M73" s="65">
        <v>20</v>
      </c>
      <c r="N73" s="53">
        <f t="shared" ref="N73:N88" si="21">L73*M73</f>
        <v>400</v>
      </c>
      <c r="O73" s="52">
        <f t="shared" si="16"/>
        <v>254.46900494077323</v>
      </c>
      <c r="P73" s="52">
        <f t="shared" si="18"/>
        <v>424.11500823462211</v>
      </c>
      <c r="Q73" s="52">
        <f t="shared" si="19"/>
        <v>39.023293146565614</v>
      </c>
      <c r="R73" s="52">
        <f>PI()*(E73+1.3)^2*(H73+I73+J73+0.15)*条件输入!$G$2</f>
        <v>839.89474284073992</v>
      </c>
      <c r="S73" s="52">
        <f>PI()*(E73+1.3)^2*(H73+I73+J73+0.15)*条件输入!$H$2</f>
        <v>209.97368571018492</v>
      </c>
      <c r="T73" s="52">
        <f t="shared" si="17"/>
        <v>586.7301271697371</v>
      </c>
      <c r="U73" s="52">
        <f t="shared" si="20"/>
        <v>480</v>
      </c>
      <c r="V73" s="51">
        <v>2</v>
      </c>
    </row>
    <row r="74" spans="1:22" x14ac:dyDescent="0.15">
      <c r="A74" s="24">
        <v>8</v>
      </c>
      <c r="B74" s="24">
        <v>180</v>
      </c>
      <c r="C74" s="16" t="s">
        <v>36</v>
      </c>
      <c r="D74" s="14">
        <v>60000</v>
      </c>
      <c r="E74" s="65">
        <v>9.5</v>
      </c>
      <c r="F74" s="65">
        <v>3</v>
      </c>
      <c r="G74" s="65">
        <v>3</v>
      </c>
      <c r="H74" s="65">
        <v>1</v>
      </c>
      <c r="I74" s="65">
        <v>1.2</v>
      </c>
      <c r="J74" s="65">
        <v>0.8</v>
      </c>
      <c r="K74" s="65">
        <v>0.6</v>
      </c>
      <c r="L74" s="65">
        <v>22</v>
      </c>
      <c r="M74" s="65">
        <v>20</v>
      </c>
      <c r="N74" s="53">
        <f t="shared" si="21"/>
        <v>440</v>
      </c>
      <c r="O74" s="52">
        <f t="shared" si="16"/>
        <v>283.5287369864788</v>
      </c>
      <c r="P74" s="52">
        <f t="shared" si="18"/>
        <v>466.68358869076371</v>
      </c>
      <c r="Q74" s="52">
        <f t="shared" si="19"/>
        <v>43.429376843225299</v>
      </c>
      <c r="R74" s="52">
        <f>PI()*(E74+1.3)^2*(H74+I74+J74+0.15)*条件输入!$G$2</f>
        <v>923.41712512907804</v>
      </c>
      <c r="S74" s="52">
        <f>PI()*(E74+1.3)^2*(H74+I74+J74+0.15)*条件输入!$H$2</f>
        <v>230.85428128226945</v>
      </c>
      <c r="T74" s="52">
        <f t="shared" si="17"/>
        <v>644.15844087735843</v>
      </c>
      <c r="U74" s="52">
        <f t="shared" si="20"/>
        <v>480</v>
      </c>
      <c r="V74" s="51">
        <v>2</v>
      </c>
    </row>
    <row r="75" spans="1:22" x14ac:dyDescent="0.15">
      <c r="A75" s="24">
        <v>8</v>
      </c>
      <c r="B75" s="24">
        <v>180</v>
      </c>
      <c r="C75" s="16" t="s">
        <v>36</v>
      </c>
      <c r="D75" s="14">
        <v>70000</v>
      </c>
      <c r="E75" s="65">
        <v>9.5</v>
      </c>
      <c r="F75" s="65">
        <v>3</v>
      </c>
      <c r="G75" s="65">
        <v>3</v>
      </c>
      <c r="H75" s="65">
        <v>1</v>
      </c>
      <c r="I75" s="65">
        <v>1.2</v>
      </c>
      <c r="J75" s="65">
        <v>0.8</v>
      </c>
      <c r="K75" s="65">
        <v>0.6</v>
      </c>
      <c r="L75" s="65">
        <v>24</v>
      </c>
      <c r="M75" s="65">
        <v>20</v>
      </c>
      <c r="N75" s="53">
        <f t="shared" si="21"/>
        <v>480</v>
      </c>
      <c r="O75" s="52">
        <f t="shared" si="16"/>
        <v>283.5287369864788</v>
      </c>
      <c r="P75" s="52">
        <f t="shared" si="18"/>
        <v>466.68358869076371</v>
      </c>
      <c r="Q75" s="52">
        <f t="shared" si="19"/>
        <v>43.429376843225299</v>
      </c>
      <c r="R75" s="52">
        <f>PI()*(E75+1.3)^2*(H75+I75+J75+0.15)*条件输入!$G$2</f>
        <v>923.41712512907804</v>
      </c>
      <c r="S75" s="52">
        <f>PI()*(E75+1.3)^2*(H75+I75+J75+0.15)*条件输入!$H$2</f>
        <v>230.85428128226945</v>
      </c>
      <c r="T75" s="52">
        <f t="shared" si="17"/>
        <v>644.15844087735843</v>
      </c>
      <c r="U75" s="52">
        <f t="shared" si="20"/>
        <v>480</v>
      </c>
      <c r="V75" s="51">
        <v>2</v>
      </c>
    </row>
    <row r="76" spans="1:22" x14ac:dyDescent="0.15">
      <c r="A76" s="24">
        <v>8</v>
      </c>
      <c r="B76" s="24">
        <v>180</v>
      </c>
      <c r="C76" s="16" t="s">
        <v>36</v>
      </c>
      <c r="D76" s="14">
        <v>80000</v>
      </c>
      <c r="E76" s="65">
        <v>10</v>
      </c>
      <c r="F76" s="65">
        <v>3</v>
      </c>
      <c r="G76" s="65">
        <v>3</v>
      </c>
      <c r="H76" s="65">
        <v>1</v>
      </c>
      <c r="I76" s="65">
        <v>1.4</v>
      </c>
      <c r="J76" s="65">
        <v>1</v>
      </c>
      <c r="K76" s="65">
        <v>0.6</v>
      </c>
      <c r="L76" s="65">
        <v>26</v>
      </c>
      <c r="M76" s="65">
        <v>20</v>
      </c>
      <c r="N76" s="53">
        <f t="shared" si="21"/>
        <v>520</v>
      </c>
      <c r="O76" s="52">
        <f t="shared" si="16"/>
        <v>314.15926535897933</v>
      </c>
      <c r="P76" s="52">
        <f t="shared" si="18"/>
        <v>546.21824270414538</v>
      </c>
      <c r="Q76" s="52">
        <f t="shared" si="19"/>
        <v>48.071079988904216</v>
      </c>
      <c r="R76" s="52">
        <f>PI()*(E76+1.3)^2*(H76+I76+J76+0.15)*条件输入!$G$2</f>
        <v>1139.2659032607414</v>
      </c>
      <c r="S76" s="52">
        <f>PI()*(E76+1.3)^2*(H76+I76+J76+0.15)*条件输入!$H$2</f>
        <v>284.81647581518524</v>
      </c>
      <c r="T76" s="52">
        <f t="shared" si="17"/>
        <v>829.79305638287701</v>
      </c>
      <c r="U76" s="52">
        <f t="shared" si="20"/>
        <v>528</v>
      </c>
      <c r="V76" s="51">
        <v>2</v>
      </c>
    </row>
    <row r="77" spans="1:22" x14ac:dyDescent="0.15">
      <c r="A77" s="24">
        <v>8</v>
      </c>
      <c r="B77" s="24">
        <v>180</v>
      </c>
      <c r="C77" s="16" t="s">
        <v>36</v>
      </c>
      <c r="D77" s="14">
        <v>90000</v>
      </c>
      <c r="E77" s="65">
        <v>10</v>
      </c>
      <c r="F77" s="65">
        <v>3</v>
      </c>
      <c r="G77" s="65">
        <v>3</v>
      </c>
      <c r="H77" s="65">
        <v>1</v>
      </c>
      <c r="I77" s="65">
        <v>1.4</v>
      </c>
      <c r="J77" s="65">
        <v>1</v>
      </c>
      <c r="K77" s="65">
        <v>0.6</v>
      </c>
      <c r="L77" s="65">
        <v>28</v>
      </c>
      <c r="M77" s="65">
        <v>20</v>
      </c>
      <c r="N77" s="53">
        <f t="shared" si="21"/>
        <v>560</v>
      </c>
      <c r="O77" s="52">
        <f t="shared" si="16"/>
        <v>314.15926535897933</v>
      </c>
      <c r="P77" s="52">
        <f t="shared" si="18"/>
        <v>546.21824270414538</v>
      </c>
      <c r="Q77" s="52">
        <f t="shared" si="19"/>
        <v>48.071079988904216</v>
      </c>
      <c r="R77" s="52">
        <f>PI()*(E77+1.3)^2*(H77+I77+J77+0.15)*条件输入!$G$2</f>
        <v>1139.2659032607414</v>
      </c>
      <c r="S77" s="52">
        <f>PI()*(E77+1.3)^2*(H77+I77+J77+0.15)*条件输入!$H$2</f>
        <v>284.81647581518524</v>
      </c>
      <c r="T77" s="52">
        <f t="shared" si="17"/>
        <v>829.79305638287701</v>
      </c>
      <c r="U77" s="52">
        <f t="shared" si="20"/>
        <v>528</v>
      </c>
      <c r="V77" s="51">
        <v>2</v>
      </c>
    </row>
    <row r="78" spans="1:22" x14ac:dyDescent="0.15">
      <c r="A78" s="24">
        <v>8</v>
      </c>
      <c r="B78" s="24">
        <v>180</v>
      </c>
      <c r="C78" s="16" t="s">
        <v>36</v>
      </c>
      <c r="D78" s="14">
        <v>100000</v>
      </c>
      <c r="E78" s="65">
        <v>10.25</v>
      </c>
      <c r="F78" s="65">
        <v>3</v>
      </c>
      <c r="G78" s="65">
        <v>3</v>
      </c>
      <c r="H78" s="65">
        <v>1.1000000000000001</v>
      </c>
      <c r="I78" s="65">
        <v>1.4</v>
      </c>
      <c r="J78" s="65">
        <v>1</v>
      </c>
      <c r="K78" s="65">
        <v>0.6</v>
      </c>
      <c r="L78" s="65">
        <v>30</v>
      </c>
      <c r="M78" s="65">
        <v>20</v>
      </c>
      <c r="N78" s="53">
        <f t="shared" si="21"/>
        <v>600</v>
      </c>
      <c r="O78" s="52">
        <f t="shared" si="16"/>
        <v>330.06357816777762</v>
      </c>
      <c r="P78" s="52">
        <f t="shared" si="18"/>
        <v>603.65048340258375</v>
      </c>
      <c r="Q78" s="52">
        <f t="shared" si="19"/>
        <v>50.480288855125885</v>
      </c>
      <c r="R78" s="52">
        <f>PI()*(E78+1.3)^2*(H78+I78+J78+0.15)*条件输入!$G$2</f>
        <v>1223.7612367938962</v>
      </c>
      <c r="S78" s="52">
        <f>PI()*(E78+1.3)^2*(H78+I78+J78+0.15)*条件输入!$H$2</f>
        <v>305.94030919847393</v>
      </c>
      <c r="T78" s="52">
        <f t="shared" si="17"/>
        <v>875.57077373466041</v>
      </c>
      <c r="U78" s="52">
        <f t="shared" si="20"/>
        <v>540</v>
      </c>
      <c r="V78" s="51">
        <v>2</v>
      </c>
    </row>
    <row r="79" spans="1:22" x14ac:dyDescent="0.15">
      <c r="A79" s="24">
        <v>8</v>
      </c>
      <c r="B79" s="24">
        <v>180</v>
      </c>
      <c r="C79" s="16" t="s">
        <v>36</v>
      </c>
      <c r="D79" s="14">
        <v>110000</v>
      </c>
      <c r="E79" s="65">
        <v>10.25</v>
      </c>
      <c r="F79" s="65">
        <v>3</v>
      </c>
      <c r="G79" s="65">
        <v>3</v>
      </c>
      <c r="H79" s="65">
        <v>1.1000000000000001</v>
      </c>
      <c r="I79" s="65">
        <v>1.4</v>
      </c>
      <c r="J79" s="65">
        <v>1</v>
      </c>
      <c r="K79" s="65">
        <v>0.6</v>
      </c>
      <c r="L79" s="65">
        <v>32</v>
      </c>
      <c r="M79" s="65">
        <v>20</v>
      </c>
      <c r="N79" s="53">
        <f t="shared" si="21"/>
        <v>640</v>
      </c>
      <c r="O79" s="52">
        <f t="shared" si="16"/>
        <v>330.06357816777762</v>
      </c>
      <c r="P79" s="52">
        <f t="shared" si="18"/>
        <v>603.65048340258375</v>
      </c>
      <c r="Q79" s="52">
        <f t="shared" si="19"/>
        <v>50.480288855125885</v>
      </c>
      <c r="R79" s="52">
        <f>PI()*(E79+1.3)^2*(H79+I79+J79+0.15)*条件输入!$G$2</f>
        <v>1223.7612367938962</v>
      </c>
      <c r="S79" s="52">
        <f>PI()*(E79+1.3)^2*(H79+I79+J79+0.15)*条件输入!$H$2</f>
        <v>305.94030919847393</v>
      </c>
      <c r="T79" s="52">
        <f t="shared" si="17"/>
        <v>875.57077373466041</v>
      </c>
      <c r="U79" s="52">
        <f t="shared" si="20"/>
        <v>540</v>
      </c>
      <c r="V79" s="51">
        <v>2</v>
      </c>
    </row>
    <row r="80" spans="1:22" x14ac:dyDescent="0.15">
      <c r="A80" s="24">
        <v>8</v>
      </c>
      <c r="B80" s="24">
        <v>180</v>
      </c>
      <c r="C80" s="16" t="s">
        <v>36</v>
      </c>
      <c r="D80" s="14">
        <v>120000</v>
      </c>
      <c r="E80" s="65">
        <v>10.5</v>
      </c>
      <c r="F80" s="65">
        <v>3</v>
      </c>
      <c r="G80" s="65">
        <v>3</v>
      </c>
      <c r="H80" s="65">
        <v>1.2</v>
      </c>
      <c r="I80" s="65">
        <v>1.4</v>
      </c>
      <c r="J80" s="65">
        <v>1</v>
      </c>
      <c r="K80" s="65">
        <v>0.6</v>
      </c>
      <c r="L80" s="65">
        <v>34</v>
      </c>
      <c r="M80" s="65">
        <v>20</v>
      </c>
      <c r="N80" s="53">
        <f t="shared" si="21"/>
        <v>680</v>
      </c>
      <c r="O80" s="52">
        <f t="shared" si="16"/>
        <v>346.36059005827468</v>
      </c>
      <c r="P80" s="52">
        <f t="shared" si="18"/>
        <v>664.91808513227966</v>
      </c>
      <c r="Q80" s="52">
        <f t="shared" si="19"/>
        <v>52.948402583602373</v>
      </c>
      <c r="R80" s="52">
        <f>PI()*(E80+1.3)^2*(H80+I80+J80+0.15)*条件输入!$G$2</f>
        <v>1312.3060832575284</v>
      </c>
      <c r="S80" s="52">
        <f>PI()*(E80+1.3)^2*(H80+I80+J80+0.15)*条件输入!$H$2</f>
        <v>328.07652081438204</v>
      </c>
      <c r="T80" s="52">
        <f t="shared" si="17"/>
        <v>922.51611635602842</v>
      </c>
      <c r="U80" s="52">
        <f t="shared" si="20"/>
        <v>552</v>
      </c>
      <c r="V80" s="51">
        <v>2</v>
      </c>
    </row>
    <row r="81" spans="1:22" x14ac:dyDescent="0.15">
      <c r="A81" s="24">
        <v>8</v>
      </c>
      <c r="B81" s="24">
        <v>180</v>
      </c>
      <c r="C81" s="16" t="s">
        <v>158</v>
      </c>
      <c r="D81" s="14">
        <v>50000</v>
      </c>
      <c r="E81" s="65">
        <v>9</v>
      </c>
      <c r="F81" s="65">
        <v>3</v>
      </c>
      <c r="G81" s="65">
        <v>3</v>
      </c>
      <c r="H81" s="65">
        <v>1</v>
      </c>
      <c r="I81" s="65">
        <v>1.2</v>
      </c>
      <c r="J81" s="65">
        <v>0.8</v>
      </c>
      <c r="K81" s="65">
        <v>1</v>
      </c>
      <c r="L81" s="65">
        <v>18</v>
      </c>
      <c r="M81" s="65">
        <v>20</v>
      </c>
      <c r="N81" s="53">
        <f t="shared" si="21"/>
        <v>360</v>
      </c>
      <c r="O81" s="52">
        <f t="shared" si="16"/>
        <v>254.46900494077323</v>
      </c>
      <c r="P81" s="52">
        <f t="shared" si="18"/>
        <v>424.11500823462211</v>
      </c>
      <c r="Q81" s="52">
        <f t="shared" si="19"/>
        <v>39.023293146565614</v>
      </c>
      <c r="R81" s="52">
        <f>PI()*(E81+1.3)^2*(H81+I81+J81+0.15)*条件输入!$G$2</f>
        <v>839.89474284073992</v>
      </c>
      <c r="S81" s="52">
        <f>PI()*(E81+1.3)^2*(H81+I81+J81+0.15)*条件输入!$H$2</f>
        <v>209.97368571018492</v>
      </c>
      <c r="T81" s="52">
        <f t="shared" si="17"/>
        <v>586.7301271697371</v>
      </c>
      <c r="U81" s="52">
        <f t="shared" si="20"/>
        <v>480</v>
      </c>
      <c r="V81" s="51">
        <v>2</v>
      </c>
    </row>
    <row r="82" spans="1:22" x14ac:dyDescent="0.15">
      <c r="A82" s="24">
        <v>8</v>
      </c>
      <c r="B82" s="24">
        <v>180</v>
      </c>
      <c r="C82" s="16" t="s">
        <v>158</v>
      </c>
      <c r="D82" s="14">
        <v>60000</v>
      </c>
      <c r="E82" s="65">
        <v>9.5</v>
      </c>
      <c r="F82" s="65">
        <v>3</v>
      </c>
      <c r="G82" s="65">
        <v>3</v>
      </c>
      <c r="H82" s="65">
        <v>1</v>
      </c>
      <c r="I82" s="65">
        <v>1.2</v>
      </c>
      <c r="J82" s="65">
        <v>0.8</v>
      </c>
      <c r="K82" s="65">
        <v>1</v>
      </c>
      <c r="L82" s="65">
        <v>20</v>
      </c>
      <c r="M82" s="65">
        <v>20</v>
      </c>
      <c r="N82" s="53">
        <f t="shared" si="21"/>
        <v>400</v>
      </c>
      <c r="O82" s="52">
        <f t="shared" si="16"/>
        <v>283.5287369864788</v>
      </c>
      <c r="P82" s="52">
        <f t="shared" si="18"/>
        <v>466.68358869076371</v>
      </c>
      <c r="Q82" s="52">
        <f t="shared" si="19"/>
        <v>43.429376843225299</v>
      </c>
      <c r="R82" s="52">
        <f>PI()*(E82+1.3)^2*(H82+I82+J82+0.15)*条件输入!$G$2</f>
        <v>923.41712512907804</v>
      </c>
      <c r="S82" s="52">
        <f>PI()*(E82+1.3)^2*(H82+I82+J82+0.15)*条件输入!$H$2</f>
        <v>230.85428128226945</v>
      </c>
      <c r="T82" s="52">
        <f t="shared" si="17"/>
        <v>644.15844087735843</v>
      </c>
      <c r="U82" s="52">
        <f t="shared" si="20"/>
        <v>480</v>
      </c>
      <c r="V82" s="51">
        <v>2</v>
      </c>
    </row>
    <row r="83" spans="1:22" x14ac:dyDescent="0.15">
      <c r="A83" s="24">
        <v>8</v>
      </c>
      <c r="B83" s="24">
        <v>180</v>
      </c>
      <c r="C83" s="16" t="s">
        <v>158</v>
      </c>
      <c r="D83" s="14">
        <v>70000</v>
      </c>
      <c r="E83" s="65">
        <v>9.5</v>
      </c>
      <c r="F83" s="65">
        <v>3</v>
      </c>
      <c r="G83" s="65">
        <v>3</v>
      </c>
      <c r="H83" s="65">
        <v>1</v>
      </c>
      <c r="I83" s="65">
        <v>1.2</v>
      </c>
      <c r="J83" s="65">
        <v>0.8</v>
      </c>
      <c r="K83" s="65">
        <v>1</v>
      </c>
      <c r="L83" s="65">
        <v>22</v>
      </c>
      <c r="M83" s="65">
        <v>20</v>
      </c>
      <c r="N83" s="53">
        <f t="shared" si="21"/>
        <v>440</v>
      </c>
      <c r="O83" s="52">
        <f t="shared" si="16"/>
        <v>283.5287369864788</v>
      </c>
      <c r="P83" s="52">
        <f t="shared" si="18"/>
        <v>466.68358869076371</v>
      </c>
      <c r="Q83" s="52">
        <f t="shared" si="19"/>
        <v>43.429376843225299</v>
      </c>
      <c r="R83" s="52">
        <f>PI()*(E83+1.3)^2*(H83+I83+J83+0.15)*条件输入!$G$2</f>
        <v>923.41712512907804</v>
      </c>
      <c r="S83" s="52">
        <f>PI()*(E83+1.3)^2*(H83+I83+J83+0.15)*条件输入!$H$2</f>
        <v>230.85428128226945</v>
      </c>
      <c r="T83" s="52">
        <f t="shared" si="17"/>
        <v>644.15844087735843</v>
      </c>
      <c r="U83" s="52">
        <f t="shared" si="20"/>
        <v>480</v>
      </c>
      <c r="V83" s="51">
        <v>2</v>
      </c>
    </row>
    <row r="84" spans="1:22" x14ac:dyDescent="0.15">
      <c r="A84" s="24">
        <v>8</v>
      </c>
      <c r="B84" s="24">
        <v>180</v>
      </c>
      <c r="C84" s="16" t="s">
        <v>158</v>
      </c>
      <c r="D84" s="14">
        <v>80000</v>
      </c>
      <c r="E84" s="65">
        <v>10</v>
      </c>
      <c r="F84" s="65">
        <v>3</v>
      </c>
      <c r="G84" s="65">
        <v>3</v>
      </c>
      <c r="H84" s="65">
        <v>1</v>
      </c>
      <c r="I84" s="65">
        <v>1.4</v>
      </c>
      <c r="J84" s="65">
        <v>1</v>
      </c>
      <c r="K84" s="65">
        <v>1</v>
      </c>
      <c r="L84" s="65">
        <v>24</v>
      </c>
      <c r="M84" s="65">
        <v>20</v>
      </c>
      <c r="N84" s="53">
        <f t="shared" si="21"/>
        <v>480</v>
      </c>
      <c r="O84" s="52">
        <f t="shared" si="16"/>
        <v>314.15926535897933</v>
      </c>
      <c r="P84" s="52">
        <f t="shared" si="18"/>
        <v>546.21824270414538</v>
      </c>
      <c r="Q84" s="52">
        <f t="shared" si="19"/>
        <v>48.071079988904216</v>
      </c>
      <c r="R84" s="52">
        <f>PI()*(E84+1.3)^2*(H84+I84+J84+0.15)*条件输入!$G$2</f>
        <v>1139.2659032607414</v>
      </c>
      <c r="S84" s="52">
        <f>PI()*(E84+1.3)^2*(H84+I84+J84+0.15)*条件输入!$H$2</f>
        <v>284.81647581518524</v>
      </c>
      <c r="T84" s="52">
        <f t="shared" si="17"/>
        <v>829.79305638287701</v>
      </c>
      <c r="U84" s="52">
        <f t="shared" si="20"/>
        <v>528</v>
      </c>
      <c r="V84" s="51">
        <v>2</v>
      </c>
    </row>
    <row r="85" spans="1:22" x14ac:dyDescent="0.15">
      <c r="A85" s="24">
        <v>8</v>
      </c>
      <c r="B85" s="24">
        <v>180</v>
      </c>
      <c r="C85" s="16" t="s">
        <v>158</v>
      </c>
      <c r="D85" s="14">
        <v>90000</v>
      </c>
      <c r="E85" s="65">
        <v>10</v>
      </c>
      <c r="F85" s="65">
        <v>3</v>
      </c>
      <c r="G85" s="65">
        <v>3</v>
      </c>
      <c r="H85" s="65">
        <v>1</v>
      </c>
      <c r="I85" s="65">
        <v>1.4</v>
      </c>
      <c r="J85" s="65">
        <v>1</v>
      </c>
      <c r="K85" s="65">
        <v>1</v>
      </c>
      <c r="L85" s="65">
        <v>26</v>
      </c>
      <c r="M85" s="65">
        <v>20</v>
      </c>
      <c r="N85" s="53">
        <f t="shared" si="21"/>
        <v>520</v>
      </c>
      <c r="O85" s="52">
        <f t="shared" si="16"/>
        <v>314.15926535897933</v>
      </c>
      <c r="P85" s="52">
        <f t="shared" si="18"/>
        <v>546.21824270414538</v>
      </c>
      <c r="Q85" s="52">
        <f t="shared" si="19"/>
        <v>48.071079988904216</v>
      </c>
      <c r="R85" s="52">
        <f>PI()*(E85+1.3)^2*(H85+I85+J85+0.15)*条件输入!$G$2</f>
        <v>1139.2659032607414</v>
      </c>
      <c r="S85" s="52">
        <f>PI()*(E85+1.3)^2*(H85+I85+J85+0.15)*条件输入!$H$2</f>
        <v>284.81647581518524</v>
      </c>
      <c r="T85" s="52">
        <f t="shared" si="17"/>
        <v>829.79305638287701</v>
      </c>
      <c r="U85" s="52">
        <f t="shared" si="20"/>
        <v>528</v>
      </c>
      <c r="V85" s="51">
        <v>2</v>
      </c>
    </row>
    <row r="86" spans="1:22" x14ac:dyDescent="0.15">
      <c r="A86" s="24">
        <v>8</v>
      </c>
      <c r="B86" s="24">
        <v>180</v>
      </c>
      <c r="C86" s="16" t="s">
        <v>158</v>
      </c>
      <c r="D86" s="14">
        <v>100000</v>
      </c>
      <c r="E86" s="65">
        <v>10.25</v>
      </c>
      <c r="F86" s="65">
        <v>3</v>
      </c>
      <c r="G86" s="65">
        <v>3</v>
      </c>
      <c r="H86" s="65">
        <v>1.1000000000000001</v>
      </c>
      <c r="I86" s="65">
        <v>1.4</v>
      </c>
      <c r="J86" s="65">
        <v>1</v>
      </c>
      <c r="K86" s="65">
        <v>1</v>
      </c>
      <c r="L86" s="65">
        <v>28</v>
      </c>
      <c r="M86" s="65">
        <v>20</v>
      </c>
      <c r="N86" s="53">
        <f t="shared" si="21"/>
        <v>560</v>
      </c>
      <c r="O86" s="52">
        <f t="shared" si="16"/>
        <v>330.06357816777762</v>
      </c>
      <c r="P86" s="52">
        <f t="shared" si="18"/>
        <v>603.65048340258375</v>
      </c>
      <c r="Q86" s="52">
        <f t="shared" si="19"/>
        <v>50.480288855125885</v>
      </c>
      <c r="R86" s="52">
        <f>PI()*(E86+1.3)^2*(H86+I86+J86+0.15)*条件输入!$G$2</f>
        <v>1223.7612367938962</v>
      </c>
      <c r="S86" s="52">
        <f>PI()*(E86+1.3)^2*(H86+I86+J86+0.15)*条件输入!$H$2</f>
        <v>305.94030919847393</v>
      </c>
      <c r="T86" s="52">
        <f t="shared" si="17"/>
        <v>875.57077373466041</v>
      </c>
      <c r="U86" s="52">
        <f t="shared" si="20"/>
        <v>540</v>
      </c>
      <c r="V86" s="51">
        <v>2</v>
      </c>
    </row>
    <row r="87" spans="1:22" x14ac:dyDescent="0.15">
      <c r="A87" s="24">
        <v>8</v>
      </c>
      <c r="B87" s="24">
        <v>180</v>
      </c>
      <c r="C87" s="16" t="s">
        <v>158</v>
      </c>
      <c r="D87" s="14">
        <v>110000</v>
      </c>
      <c r="E87" s="65">
        <v>10.25</v>
      </c>
      <c r="F87" s="65">
        <v>3</v>
      </c>
      <c r="G87" s="65">
        <v>3</v>
      </c>
      <c r="H87" s="65">
        <v>1.1000000000000001</v>
      </c>
      <c r="I87" s="65">
        <v>1.4</v>
      </c>
      <c r="J87" s="65">
        <v>1</v>
      </c>
      <c r="K87" s="65">
        <v>1</v>
      </c>
      <c r="L87" s="65">
        <v>30</v>
      </c>
      <c r="M87" s="65">
        <v>20</v>
      </c>
      <c r="N87" s="53">
        <f t="shared" si="21"/>
        <v>600</v>
      </c>
      <c r="O87" s="52">
        <f t="shared" si="16"/>
        <v>330.06357816777762</v>
      </c>
      <c r="P87" s="52">
        <f t="shared" si="18"/>
        <v>603.65048340258375</v>
      </c>
      <c r="Q87" s="52">
        <f t="shared" si="19"/>
        <v>50.480288855125885</v>
      </c>
      <c r="R87" s="52">
        <f>PI()*(E87+1.3)^2*(H87+I87+J87+0.15)*条件输入!$G$2</f>
        <v>1223.7612367938962</v>
      </c>
      <c r="S87" s="52">
        <f>PI()*(E87+1.3)^2*(H87+I87+J87+0.15)*条件输入!$H$2</f>
        <v>305.94030919847393</v>
      </c>
      <c r="T87" s="52">
        <f t="shared" si="17"/>
        <v>875.57077373466041</v>
      </c>
      <c r="U87" s="52">
        <f t="shared" si="20"/>
        <v>540</v>
      </c>
      <c r="V87" s="51">
        <v>2</v>
      </c>
    </row>
    <row r="88" spans="1:22" x14ac:dyDescent="0.15">
      <c r="A88" s="24">
        <v>8</v>
      </c>
      <c r="B88" s="24">
        <v>180</v>
      </c>
      <c r="C88" s="16" t="s">
        <v>158</v>
      </c>
      <c r="D88" s="14">
        <v>120000</v>
      </c>
      <c r="E88" s="65">
        <v>10.5</v>
      </c>
      <c r="F88" s="65">
        <v>3</v>
      </c>
      <c r="G88" s="65">
        <v>3</v>
      </c>
      <c r="H88" s="65">
        <v>1.2</v>
      </c>
      <c r="I88" s="65">
        <v>1.4</v>
      </c>
      <c r="J88" s="65">
        <v>1</v>
      </c>
      <c r="K88" s="65">
        <v>1</v>
      </c>
      <c r="L88" s="65">
        <v>32</v>
      </c>
      <c r="M88" s="65">
        <v>20</v>
      </c>
      <c r="N88" s="53">
        <f t="shared" si="21"/>
        <v>640</v>
      </c>
      <c r="O88" s="52">
        <f t="shared" si="16"/>
        <v>346.36059005827468</v>
      </c>
      <c r="P88" s="52">
        <f t="shared" si="18"/>
        <v>664.91808513227966</v>
      </c>
      <c r="Q88" s="52">
        <f t="shared" si="19"/>
        <v>52.948402583602373</v>
      </c>
      <c r="R88" s="52">
        <f>PI()*(E88+1.3)^2*(H88+I88+J88+0.15)*条件输入!$G$2</f>
        <v>1312.3060832575284</v>
      </c>
      <c r="S88" s="52">
        <f>PI()*(E88+1.3)^2*(H88+I88+J88+0.15)*条件输入!$H$2</f>
        <v>328.07652081438204</v>
      </c>
      <c r="T88" s="52">
        <f t="shared" si="17"/>
        <v>922.51611635602842</v>
      </c>
      <c r="U88" s="52">
        <f t="shared" si="20"/>
        <v>552</v>
      </c>
      <c r="V88" s="51">
        <v>2</v>
      </c>
    </row>
    <row r="89" spans="1:22" x14ac:dyDescent="0.15">
      <c r="C89" s="16"/>
      <c r="D89" s="14"/>
      <c r="E89" s="15"/>
      <c r="F89" s="1"/>
      <c r="G89" s="1"/>
      <c r="H89" s="1"/>
      <c r="I89" s="1"/>
      <c r="J89" s="1"/>
      <c r="K89" s="1"/>
      <c r="L89" s="1"/>
      <c r="M89" s="1"/>
      <c r="N89" s="1"/>
      <c r="O89" s="79"/>
      <c r="P89" s="79"/>
      <c r="Q89" s="79"/>
      <c r="R89" s="79"/>
      <c r="S89" s="79"/>
      <c r="T89" s="79"/>
      <c r="U89" s="79"/>
    </row>
    <row r="90" spans="1:22" x14ac:dyDescent="0.15">
      <c r="C90" s="16"/>
      <c r="D90" s="14"/>
      <c r="E90" s="15"/>
      <c r="F90" s="1"/>
      <c r="G90" s="1"/>
      <c r="H90" s="1"/>
      <c r="I90" s="1"/>
      <c r="J90" s="1"/>
      <c r="K90" s="1"/>
      <c r="L90" s="1"/>
      <c r="M90" s="1"/>
      <c r="N90" s="1"/>
      <c r="O90" s="79"/>
      <c r="P90" s="79"/>
      <c r="Q90" s="79"/>
      <c r="R90" s="79"/>
      <c r="S90" s="79"/>
      <c r="T90" s="79"/>
      <c r="U90" s="79"/>
    </row>
    <row r="96" spans="1:22" x14ac:dyDescent="0.15">
      <c r="A96" s="14" t="s">
        <v>70</v>
      </c>
    </row>
    <row r="97" spans="1:15" x14ac:dyDescent="0.15">
      <c r="A97" s="14" t="s">
        <v>71</v>
      </c>
      <c r="B97" s="65" t="s">
        <v>72</v>
      </c>
      <c r="C97" s="65" t="s">
        <v>73</v>
      </c>
      <c r="D97" s="65" t="s">
        <v>74</v>
      </c>
      <c r="E97" s="65" t="s">
        <v>75</v>
      </c>
      <c r="F97" s="65" t="s">
        <v>76</v>
      </c>
      <c r="G97" s="65" t="s">
        <v>77</v>
      </c>
      <c r="H97" s="51" t="s">
        <v>78</v>
      </c>
      <c r="I97" s="51" t="s">
        <v>79</v>
      </c>
      <c r="J97" s="51" t="s">
        <v>80</v>
      </c>
      <c r="K97" s="51" t="s">
        <v>81</v>
      </c>
      <c r="L97" s="51" t="s">
        <v>82</v>
      </c>
      <c r="M97" s="51" t="s">
        <v>83</v>
      </c>
      <c r="N97" s="51" t="s">
        <v>84</v>
      </c>
      <c r="O97" s="51" t="s">
        <v>260</v>
      </c>
    </row>
    <row r="98" spans="1:15" x14ac:dyDescent="0.15">
      <c r="A98" s="24">
        <v>2</v>
      </c>
      <c r="B98" s="65">
        <v>2200</v>
      </c>
      <c r="C98" s="65">
        <v>4.9000000000000004</v>
      </c>
      <c r="D98" s="65">
        <v>3.65</v>
      </c>
      <c r="E98" s="65">
        <v>1.8</v>
      </c>
      <c r="F98" s="65">
        <v>0.25</v>
      </c>
      <c r="G98" s="65">
        <v>0.5</v>
      </c>
      <c r="H98" s="52">
        <f>(C98+0.5*2)*(D98+0.5*2)*(E98-0.2)*条件输入!$G$2</f>
        <v>35.116800000000005</v>
      </c>
      <c r="I98" s="52">
        <f>(C98+0.5*2)*(D98+0.5*2)*(E98-0.2)*条件输入!$H$2</f>
        <v>8.7791999999999994</v>
      </c>
      <c r="J98" s="52">
        <f>H98+I98-C98*D98*(E98-0.2)</f>
        <v>15.279999999999998</v>
      </c>
      <c r="K98" s="52">
        <f>((C98*D98)-(C98-F98*2)*(D98-F98*2))*G98</f>
        <v>2.0125000000000002</v>
      </c>
      <c r="L98" s="52">
        <f>(C98+0.5*2)*(D98+0.5*2)*0.15</f>
        <v>4.1152500000000005</v>
      </c>
      <c r="M98" s="52">
        <f>((C98*D98)-(C98-F98*2)*(D98-F98*2))*(E98-G98)</f>
        <v>5.2325000000000008</v>
      </c>
      <c r="N98" s="52">
        <f>K98*0.1</f>
        <v>0.20125000000000004</v>
      </c>
      <c r="O98" s="51">
        <f>C98*D98</f>
        <v>17.885000000000002</v>
      </c>
    </row>
    <row r="99" spans="1:15" x14ac:dyDescent="0.15">
      <c r="A99" s="24">
        <v>2.2000000000000002</v>
      </c>
      <c r="B99" s="65">
        <v>2500</v>
      </c>
      <c r="C99" s="65">
        <v>5</v>
      </c>
      <c r="D99" s="65">
        <v>4</v>
      </c>
      <c r="E99" s="65">
        <v>1.8</v>
      </c>
      <c r="F99" s="65">
        <v>0.25</v>
      </c>
      <c r="G99" s="65">
        <v>0.5</v>
      </c>
      <c r="H99" s="52">
        <f>(C99+0.5*2)*(D99+0.5*2)*(E99-0.2)*条件输入!$G$2</f>
        <v>38.400000000000006</v>
      </c>
      <c r="I99" s="52">
        <f>(C99+0.5*2)*(D99+0.5*2)*(E99-0.2)*条件输入!$H$2</f>
        <v>9.5999999999999979</v>
      </c>
      <c r="J99" s="52">
        <f t="shared" ref="J99:J105" si="22">H99+I99-C99*D99*(E99-0.2)</f>
        <v>16</v>
      </c>
      <c r="K99" s="52">
        <f t="shared" ref="K99:K105" si="23">((C99*D99)-(C99-F99*2)*(D99-F99*2))*G99</f>
        <v>2.125</v>
      </c>
      <c r="L99" s="52">
        <f t="shared" ref="L99:L105" si="24">(C99+0.5*2)*(D99+0.5*2)*0.15</f>
        <v>4.5</v>
      </c>
      <c r="M99" s="52">
        <f t="shared" ref="M99:M105" si="25">((C99*D99)-(C99-F99*2)*(D99-F99*2))*(E99-G99)</f>
        <v>5.5250000000000004</v>
      </c>
      <c r="N99" s="52">
        <f t="shared" ref="N99:N105" si="26">K99*0.1</f>
        <v>0.21250000000000002</v>
      </c>
      <c r="O99" s="51">
        <f t="shared" ref="O99:O105" si="27">C99*D99</f>
        <v>20</v>
      </c>
    </row>
    <row r="100" spans="1:15" x14ac:dyDescent="0.15">
      <c r="A100" s="24">
        <v>2.5</v>
      </c>
      <c r="B100" s="65">
        <v>2750</v>
      </c>
      <c r="C100" s="65">
        <v>6</v>
      </c>
      <c r="D100" s="65">
        <v>4</v>
      </c>
      <c r="E100" s="65">
        <v>1.8</v>
      </c>
      <c r="F100" s="65">
        <v>0.25</v>
      </c>
      <c r="G100" s="65">
        <v>0.5</v>
      </c>
      <c r="H100" s="52">
        <f>(C100+0.5*2)*(D100+0.5*2)*(E100-0.2)*条件输入!$G$2</f>
        <v>44.800000000000004</v>
      </c>
      <c r="I100" s="52">
        <f>(C100+0.5*2)*(D100+0.5*2)*(E100-0.2)*条件输入!$H$2</f>
        <v>11.199999999999998</v>
      </c>
      <c r="J100" s="52">
        <f t="shared" si="22"/>
        <v>17.599999999999994</v>
      </c>
      <c r="K100" s="52">
        <f t="shared" si="23"/>
        <v>2.375</v>
      </c>
      <c r="L100" s="52">
        <f t="shared" si="24"/>
        <v>5.25</v>
      </c>
      <c r="M100" s="52">
        <f t="shared" si="25"/>
        <v>6.1749999999999998</v>
      </c>
      <c r="N100" s="52">
        <f t="shared" si="26"/>
        <v>0.23750000000000002</v>
      </c>
      <c r="O100" s="51">
        <f t="shared" si="27"/>
        <v>24</v>
      </c>
    </row>
    <row r="101" spans="1:15" s="235" customFormat="1" ht="13.5" x14ac:dyDescent="0.15">
      <c r="A101" s="235">
        <v>3</v>
      </c>
      <c r="B101" s="237">
        <v>3300</v>
      </c>
      <c r="C101" s="237">
        <v>6</v>
      </c>
      <c r="D101" s="237">
        <v>4.5</v>
      </c>
      <c r="E101" s="237">
        <v>1.8</v>
      </c>
      <c r="F101" s="237">
        <v>0.25</v>
      </c>
      <c r="G101" s="237">
        <v>0.5</v>
      </c>
      <c r="H101" s="239">
        <f>(C101+0.5*2)*(D101+0.5*2)*(E101-0.2)*条件输入!$G$2</f>
        <v>49.28</v>
      </c>
      <c r="I101" s="239">
        <f>(C101+0.5*2)*(D101+0.5*2)*(E101-0.2)*条件输入!$H$2</f>
        <v>12.319999999999997</v>
      </c>
      <c r="J101" s="239">
        <f t="shared" si="22"/>
        <v>18.399999999999991</v>
      </c>
      <c r="K101" s="239">
        <f t="shared" si="23"/>
        <v>2.5</v>
      </c>
      <c r="L101" s="239">
        <f t="shared" si="24"/>
        <v>5.7749999999999995</v>
      </c>
      <c r="M101" s="239">
        <f t="shared" si="25"/>
        <v>6.5</v>
      </c>
      <c r="N101" s="239">
        <f t="shared" si="26"/>
        <v>0.25</v>
      </c>
      <c r="O101" s="237">
        <f t="shared" si="27"/>
        <v>27</v>
      </c>
    </row>
    <row r="102" spans="1:15" x14ac:dyDescent="0.15">
      <c r="A102" s="24">
        <v>3.2</v>
      </c>
      <c r="B102" s="65">
        <v>3520</v>
      </c>
      <c r="C102" s="65">
        <v>6</v>
      </c>
      <c r="D102" s="65">
        <v>5.5</v>
      </c>
      <c r="E102" s="65">
        <v>1.8</v>
      </c>
      <c r="F102" s="65">
        <v>0.25</v>
      </c>
      <c r="G102" s="65">
        <v>0.5</v>
      </c>
      <c r="H102" s="52">
        <f>(C102+0.5*2)*(D102+0.5*2)*(E102-0.2)*条件输入!$G$2</f>
        <v>58.24</v>
      </c>
      <c r="I102" s="52">
        <f>(C102+0.5*2)*(D102+0.5*2)*(E102-0.2)*条件输入!$H$2</f>
        <v>14.559999999999997</v>
      </c>
      <c r="J102" s="52">
        <f t="shared" si="22"/>
        <v>19.999999999999993</v>
      </c>
      <c r="K102" s="52">
        <f t="shared" si="23"/>
        <v>2.75</v>
      </c>
      <c r="L102" s="52">
        <f t="shared" si="24"/>
        <v>6.8250000000000002</v>
      </c>
      <c r="M102" s="52">
        <f t="shared" si="25"/>
        <v>7.15</v>
      </c>
      <c r="N102" s="52">
        <f t="shared" si="26"/>
        <v>0.27500000000000002</v>
      </c>
      <c r="O102" s="51">
        <f t="shared" si="27"/>
        <v>33</v>
      </c>
    </row>
    <row r="103" spans="1:15" x14ac:dyDescent="0.15">
      <c r="A103" s="24">
        <v>3.3</v>
      </c>
      <c r="B103" s="65">
        <v>3520</v>
      </c>
      <c r="C103" s="65">
        <v>6</v>
      </c>
      <c r="D103" s="65">
        <v>5.5</v>
      </c>
      <c r="E103" s="65">
        <v>1.8</v>
      </c>
      <c r="F103" s="65">
        <v>0.25</v>
      </c>
      <c r="G103" s="65">
        <v>0.5</v>
      </c>
      <c r="H103" s="52">
        <f>(C103+0.5*2)*(D103+0.5*2)*(E103-0.2)*条件输入!$G$2</f>
        <v>58.24</v>
      </c>
      <c r="I103" s="52">
        <f>(C103+0.5*2)*(D103+0.5*2)*(E103-0.2)*条件输入!$H$2</f>
        <v>14.559999999999997</v>
      </c>
      <c r="J103" s="52">
        <f t="shared" si="22"/>
        <v>19.999999999999993</v>
      </c>
      <c r="K103" s="52">
        <f t="shared" si="23"/>
        <v>2.75</v>
      </c>
      <c r="L103" s="52">
        <f t="shared" si="24"/>
        <v>6.8250000000000002</v>
      </c>
      <c r="M103" s="52">
        <f t="shared" si="25"/>
        <v>7.15</v>
      </c>
      <c r="N103" s="52">
        <f t="shared" si="26"/>
        <v>0.27500000000000002</v>
      </c>
      <c r="O103" s="51">
        <f t="shared" si="27"/>
        <v>33</v>
      </c>
    </row>
    <row r="104" spans="1:15" x14ac:dyDescent="0.15">
      <c r="A104" s="24">
        <v>3.4</v>
      </c>
      <c r="B104" s="65">
        <v>3520</v>
      </c>
      <c r="C104" s="65">
        <v>6</v>
      </c>
      <c r="D104" s="65">
        <v>5.5</v>
      </c>
      <c r="E104" s="65">
        <v>1.8</v>
      </c>
      <c r="F104" s="65">
        <v>0.25</v>
      </c>
      <c r="G104" s="65">
        <v>0.5</v>
      </c>
      <c r="H104" s="52">
        <f>(C104+0.5*2)*(D104+0.5*2)*(E104-0.2)*条件输入!$G$2</f>
        <v>58.24</v>
      </c>
      <c r="I104" s="52">
        <f>(C104+0.5*2)*(D104+0.5*2)*(E104-0.2)*条件输入!$H$2</f>
        <v>14.559999999999997</v>
      </c>
      <c r="J104" s="52">
        <f t="shared" si="22"/>
        <v>19.999999999999993</v>
      </c>
      <c r="K104" s="52">
        <f t="shared" si="23"/>
        <v>2.75</v>
      </c>
      <c r="L104" s="52">
        <f t="shared" si="24"/>
        <v>6.8250000000000002</v>
      </c>
      <c r="M104" s="52">
        <f t="shared" si="25"/>
        <v>7.15</v>
      </c>
      <c r="N104" s="52">
        <f t="shared" si="26"/>
        <v>0.27500000000000002</v>
      </c>
      <c r="O104" s="51">
        <f t="shared" si="27"/>
        <v>33</v>
      </c>
    </row>
    <row r="105" spans="1:15" x14ac:dyDescent="0.15">
      <c r="A105" s="24">
        <v>3.6</v>
      </c>
      <c r="B105" s="65">
        <v>4000</v>
      </c>
      <c r="C105" s="65">
        <v>6</v>
      </c>
      <c r="D105" s="65">
        <v>6</v>
      </c>
      <c r="E105" s="65">
        <v>1.8</v>
      </c>
      <c r="F105" s="65">
        <v>0.25</v>
      </c>
      <c r="G105" s="65">
        <v>0.5</v>
      </c>
      <c r="H105" s="52">
        <f>(C105+0.5*2)*(D105+0.5*2)*(E105-0.2)*条件输入!$G$2</f>
        <v>62.720000000000006</v>
      </c>
      <c r="I105" s="52">
        <f>(C105+0.5*2)*(D105+0.5*2)*(E105-0.2)*条件输入!$H$2</f>
        <v>15.679999999999998</v>
      </c>
      <c r="J105" s="52">
        <f t="shared" si="22"/>
        <v>20.800000000000004</v>
      </c>
      <c r="K105" s="52">
        <f t="shared" si="23"/>
        <v>2.875</v>
      </c>
      <c r="L105" s="52">
        <f t="shared" si="24"/>
        <v>7.35</v>
      </c>
      <c r="M105" s="52">
        <f t="shared" si="25"/>
        <v>7.4750000000000005</v>
      </c>
      <c r="N105" s="52">
        <f t="shared" si="26"/>
        <v>0.28750000000000003</v>
      </c>
      <c r="O105" s="51">
        <f t="shared" si="27"/>
        <v>36</v>
      </c>
    </row>
  </sheetData>
  <sheetProtection autoFilter="0"/>
  <phoneticPr fontId="5" type="noConversion"/>
  <pageMargins left="0.75" right="0.75" top="1" bottom="1" header="0.5" footer="0.5"/>
  <pageSetup paperSize="9" orientation="portrait" horizontalDpi="30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>
      <selection activeCell="I9" sqref="I9"/>
    </sheetView>
  </sheetViews>
  <sheetFormatPr defaultRowHeight="14.25" x14ac:dyDescent="0.15"/>
  <cols>
    <col min="6" max="6" width="11.25" customWidth="1"/>
    <col min="7" max="7" width="13.125" customWidth="1"/>
    <col min="8" max="8" width="9.375" customWidth="1"/>
    <col min="9" max="10" width="13.375" bestFit="1" customWidth="1"/>
    <col min="11" max="11" width="12.125" bestFit="1" customWidth="1"/>
    <col min="12" max="13" width="9.625" bestFit="1" customWidth="1"/>
    <col min="19" max="19" width="8.875" customWidth="1"/>
    <col min="23" max="23" width="14" customWidth="1"/>
  </cols>
  <sheetData>
    <row r="1" spans="1:29" x14ac:dyDescent="0.15">
      <c r="B1" s="2" t="s">
        <v>203</v>
      </c>
      <c r="C1" s="2" t="s">
        <v>204</v>
      </c>
    </row>
    <row r="2" spans="1:29" x14ac:dyDescent="0.15">
      <c r="B2">
        <v>110</v>
      </c>
      <c r="C2" s="85">
        <v>50</v>
      </c>
    </row>
    <row r="3" spans="1:29" x14ac:dyDescent="0.15">
      <c r="B3">
        <v>220</v>
      </c>
      <c r="C3" s="24">
        <v>100</v>
      </c>
    </row>
    <row r="4" spans="1:29" x14ac:dyDescent="0.15">
      <c r="C4" s="24">
        <v>150</v>
      </c>
    </row>
    <row r="5" spans="1:29" x14ac:dyDescent="0.15">
      <c r="C5" s="85">
        <v>200</v>
      </c>
    </row>
    <row r="12" spans="1:29" x14ac:dyDescent="0.15">
      <c r="B12" s="2"/>
      <c r="C12" s="2"/>
      <c r="D12" s="2"/>
      <c r="E12" s="2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</row>
    <row r="13" spans="1:29" x14ac:dyDescent="0.15">
      <c r="A13" s="14" t="s">
        <v>209</v>
      </c>
      <c r="B13" s="14" t="s">
        <v>199</v>
      </c>
      <c r="C13" s="14" t="s">
        <v>200</v>
      </c>
      <c r="D13" s="85" t="s">
        <v>205</v>
      </c>
      <c r="E13" s="85" t="s">
        <v>206</v>
      </c>
      <c r="F13" s="86" t="s">
        <v>207</v>
      </c>
      <c r="G13" s="86" t="s">
        <v>208</v>
      </c>
      <c r="H13" s="86" t="s">
        <v>177</v>
      </c>
      <c r="I13" s="86" t="s">
        <v>4</v>
      </c>
      <c r="J13" s="86" t="s">
        <v>6</v>
      </c>
      <c r="K13" s="86" t="s">
        <v>178</v>
      </c>
      <c r="L13" s="86" t="s">
        <v>179</v>
      </c>
      <c r="M13" s="86" t="s">
        <v>180</v>
      </c>
      <c r="N13" s="86" t="s">
        <v>181</v>
      </c>
      <c r="O13" s="86" t="s">
        <v>182</v>
      </c>
      <c r="P13" s="86" t="s">
        <v>183</v>
      </c>
      <c r="Q13" s="86" t="s">
        <v>184</v>
      </c>
      <c r="R13" s="86" t="s">
        <v>185</v>
      </c>
      <c r="S13" s="87" t="s">
        <v>186</v>
      </c>
      <c r="T13" s="86" t="s">
        <v>187</v>
      </c>
      <c r="U13" s="84" t="s">
        <v>188</v>
      </c>
      <c r="V13" s="86" t="s">
        <v>189</v>
      </c>
      <c r="W13" s="86" t="s">
        <v>190</v>
      </c>
      <c r="X13" s="86" t="s">
        <v>191</v>
      </c>
      <c r="Y13" s="86" t="s">
        <v>192</v>
      </c>
      <c r="Z13" s="86" t="s">
        <v>193</v>
      </c>
      <c r="AA13" s="86" t="s">
        <v>194</v>
      </c>
      <c r="AB13" s="86" t="s">
        <v>195</v>
      </c>
      <c r="AC13" s="86" t="s">
        <v>196</v>
      </c>
    </row>
    <row r="14" spans="1:29" ht="16.5" x14ac:dyDescent="0.15">
      <c r="A14" s="24"/>
      <c r="B14" s="24"/>
      <c r="C14" s="85"/>
      <c r="D14" s="85"/>
      <c r="E14" s="85"/>
      <c r="F14" s="88" t="s">
        <v>197</v>
      </c>
      <c r="G14" s="88"/>
      <c r="H14" s="88" t="s">
        <v>197</v>
      </c>
      <c r="I14" s="88" t="s">
        <v>198</v>
      </c>
      <c r="J14" s="88" t="s">
        <v>198</v>
      </c>
      <c r="K14" s="88" t="s">
        <v>198</v>
      </c>
      <c r="L14" s="88" t="s">
        <v>198</v>
      </c>
      <c r="M14" s="88" t="s">
        <v>198</v>
      </c>
      <c r="N14" s="88" t="s">
        <v>197</v>
      </c>
      <c r="O14" s="88" t="s">
        <v>197</v>
      </c>
      <c r="P14" s="88" t="s">
        <v>197</v>
      </c>
      <c r="Q14" s="88" t="s">
        <v>197</v>
      </c>
      <c r="R14" s="88" t="s">
        <v>197</v>
      </c>
      <c r="S14" s="170"/>
      <c r="T14" s="88" t="s">
        <v>198</v>
      </c>
      <c r="U14" s="88" t="s">
        <v>198</v>
      </c>
      <c r="V14" s="88" t="s">
        <v>10</v>
      </c>
      <c r="W14" s="88" t="s">
        <v>198</v>
      </c>
      <c r="X14" s="88" t="s">
        <v>198</v>
      </c>
      <c r="Y14" s="88" t="s">
        <v>10</v>
      </c>
      <c r="Z14" s="88" t="s">
        <v>198</v>
      </c>
      <c r="AA14" s="88" t="s">
        <v>10</v>
      </c>
      <c r="AB14" s="88" t="s">
        <v>101</v>
      </c>
      <c r="AC14" s="88" t="s">
        <v>10</v>
      </c>
    </row>
    <row r="15" spans="1:29" x14ac:dyDescent="0.15">
      <c r="A15" s="14" t="s">
        <v>210</v>
      </c>
      <c r="B15" s="24">
        <v>110</v>
      </c>
      <c r="C15" s="85">
        <v>50</v>
      </c>
      <c r="D15" s="66">
        <v>88.8</v>
      </c>
      <c r="E15" s="66">
        <v>86.7</v>
      </c>
      <c r="F15" s="90">
        <f>D15*E15</f>
        <v>7698.96</v>
      </c>
      <c r="G15" s="90">
        <f>IF(条件输入!A5="平原",(升压站基础数据!D15+5)*(升压站基础数据!E15+5),(升压站基础数据!D15+10)*(升压站基础数据!E15+10))</f>
        <v>9553.9599999999991</v>
      </c>
      <c r="H15" s="90">
        <f>2*(D15+E15)</f>
        <v>351</v>
      </c>
      <c r="I15" s="90">
        <f>IF(条件输入!$A$5="平原",G15*0.3*条件输入!$E$5/10,G15*3*条件输入!$E$5)</f>
        <v>22929.504000000001</v>
      </c>
      <c r="J15" s="90">
        <f>IF(条件输入!$A$5="平原",G15*0.3*条件输入!$H$2/10,G15*3*条件输入!$H$2)</f>
        <v>5732.3759999999984</v>
      </c>
      <c r="K15" s="90">
        <f>IF(条件输入!$A$5="平原",G15*2,G15*0.5)</f>
        <v>4776.9799999999996</v>
      </c>
      <c r="L15" s="90">
        <f>H15*1</f>
        <v>351</v>
      </c>
      <c r="M15" s="90">
        <f>H15*0.5</f>
        <v>175.5</v>
      </c>
      <c r="N15" s="66">
        <v>1666.45</v>
      </c>
      <c r="O15" s="66">
        <v>840.2</v>
      </c>
      <c r="P15" s="66">
        <v>1316.8</v>
      </c>
      <c r="Q15" s="66">
        <v>510</v>
      </c>
      <c r="R15" s="66">
        <v>370.44</v>
      </c>
      <c r="S15" s="170"/>
      <c r="T15" s="66">
        <v>60</v>
      </c>
      <c r="U15" s="66">
        <v>12</v>
      </c>
      <c r="V15" s="66">
        <v>6</v>
      </c>
      <c r="W15" s="66">
        <v>30</v>
      </c>
      <c r="X15" s="66">
        <v>5</v>
      </c>
      <c r="Y15" s="66">
        <v>1</v>
      </c>
      <c r="Z15" s="66">
        <v>100</v>
      </c>
      <c r="AA15" s="66">
        <v>3</v>
      </c>
      <c r="AB15" s="66">
        <v>80</v>
      </c>
      <c r="AC15" s="66">
        <v>1</v>
      </c>
    </row>
    <row r="16" spans="1:29" x14ac:dyDescent="0.15">
      <c r="A16" s="14" t="s">
        <v>210</v>
      </c>
      <c r="B16" s="24">
        <v>110</v>
      </c>
      <c r="C16" s="24">
        <v>100</v>
      </c>
      <c r="D16" s="65">
        <v>103.3</v>
      </c>
      <c r="E16" s="65">
        <v>98.61</v>
      </c>
      <c r="F16" s="90">
        <f>D16*E16</f>
        <v>10186.413</v>
      </c>
      <c r="G16" s="90">
        <f>IF(条件输入!A6="平原",(升压站基础数据!D16+5)*(升压站基础数据!E16+5),(升压站基础数据!D16+10)*(升压站基础数据!E16+10))</f>
        <v>12305.512999999999</v>
      </c>
      <c r="H16" s="90">
        <f>2*(D16+E16)</f>
        <v>403.82</v>
      </c>
      <c r="I16" s="90">
        <f>IF(条件输入!$A$5="平原",G16*0.3*条件输入!$E$5/10,G16*3*条件输入!$E$5)</f>
        <v>29533.231199999998</v>
      </c>
      <c r="J16" s="90">
        <f>IF(条件输入!$A$5="平原",G16*0.3*条件输入!$H$2/10,G16*3*条件输入!$H$2)</f>
        <v>7383.3077999999978</v>
      </c>
      <c r="K16" s="90">
        <f>IF(条件输入!$A$5="平原",G16*2,G16*0.5)</f>
        <v>6152.7564999999995</v>
      </c>
      <c r="L16" s="90">
        <f>H16*1</f>
        <v>403.82</v>
      </c>
      <c r="M16" s="90">
        <f>H16*0.5</f>
        <v>201.91</v>
      </c>
      <c r="N16" s="65">
        <v>1993.67</v>
      </c>
      <c r="O16" s="65">
        <v>1200</v>
      </c>
      <c r="P16" s="66">
        <v>1316.8</v>
      </c>
      <c r="Q16" s="66">
        <v>510</v>
      </c>
      <c r="R16" s="66">
        <v>370.44</v>
      </c>
      <c r="S16" s="24"/>
      <c r="T16" s="66">
        <v>120</v>
      </c>
      <c r="U16" s="66">
        <v>20</v>
      </c>
      <c r="V16" s="66">
        <v>10</v>
      </c>
      <c r="W16" s="66">
        <v>60</v>
      </c>
      <c r="X16" s="66">
        <v>10</v>
      </c>
      <c r="Y16" s="66">
        <v>2</v>
      </c>
      <c r="Z16" s="66">
        <v>200</v>
      </c>
      <c r="AA16" s="66">
        <v>5</v>
      </c>
      <c r="AB16" s="66">
        <v>150</v>
      </c>
      <c r="AC16" s="66">
        <v>2</v>
      </c>
    </row>
    <row r="17" spans="1:29" x14ac:dyDescent="0.15">
      <c r="A17" s="14" t="s">
        <v>210</v>
      </c>
      <c r="B17" s="24">
        <v>110</v>
      </c>
      <c r="C17" s="24">
        <v>150</v>
      </c>
      <c r="D17" s="65"/>
      <c r="E17" s="65"/>
      <c r="F17" s="52"/>
      <c r="G17" s="52"/>
      <c r="H17" s="52"/>
      <c r="I17" s="52"/>
      <c r="J17" s="52"/>
      <c r="K17" s="52"/>
      <c r="L17" s="52"/>
      <c r="M17" s="52"/>
      <c r="N17" s="65"/>
      <c r="O17" s="65"/>
      <c r="P17" s="65"/>
      <c r="Q17" s="65"/>
      <c r="R17" s="65"/>
      <c r="S17" s="24"/>
      <c r="T17" s="65"/>
      <c r="U17" s="65"/>
      <c r="V17" s="65"/>
      <c r="W17" s="89"/>
      <c r="X17" s="89"/>
      <c r="Y17" s="89"/>
      <c r="Z17" s="89"/>
      <c r="AA17" s="89"/>
      <c r="AB17" s="89"/>
      <c r="AC17" s="89"/>
    </row>
    <row r="18" spans="1:29" x14ac:dyDescent="0.15">
      <c r="A18" s="14" t="s">
        <v>210</v>
      </c>
      <c r="B18" s="24">
        <v>110</v>
      </c>
      <c r="C18" s="85">
        <v>200</v>
      </c>
      <c r="D18" s="66"/>
      <c r="E18" s="66"/>
      <c r="F18" s="52"/>
      <c r="G18" s="52"/>
      <c r="H18" s="52"/>
      <c r="I18" s="52"/>
      <c r="J18" s="52"/>
      <c r="K18" s="52"/>
      <c r="L18" s="52"/>
      <c r="M18" s="52"/>
      <c r="N18" s="65"/>
      <c r="O18" s="65"/>
      <c r="P18" s="65"/>
      <c r="Q18" s="65"/>
      <c r="R18" s="65"/>
      <c r="S18" s="24"/>
      <c r="T18" s="65"/>
      <c r="U18" s="65"/>
      <c r="V18" s="65"/>
      <c r="W18" s="89"/>
      <c r="X18" s="89"/>
      <c r="Y18" s="89"/>
      <c r="Z18" s="89"/>
      <c r="AA18" s="89"/>
      <c r="AB18" s="89"/>
      <c r="AC18" s="89"/>
    </row>
    <row r="19" spans="1:29" x14ac:dyDescent="0.15">
      <c r="A19" s="14" t="s">
        <v>210</v>
      </c>
      <c r="B19" s="24">
        <v>220</v>
      </c>
      <c r="C19" s="85">
        <v>50</v>
      </c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5"/>
      <c r="O19" s="65"/>
      <c r="P19" s="65"/>
      <c r="Q19" s="65"/>
      <c r="R19" s="65"/>
      <c r="S19" s="24"/>
      <c r="T19" s="65"/>
      <c r="U19" s="65"/>
      <c r="V19" s="65"/>
      <c r="W19" s="89"/>
      <c r="X19" s="89"/>
      <c r="Y19" s="89"/>
      <c r="Z19" s="89"/>
      <c r="AA19" s="89"/>
      <c r="AB19" s="89"/>
      <c r="AC19" s="89"/>
    </row>
    <row r="20" spans="1:29" x14ac:dyDescent="0.15">
      <c r="A20" s="14" t="s">
        <v>210</v>
      </c>
      <c r="B20" s="24">
        <v>220</v>
      </c>
      <c r="C20" s="24">
        <v>100</v>
      </c>
      <c r="D20" s="65"/>
      <c r="E20" s="65"/>
      <c r="F20" s="52"/>
      <c r="G20" s="52"/>
      <c r="H20" s="52"/>
      <c r="I20" s="52"/>
      <c r="J20" s="52"/>
      <c r="K20" s="52"/>
      <c r="L20" s="52"/>
      <c r="M20" s="52"/>
      <c r="N20" s="65"/>
      <c r="O20" s="65"/>
      <c r="P20" s="65"/>
      <c r="Q20" s="65"/>
      <c r="R20" s="65"/>
      <c r="S20" s="24"/>
      <c r="T20" s="65"/>
      <c r="U20" s="65"/>
      <c r="V20" s="65"/>
      <c r="W20" s="89"/>
      <c r="X20" s="89"/>
      <c r="Y20" s="89"/>
      <c r="Z20" s="89"/>
      <c r="AA20" s="89"/>
      <c r="AB20" s="89"/>
      <c r="AC20" s="89"/>
    </row>
    <row r="21" spans="1:29" x14ac:dyDescent="0.15">
      <c r="A21" s="14" t="s">
        <v>210</v>
      </c>
      <c r="B21" s="24">
        <v>220</v>
      </c>
      <c r="C21" s="24">
        <v>150</v>
      </c>
      <c r="D21" s="65"/>
      <c r="E21" s="65"/>
      <c r="F21" s="52"/>
      <c r="G21" s="52"/>
      <c r="H21" s="52"/>
      <c r="I21" s="52"/>
      <c r="J21" s="52"/>
      <c r="K21" s="52"/>
      <c r="L21" s="52"/>
      <c r="M21" s="52"/>
      <c r="N21" s="65"/>
      <c r="O21" s="65"/>
      <c r="P21" s="65"/>
      <c r="Q21" s="65"/>
      <c r="R21" s="65"/>
      <c r="S21" s="24"/>
      <c r="T21" s="65"/>
      <c r="U21" s="65"/>
      <c r="V21" s="65"/>
      <c r="W21" s="89"/>
      <c r="X21" s="89"/>
      <c r="Y21" s="89"/>
      <c r="Z21" s="89"/>
      <c r="AA21" s="89"/>
      <c r="AB21" s="89"/>
      <c r="AC21" s="89"/>
    </row>
    <row r="22" spans="1:29" x14ac:dyDescent="0.15">
      <c r="A22" s="14" t="s">
        <v>210</v>
      </c>
      <c r="B22" s="24">
        <v>220</v>
      </c>
      <c r="C22" s="85">
        <v>200</v>
      </c>
      <c r="D22" s="66"/>
      <c r="E22" s="66"/>
      <c r="F22" s="52"/>
      <c r="G22" s="52"/>
      <c r="H22" s="52"/>
      <c r="I22" s="52"/>
      <c r="J22" s="52"/>
      <c r="K22" s="52"/>
      <c r="L22" s="52"/>
      <c r="M22" s="52"/>
      <c r="N22" s="65"/>
      <c r="O22" s="65"/>
      <c r="P22" s="65"/>
      <c r="Q22" s="65"/>
      <c r="R22" s="65"/>
      <c r="S22" s="24"/>
      <c r="T22" s="65"/>
      <c r="U22" s="65"/>
      <c r="V22" s="65"/>
      <c r="W22" s="89"/>
      <c r="X22" s="89"/>
      <c r="Y22" s="89"/>
      <c r="Z22" s="89"/>
      <c r="AA22" s="89"/>
      <c r="AB22" s="89"/>
      <c r="AC22" s="89"/>
    </row>
    <row r="23" spans="1:29" x14ac:dyDescent="0.15">
      <c r="A23" s="14" t="s">
        <v>211</v>
      </c>
      <c r="B23" s="24">
        <v>110</v>
      </c>
      <c r="C23" s="85">
        <v>50</v>
      </c>
      <c r="D23" s="65"/>
      <c r="E23" s="65"/>
      <c r="F23" s="52"/>
      <c r="G23" s="52"/>
      <c r="H23" s="52"/>
      <c r="I23" s="52"/>
      <c r="J23" s="52"/>
      <c r="K23" s="52"/>
      <c r="L23" s="52"/>
      <c r="M23" s="52"/>
      <c r="N23" s="65"/>
      <c r="O23" s="65"/>
      <c r="P23" s="65"/>
      <c r="Q23" s="65"/>
      <c r="R23" s="65"/>
      <c r="S23" s="24"/>
      <c r="T23" s="66">
        <v>60</v>
      </c>
      <c r="U23" s="66">
        <v>12</v>
      </c>
      <c r="V23" s="66">
        <v>6</v>
      </c>
      <c r="W23" s="89"/>
      <c r="X23" s="89"/>
      <c r="Y23" s="89"/>
      <c r="Z23" s="89"/>
      <c r="AA23" s="89"/>
      <c r="AB23" s="89"/>
      <c r="AC23" s="89"/>
    </row>
    <row r="24" spans="1:29" x14ac:dyDescent="0.15">
      <c r="A24" s="14" t="s">
        <v>211</v>
      </c>
      <c r="B24" s="24">
        <v>110</v>
      </c>
      <c r="C24" s="24">
        <v>100</v>
      </c>
      <c r="D24" s="65"/>
      <c r="E24" s="65"/>
      <c r="F24" s="52"/>
      <c r="G24" s="52"/>
      <c r="H24" s="52"/>
      <c r="I24" s="52"/>
      <c r="J24" s="52"/>
      <c r="K24" s="52"/>
      <c r="L24" s="52"/>
      <c r="M24" s="52"/>
      <c r="N24" s="65"/>
      <c r="O24" s="65"/>
      <c r="P24" s="65"/>
      <c r="Q24" s="65"/>
      <c r="R24" s="65"/>
      <c r="S24" s="24"/>
      <c r="T24" s="66">
        <v>60</v>
      </c>
      <c r="U24" s="66">
        <v>12</v>
      </c>
      <c r="V24" s="66">
        <v>6</v>
      </c>
      <c r="W24" s="89"/>
      <c r="X24" s="89"/>
      <c r="Y24" s="89"/>
      <c r="Z24" s="89"/>
      <c r="AA24" s="89"/>
      <c r="AB24" s="89"/>
      <c r="AC24" s="89"/>
    </row>
    <row r="25" spans="1:29" x14ac:dyDescent="0.15">
      <c r="A25" s="14" t="s">
        <v>211</v>
      </c>
      <c r="B25" s="24">
        <v>110</v>
      </c>
      <c r="C25" s="24">
        <v>150</v>
      </c>
      <c r="D25" s="65"/>
      <c r="E25" s="65"/>
      <c r="F25" s="52"/>
      <c r="G25" s="52"/>
      <c r="H25" s="52"/>
      <c r="I25" s="52"/>
      <c r="J25" s="52"/>
      <c r="K25" s="52"/>
      <c r="L25" s="52"/>
      <c r="M25" s="52"/>
      <c r="N25" s="65"/>
      <c r="O25" s="65"/>
      <c r="P25" s="65"/>
      <c r="Q25" s="65"/>
      <c r="R25" s="65"/>
      <c r="S25" s="24"/>
      <c r="T25" s="66">
        <v>60</v>
      </c>
      <c r="U25" s="66">
        <v>12</v>
      </c>
      <c r="V25" s="66">
        <v>6</v>
      </c>
      <c r="W25" s="89"/>
      <c r="X25" s="89"/>
      <c r="Y25" s="89"/>
      <c r="Z25" s="89"/>
      <c r="AA25" s="89"/>
      <c r="AB25" s="89"/>
      <c r="AC25" s="89"/>
    </row>
    <row r="26" spans="1:29" x14ac:dyDescent="0.15">
      <c r="A26" s="14" t="s">
        <v>211</v>
      </c>
      <c r="B26" s="24">
        <v>110</v>
      </c>
      <c r="C26" s="85">
        <v>200</v>
      </c>
      <c r="D26" s="65"/>
      <c r="E26" s="65"/>
      <c r="F26" s="52"/>
      <c r="G26" s="52"/>
      <c r="H26" s="52"/>
      <c r="I26" s="52"/>
      <c r="J26" s="52"/>
      <c r="K26" s="52"/>
      <c r="L26" s="52"/>
      <c r="M26" s="52"/>
      <c r="N26" s="65"/>
      <c r="O26" s="65"/>
      <c r="P26" s="65"/>
      <c r="Q26" s="65"/>
      <c r="R26" s="65"/>
      <c r="S26" s="24"/>
      <c r="T26" s="66">
        <v>60</v>
      </c>
      <c r="U26" s="66">
        <v>12</v>
      </c>
      <c r="V26" s="66">
        <v>6</v>
      </c>
      <c r="W26" s="89"/>
      <c r="X26" s="89"/>
      <c r="Y26" s="89"/>
      <c r="Z26" s="89"/>
      <c r="AA26" s="89"/>
      <c r="AB26" s="89"/>
      <c r="AC26" s="89"/>
    </row>
    <row r="27" spans="1:29" x14ac:dyDescent="0.15">
      <c r="A27" s="14" t="s">
        <v>211</v>
      </c>
      <c r="B27" s="24">
        <v>220</v>
      </c>
      <c r="C27" s="85">
        <v>50</v>
      </c>
      <c r="D27" s="65"/>
      <c r="E27" s="65"/>
      <c r="F27" s="52"/>
      <c r="G27" s="52"/>
      <c r="H27" s="52"/>
      <c r="I27" s="52"/>
      <c r="J27" s="52"/>
      <c r="K27" s="52"/>
      <c r="L27" s="52"/>
      <c r="M27" s="52"/>
      <c r="N27" s="65"/>
      <c r="O27" s="65"/>
      <c r="P27" s="65"/>
      <c r="Q27" s="65"/>
      <c r="R27" s="65"/>
      <c r="S27" s="24"/>
      <c r="T27" s="66">
        <v>60</v>
      </c>
      <c r="U27" s="66">
        <v>12</v>
      </c>
      <c r="V27" s="66">
        <v>6</v>
      </c>
      <c r="W27" s="89"/>
      <c r="X27" s="89"/>
      <c r="Y27" s="89"/>
      <c r="Z27" s="89"/>
      <c r="AA27" s="89"/>
      <c r="AB27" s="89"/>
      <c r="AC27" s="89"/>
    </row>
    <row r="28" spans="1:29" x14ac:dyDescent="0.15">
      <c r="A28" s="14" t="s">
        <v>211</v>
      </c>
      <c r="B28" s="24">
        <v>220</v>
      </c>
      <c r="C28" s="24">
        <v>100</v>
      </c>
      <c r="D28" s="65"/>
      <c r="E28" s="65"/>
      <c r="F28" s="52"/>
      <c r="G28" s="52"/>
      <c r="H28" s="52"/>
      <c r="I28" s="52"/>
      <c r="J28" s="52"/>
      <c r="K28" s="52"/>
      <c r="L28" s="52"/>
      <c r="M28" s="52"/>
      <c r="N28" s="65"/>
      <c r="O28" s="65"/>
      <c r="P28" s="65"/>
      <c r="Q28" s="65"/>
      <c r="R28" s="65"/>
      <c r="S28" s="24"/>
      <c r="T28" s="66">
        <v>60</v>
      </c>
      <c r="U28" s="66">
        <v>12</v>
      </c>
      <c r="V28" s="66">
        <v>6</v>
      </c>
      <c r="W28" s="89"/>
      <c r="X28" s="89"/>
      <c r="Y28" s="89"/>
      <c r="Z28" s="89"/>
      <c r="AA28" s="89"/>
      <c r="AB28" s="89"/>
      <c r="AC28" s="89"/>
    </row>
    <row r="29" spans="1:29" x14ac:dyDescent="0.15">
      <c r="A29" s="14" t="s">
        <v>211</v>
      </c>
      <c r="B29" s="24">
        <v>220</v>
      </c>
      <c r="C29" s="24">
        <v>150</v>
      </c>
      <c r="D29" s="65"/>
      <c r="E29" s="65"/>
      <c r="F29" s="52"/>
      <c r="G29" s="52"/>
      <c r="H29" s="52"/>
      <c r="I29" s="52"/>
      <c r="J29" s="52"/>
      <c r="K29" s="52"/>
      <c r="L29" s="52"/>
      <c r="M29" s="52"/>
      <c r="N29" s="65"/>
      <c r="O29" s="65"/>
      <c r="P29" s="65"/>
      <c r="Q29" s="65"/>
      <c r="R29" s="65"/>
      <c r="S29" s="24"/>
      <c r="T29" s="66">
        <v>60</v>
      </c>
      <c r="U29" s="66">
        <v>12</v>
      </c>
      <c r="V29" s="66">
        <v>6</v>
      </c>
      <c r="W29" s="89"/>
      <c r="X29" s="89"/>
      <c r="Y29" s="89"/>
      <c r="Z29" s="89"/>
      <c r="AA29" s="89"/>
      <c r="AB29" s="89"/>
      <c r="AC29" s="89"/>
    </row>
    <row r="30" spans="1:29" x14ac:dyDescent="0.15">
      <c r="A30" s="14" t="s">
        <v>211</v>
      </c>
      <c r="B30" s="24">
        <v>220</v>
      </c>
      <c r="C30" s="85">
        <v>200</v>
      </c>
      <c r="D30" s="65"/>
      <c r="E30" s="65"/>
      <c r="F30" s="52"/>
      <c r="G30" s="52"/>
      <c r="H30" s="52"/>
      <c r="I30" s="52"/>
      <c r="J30" s="52"/>
      <c r="K30" s="52"/>
      <c r="L30" s="52"/>
      <c r="M30" s="52"/>
      <c r="N30" s="65"/>
      <c r="O30" s="65"/>
      <c r="P30" s="65"/>
      <c r="Q30" s="65"/>
      <c r="R30" s="65"/>
      <c r="S30" s="24"/>
      <c r="T30" s="66">
        <v>60</v>
      </c>
      <c r="U30" s="66">
        <v>12</v>
      </c>
      <c r="V30" s="66">
        <v>6</v>
      </c>
      <c r="W30" s="89"/>
      <c r="X30" s="89"/>
      <c r="Y30" s="89"/>
      <c r="Z30" s="89"/>
      <c r="AA30" s="89"/>
      <c r="AB30" s="89"/>
      <c r="AC30" s="89"/>
    </row>
  </sheetData>
  <sheetProtection autoFilter="0"/>
  <phoneticPr fontId="18" type="noConversion"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Y36"/>
  <sheetViews>
    <sheetView zoomScale="85" zoomScaleNormal="85" workbookViewId="0">
      <selection activeCell="A26" sqref="A26:I36"/>
    </sheetView>
  </sheetViews>
  <sheetFormatPr defaultRowHeight="14.25" x14ac:dyDescent="0.15"/>
  <cols>
    <col min="2" max="2" width="10.5" customWidth="1"/>
    <col min="27" max="27" width="10.75" customWidth="1"/>
    <col min="28" max="28" width="11.125" customWidth="1"/>
  </cols>
  <sheetData>
    <row r="1" spans="1:51" x14ac:dyDescent="0.15">
      <c r="A1" s="2" t="s">
        <v>59</v>
      </c>
      <c r="B1" s="2" t="s">
        <v>60</v>
      </c>
      <c r="D1" s="2" t="s">
        <v>68</v>
      </c>
      <c r="E1" s="2" t="s">
        <v>132</v>
      </c>
      <c r="G1" s="2" t="s">
        <v>69</v>
      </c>
      <c r="H1" s="2" t="s">
        <v>173</v>
      </c>
    </row>
    <row r="2" spans="1:51" x14ac:dyDescent="0.15">
      <c r="A2" s="2" t="s">
        <v>59</v>
      </c>
      <c r="B2" s="2" t="s">
        <v>61</v>
      </c>
      <c r="E2" s="2" t="s">
        <v>133</v>
      </c>
      <c r="H2" s="2" t="s">
        <v>174</v>
      </c>
    </row>
    <row r="3" spans="1:51" x14ac:dyDescent="0.15">
      <c r="A3" s="2" t="s">
        <v>59</v>
      </c>
      <c r="B3" s="2" t="s">
        <v>62</v>
      </c>
      <c r="H3" s="2" t="s">
        <v>176</v>
      </c>
    </row>
    <row r="4" spans="1:51" x14ac:dyDescent="0.15">
      <c r="A4" s="2" t="s">
        <v>59</v>
      </c>
      <c r="B4" s="2" t="s">
        <v>63</v>
      </c>
    </row>
    <row r="5" spans="1:51" x14ac:dyDescent="0.15">
      <c r="A5" s="2" t="s">
        <v>59</v>
      </c>
      <c r="B5" s="2" t="s">
        <v>64</v>
      </c>
    </row>
    <row r="6" spans="1:51" x14ac:dyDescent="0.15">
      <c r="A6" s="2" t="s">
        <v>59</v>
      </c>
      <c r="B6" s="2" t="s">
        <v>65</v>
      </c>
    </row>
    <row r="7" spans="1:51" x14ac:dyDescent="0.15">
      <c r="A7" s="2" t="s">
        <v>59</v>
      </c>
      <c r="B7" s="2" t="s">
        <v>66</v>
      </c>
    </row>
    <row r="8" spans="1:51" x14ac:dyDescent="0.15">
      <c r="A8" s="2" t="s">
        <v>59</v>
      </c>
      <c r="B8" s="2" t="s">
        <v>67</v>
      </c>
    </row>
    <row r="9" spans="1:51" x14ac:dyDescent="0.15">
      <c r="A9" s="2"/>
      <c r="B9" s="2"/>
    </row>
    <row r="13" spans="1:51" x14ac:dyDescent="0.15">
      <c r="A13" s="65"/>
      <c r="B13" s="78" t="s">
        <v>127</v>
      </c>
      <c r="C13" s="65">
        <v>1</v>
      </c>
      <c r="D13" s="65">
        <v>2</v>
      </c>
      <c r="E13" s="65">
        <v>3</v>
      </c>
      <c r="F13" s="65">
        <v>4</v>
      </c>
      <c r="G13" s="65">
        <v>5</v>
      </c>
      <c r="H13" s="65">
        <v>6</v>
      </c>
      <c r="I13" s="65">
        <v>7</v>
      </c>
      <c r="J13" s="65">
        <v>8</v>
      </c>
      <c r="K13" s="78" t="s">
        <v>128</v>
      </c>
      <c r="L13" s="65">
        <v>1</v>
      </c>
      <c r="M13" s="65">
        <v>2</v>
      </c>
      <c r="N13" s="65">
        <v>3</v>
      </c>
      <c r="O13" s="65">
        <v>4</v>
      </c>
      <c r="P13" s="65">
        <v>5</v>
      </c>
      <c r="Q13" s="65">
        <v>6</v>
      </c>
      <c r="R13" s="65">
        <v>7</v>
      </c>
      <c r="S13" s="65">
        <v>8</v>
      </c>
      <c r="T13" s="65">
        <v>9</v>
      </c>
      <c r="U13" s="65">
        <v>10</v>
      </c>
      <c r="V13" s="65">
        <v>11</v>
      </c>
      <c r="W13" s="78" t="s">
        <v>134</v>
      </c>
      <c r="X13" s="65">
        <v>1</v>
      </c>
      <c r="Y13" s="65">
        <v>2</v>
      </c>
      <c r="Z13" s="65">
        <v>3</v>
      </c>
      <c r="AA13" s="65">
        <v>4</v>
      </c>
      <c r="AB13" s="65">
        <v>5</v>
      </c>
      <c r="AC13" s="65">
        <v>6</v>
      </c>
      <c r="AD13" s="65">
        <v>7</v>
      </c>
      <c r="AE13" s="65">
        <v>8</v>
      </c>
      <c r="AF13" s="65">
        <v>9</v>
      </c>
      <c r="AG13" s="65">
        <v>10</v>
      </c>
      <c r="AH13" s="65">
        <v>11</v>
      </c>
      <c r="AI13" s="65">
        <v>12</v>
      </c>
      <c r="AJ13" s="65">
        <v>13</v>
      </c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</row>
    <row r="14" spans="1:51" ht="40.5" x14ac:dyDescent="0.15">
      <c r="A14" s="65"/>
      <c r="B14" s="77" t="s">
        <v>97</v>
      </c>
      <c r="C14" s="66" t="s">
        <v>4</v>
      </c>
      <c r="D14" s="66" t="s">
        <v>6</v>
      </c>
      <c r="E14" s="66" t="s">
        <v>7</v>
      </c>
      <c r="F14" s="66" t="s">
        <v>163</v>
      </c>
      <c r="G14" s="66" t="s">
        <v>166</v>
      </c>
      <c r="H14" s="66" t="s">
        <v>135</v>
      </c>
      <c r="I14" s="66" t="s">
        <v>167</v>
      </c>
      <c r="J14" s="66" t="s">
        <v>104</v>
      </c>
      <c r="K14" s="77" t="s">
        <v>136</v>
      </c>
      <c r="L14" s="66" t="s">
        <v>4</v>
      </c>
      <c r="M14" s="66" t="s">
        <v>6</v>
      </c>
      <c r="N14" s="66" t="s">
        <v>7</v>
      </c>
      <c r="O14" s="66" t="s">
        <v>146</v>
      </c>
      <c r="P14" s="66" t="s">
        <v>168</v>
      </c>
      <c r="Q14" s="66" t="s">
        <v>164</v>
      </c>
      <c r="R14" s="66" t="s">
        <v>135</v>
      </c>
      <c r="S14" s="66" t="s">
        <v>165</v>
      </c>
      <c r="T14" s="66" t="s">
        <v>104</v>
      </c>
      <c r="U14" s="66" t="s">
        <v>147</v>
      </c>
      <c r="V14" s="66" t="s">
        <v>148</v>
      </c>
      <c r="W14" s="77" t="s">
        <v>137</v>
      </c>
      <c r="X14" s="66" t="s">
        <v>4</v>
      </c>
      <c r="Y14" s="66" t="s">
        <v>6</v>
      </c>
      <c r="Z14" s="66" t="s">
        <v>7</v>
      </c>
      <c r="AA14" s="66" t="s">
        <v>138</v>
      </c>
      <c r="AB14" s="66" t="s">
        <v>168</v>
      </c>
      <c r="AC14" s="66" t="s">
        <v>169</v>
      </c>
      <c r="AD14" s="66" t="s">
        <v>135</v>
      </c>
      <c r="AE14" s="66" t="s">
        <v>167</v>
      </c>
      <c r="AF14" s="66" t="s">
        <v>139</v>
      </c>
      <c r="AG14" s="66" t="s">
        <v>147</v>
      </c>
      <c r="AH14" s="66" t="s">
        <v>148</v>
      </c>
      <c r="AI14" s="66" t="s">
        <v>140</v>
      </c>
      <c r="AJ14" s="65" t="s">
        <v>272</v>
      </c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</row>
    <row r="15" spans="1:51" x14ac:dyDescent="0.15">
      <c r="A15" s="65"/>
      <c r="B15" s="77" t="s">
        <v>141</v>
      </c>
      <c r="C15" s="66" t="s">
        <v>162</v>
      </c>
      <c r="D15" s="66" t="s">
        <v>162</v>
      </c>
      <c r="E15" s="66" t="s">
        <v>162</v>
      </c>
      <c r="F15" s="66" t="s">
        <v>161</v>
      </c>
      <c r="G15" s="66" t="s">
        <v>101</v>
      </c>
      <c r="H15" s="66" t="s">
        <v>162</v>
      </c>
      <c r="I15" s="66" t="s">
        <v>162</v>
      </c>
      <c r="J15" s="66" t="s">
        <v>161</v>
      </c>
      <c r="K15" s="77" t="s">
        <v>141</v>
      </c>
      <c r="L15" s="66" t="s">
        <v>162</v>
      </c>
      <c r="M15" s="66" t="s">
        <v>162</v>
      </c>
      <c r="N15" s="66" t="s">
        <v>162</v>
      </c>
      <c r="O15" s="66" t="s">
        <v>161</v>
      </c>
      <c r="P15" s="66" t="s">
        <v>161</v>
      </c>
      <c r="Q15" s="66" t="s">
        <v>101</v>
      </c>
      <c r="R15" s="66" t="s">
        <v>162</v>
      </c>
      <c r="S15" s="66" t="s">
        <v>162</v>
      </c>
      <c r="T15" s="66" t="s">
        <v>161</v>
      </c>
      <c r="U15" s="66" t="s">
        <v>149</v>
      </c>
      <c r="V15" s="66" t="s">
        <v>150</v>
      </c>
      <c r="W15" s="77" t="s">
        <v>142</v>
      </c>
      <c r="X15" s="66" t="s">
        <v>162</v>
      </c>
      <c r="Y15" s="66" t="s">
        <v>162</v>
      </c>
      <c r="Z15" s="66" t="s">
        <v>162</v>
      </c>
      <c r="AA15" s="66" t="s">
        <v>161</v>
      </c>
      <c r="AB15" s="66" t="s">
        <v>161</v>
      </c>
      <c r="AC15" s="66" t="s">
        <v>101</v>
      </c>
      <c r="AD15" s="66" t="s">
        <v>162</v>
      </c>
      <c r="AE15" s="66" t="s">
        <v>162</v>
      </c>
      <c r="AF15" s="66" t="s">
        <v>161</v>
      </c>
      <c r="AG15" s="66" t="s">
        <v>149</v>
      </c>
      <c r="AH15" s="66" t="s">
        <v>150</v>
      </c>
      <c r="AI15" s="66" t="s">
        <v>161</v>
      </c>
      <c r="AJ15" s="66" t="s">
        <v>161</v>
      </c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</row>
    <row r="16" spans="1:51" x14ac:dyDescent="0.15">
      <c r="A16" s="65" t="s">
        <v>60</v>
      </c>
      <c r="B16" s="78"/>
      <c r="C16" s="65">
        <f>2.5*1000*0.4*条件输入!$E$5</f>
        <v>800</v>
      </c>
      <c r="D16" s="65">
        <f>2.5*1000*0.4*条件输入!$F$5</f>
        <v>199.99999999999994</v>
      </c>
      <c r="E16" s="65">
        <f>2.5*1000*0.4</f>
        <v>1000</v>
      </c>
      <c r="F16" s="65">
        <f>2.5*1000</f>
        <v>2500</v>
      </c>
      <c r="G16" s="65">
        <v>0</v>
      </c>
      <c r="H16" s="65">
        <f>0.475*1000</f>
        <v>475</v>
      </c>
      <c r="I16" s="65">
        <v>0</v>
      </c>
      <c r="J16" s="65">
        <f>1*1000</f>
        <v>1000</v>
      </c>
      <c r="K16" s="78"/>
      <c r="L16" s="65">
        <f>6500*0.3*条件输入!$E$5</f>
        <v>1560</v>
      </c>
      <c r="M16" s="65">
        <f>6500*0.3*条件输入!$F$5</f>
        <v>389.99999999999989</v>
      </c>
      <c r="N16" s="65">
        <f>6.5*1000*0.5</f>
        <v>3250</v>
      </c>
      <c r="O16" s="65">
        <f>6.5*1000</f>
        <v>6500</v>
      </c>
      <c r="P16" s="65">
        <f>6*1000</f>
        <v>6000</v>
      </c>
      <c r="Q16" s="65">
        <v>0</v>
      </c>
      <c r="R16" s="65">
        <f>0.475*1000</f>
        <v>475</v>
      </c>
      <c r="S16" s="65">
        <v>0</v>
      </c>
      <c r="T16" s="65">
        <f>1*1000</f>
        <v>1000</v>
      </c>
      <c r="U16" s="65">
        <v>2</v>
      </c>
      <c r="V16" s="65">
        <v>0</v>
      </c>
      <c r="W16" s="78"/>
      <c r="X16" s="65">
        <f>6500*0.3*条件输入!$E$5</f>
        <v>1560</v>
      </c>
      <c r="Y16" s="65">
        <f>6500*0.3*条件输入!$F$5</f>
        <v>389.99999999999989</v>
      </c>
      <c r="Z16" s="65">
        <f>6.5*1000*0.5</f>
        <v>3250</v>
      </c>
      <c r="AA16" s="65">
        <f>5.5*1000</f>
        <v>5500</v>
      </c>
      <c r="AB16" s="65">
        <v>0</v>
      </c>
      <c r="AC16" s="65">
        <f>20</f>
        <v>20</v>
      </c>
      <c r="AD16" s="65">
        <f>0.475*1000</f>
        <v>475</v>
      </c>
      <c r="AE16" s="65">
        <v>0</v>
      </c>
      <c r="AF16" s="65">
        <f>1*1000</f>
        <v>1000</v>
      </c>
      <c r="AG16" s="65">
        <v>2</v>
      </c>
      <c r="AH16" s="65">
        <v>0</v>
      </c>
      <c r="AI16" s="65" t="str">
        <f>IF(条件输入!$G$5="无","","自定义")</f>
        <v/>
      </c>
      <c r="AJ16" s="65">
        <f>8*1000</f>
        <v>8000</v>
      </c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</row>
    <row r="17" spans="1:51" x14ac:dyDescent="0.15">
      <c r="A17" s="65" t="s">
        <v>61</v>
      </c>
      <c r="B17" s="78"/>
      <c r="C17" s="65">
        <f>2.5*1000*0.4*条件输入!$E$5</f>
        <v>800</v>
      </c>
      <c r="D17" s="65">
        <f>2.5*1000*0.4*条件输入!$F$5</f>
        <v>199.99999999999994</v>
      </c>
      <c r="E17" s="65">
        <f>2.5*1000*0.4</f>
        <v>1000</v>
      </c>
      <c r="F17" s="65">
        <f>2.5*1000</f>
        <v>2500</v>
      </c>
      <c r="G17" s="65">
        <v>0</v>
      </c>
      <c r="H17" s="65">
        <f>0.475*1000</f>
        <v>475</v>
      </c>
      <c r="I17" s="65">
        <v>0</v>
      </c>
      <c r="J17" s="65">
        <f>1*1000</f>
        <v>1000</v>
      </c>
      <c r="K17" s="78"/>
      <c r="L17" s="65">
        <f>6000*条件输入!$E$5</f>
        <v>4800</v>
      </c>
      <c r="M17" s="65">
        <f>6000*条件输入!$F$5</f>
        <v>1199.9999999999998</v>
      </c>
      <c r="N17" s="65">
        <f>6000*0.5</f>
        <v>3000</v>
      </c>
      <c r="O17" s="65">
        <f>6.5*1000</f>
        <v>6500</v>
      </c>
      <c r="P17" s="65">
        <f>6*1000</f>
        <v>6000</v>
      </c>
      <c r="Q17" s="65">
        <v>0</v>
      </c>
      <c r="R17" s="65">
        <f>0.475*1000</f>
        <v>475</v>
      </c>
      <c r="S17" s="65">
        <v>100</v>
      </c>
      <c r="T17" s="65">
        <f>2*1000</f>
        <v>2000</v>
      </c>
      <c r="U17" s="65">
        <v>2</v>
      </c>
      <c r="V17" s="65">
        <v>0</v>
      </c>
      <c r="W17" s="78"/>
      <c r="X17" s="65">
        <f>6000*条件输入!$E$5</f>
        <v>4800</v>
      </c>
      <c r="Y17" s="65">
        <f>6000*条件输入!$F$5</f>
        <v>1199.9999999999998</v>
      </c>
      <c r="Z17" s="65">
        <f>6000*0.5</f>
        <v>3000</v>
      </c>
      <c r="AA17" s="65">
        <f>6*1000</f>
        <v>6000</v>
      </c>
      <c r="AB17" s="65">
        <v>0</v>
      </c>
      <c r="AC17" s="65">
        <v>20</v>
      </c>
      <c r="AD17" s="65">
        <f>0.475*1000</f>
        <v>475</v>
      </c>
      <c r="AE17" s="65">
        <v>100</v>
      </c>
      <c r="AF17" s="65">
        <f>2*1000</f>
        <v>2000</v>
      </c>
      <c r="AG17" s="65">
        <v>2</v>
      </c>
      <c r="AH17" s="65">
        <v>0</v>
      </c>
      <c r="AI17" s="65" t="str">
        <f>IF(条件输入!$G$5="无","","自定义")</f>
        <v/>
      </c>
      <c r="AJ17" s="65">
        <f>10*1000</f>
        <v>10000</v>
      </c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</row>
    <row r="18" spans="1:51" x14ac:dyDescent="0.15">
      <c r="A18" s="65" t="s">
        <v>62</v>
      </c>
      <c r="B18" s="78"/>
      <c r="C18" s="65">
        <f>2.5*1000*1*条件输入!$E$5</f>
        <v>2000</v>
      </c>
      <c r="D18" s="65">
        <f>2.5*1000*1*条件输入!$F$5</f>
        <v>499.99999999999989</v>
      </c>
      <c r="E18" s="65">
        <f>2.5*1000*0.5</f>
        <v>1250</v>
      </c>
      <c r="F18" s="65">
        <f t="shared" ref="F18:F23" si="0">2.5*1000</f>
        <v>2500</v>
      </c>
      <c r="G18" s="65">
        <v>0</v>
      </c>
      <c r="H18" s="65">
        <f t="shared" ref="H18:H23" si="1">0.475*1000</f>
        <v>475</v>
      </c>
      <c r="I18" s="65">
        <v>100</v>
      </c>
      <c r="J18" s="65">
        <f>1.5*1000</f>
        <v>1500</v>
      </c>
      <c r="K18" s="78"/>
      <c r="L18" s="65">
        <f>8000*条件输入!$E$5</f>
        <v>6400</v>
      </c>
      <c r="M18" s="65">
        <f>8000*条件输入!$F$5</f>
        <v>1599.9999999999995</v>
      </c>
      <c r="N18" s="65">
        <f>8000*0.5</f>
        <v>4000</v>
      </c>
      <c r="O18" s="65">
        <f t="shared" ref="O18:O23" si="2">6.5*1000</f>
        <v>6500</v>
      </c>
      <c r="P18" s="65">
        <f t="shared" ref="P18:P23" si="3">6*1000</f>
        <v>6000</v>
      </c>
      <c r="Q18" s="65">
        <v>20</v>
      </c>
      <c r="R18" s="65">
        <f t="shared" ref="R18:R23" si="4">0.475*1000</f>
        <v>475</v>
      </c>
      <c r="S18" s="65">
        <v>200</v>
      </c>
      <c r="T18" s="65">
        <v>5000</v>
      </c>
      <c r="U18" s="65">
        <v>2</v>
      </c>
      <c r="V18" s="65">
        <v>160</v>
      </c>
      <c r="W18" s="78"/>
      <c r="X18" s="65">
        <f>8000*条件输入!$E$5</f>
        <v>6400</v>
      </c>
      <c r="Y18" s="65">
        <f>8000*条件输入!$F$5</f>
        <v>1599.9999999999995</v>
      </c>
      <c r="Z18" s="65">
        <f>8000*0.5</f>
        <v>4000</v>
      </c>
      <c r="AA18" s="65">
        <f>6*1000</f>
        <v>6000</v>
      </c>
      <c r="AB18" s="65">
        <v>0</v>
      </c>
      <c r="AC18" s="65">
        <v>20</v>
      </c>
      <c r="AD18" s="65">
        <f t="shared" ref="AD18:AD23" si="5">0.475*1000</f>
        <v>475</v>
      </c>
      <c r="AE18" s="65">
        <v>200</v>
      </c>
      <c r="AF18" s="65">
        <v>5000</v>
      </c>
      <c r="AG18" s="65">
        <v>4</v>
      </c>
      <c r="AH18" s="65">
        <v>160</v>
      </c>
      <c r="AI18" s="65" t="str">
        <f>IF(条件输入!$G$5="无","","自定义")</f>
        <v/>
      </c>
      <c r="AJ18" s="65">
        <f>10*1000</f>
        <v>10000</v>
      </c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</row>
    <row r="19" spans="1:51" x14ac:dyDescent="0.15">
      <c r="A19" s="65" t="s">
        <v>63</v>
      </c>
      <c r="B19" s="78"/>
      <c r="C19" s="65">
        <f>2.5*1000*2*条件输入!$E$5</f>
        <v>4000</v>
      </c>
      <c r="D19" s="65">
        <f>2.5*1000*2*条件输入!$F$5</f>
        <v>999.99999999999977</v>
      </c>
      <c r="E19" s="65">
        <f t="shared" ref="E19:E23" si="6">2.5*1000*0.5</f>
        <v>1250</v>
      </c>
      <c r="F19" s="65">
        <f t="shared" si="0"/>
        <v>2500</v>
      </c>
      <c r="G19" s="65">
        <v>0</v>
      </c>
      <c r="H19" s="65">
        <f t="shared" si="1"/>
        <v>475</v>
      </c>
      <c r="I19" s="65">
        <v>150</v>
      </c>
      <c r="J19" s="65">
        <f>2*1000</f>
        <v>2000</v>
      </c>
      <c r="K19" s="78"/>
      <c r="L19" s="65">
        <f>15000*条件输入!$E$5</f>
        <v>12000</v>
      </c>
      <c r="M19" s="65">
        <f>15000*条件输入!$F$5</f>
        <v>2999.9999999999995</v>
      </c>
      <c r="N19" s="65">
        <f>15000*0.3</f>
        <v>4500</v>
      </c>
      <c r="O19" s="65">
        <f t="shared" si="2"/>
        <v>6500</v>
      </c>
      <c r="P19" s="65">
        <f t="shared" si="3"/>
        <v>6000</v>
      </c>
      <c r="Q19" s="65">
        <v>20</v>
      </c>
      <c r="R19" s="65">
        <f t="shared" si="4"/>
        <v>475</v>
      </c>
      <c r="S19" s="65">
        <v>300</v>
      </c>
      <c r="T19" s="65">
        <v>6000</v>
      </c>
      <c r="U19" s="65">
        <v>2</v>
      </c>
      <c r="V19" s="65">
        <v>200</v>
      </c>
      <c r="W19" s="78"/>
      <c r="X19" s="65">
        <f>15000*条件输入!$E$5</f>
        <v>12000</v>
      </c>
      <c r="Y19" s="65">
        <f>15000*条件输入!$F$5</f>
        <v>2999.9999999999995</v>
      </c>
      <c r="Z19" s="65">
        <f>15000*0.3</f>
        <v>4500</v>
      </c>
      <c r="AA19" s="65">
        <f t="shared" ref="AA19:AA23" si="7">6*1000</f>
        <v>6000</v>
      </c>
      <c r="AB19" s="65">
        <v>0</v>
      </c>
      <c r="AC19" s="65">
        <v>20</v>
      </c>
      <c r="AD19" s="65">
        <f t="shared" si="5"/>
        <v>475</v>
      </c>
      <c r="AE19" s="65">
        <v>300</v>
      </c>
      <c r="AF19" s="65">
        <v>6000</v>
      </c>
      <c r="AG19" s="65">
        <v>4</v>
      </c>
      <c r="AH19" s="65">
        <v>200</v>
      </c>
      <c r="AI19" s="65" t="str">
        <f>IF(条件输入!$G$5="无","","自定义")</f>
        <v/>
      </c>
      <c r="AJ19" s="65">
        <f>12*1000</f>
        <v>12000</v>
      </c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</row>
    <row r="20" spans="1:51" x14ac:dyDescent="0.15">
      <c r="A20" s="65" t="s">
        <v>64</v>
      </c>
      <c r="B20" s="78"/>
      <c r="C20" s="65">
        <f>2.5*1000*1.5*条件输入!$E$5</f>
        <v>3000</v>
      </c>
      <c r="D20" s="65">
        <f>2.5*1000*1.5*条件输入!$F$5</f>
        <v>749.99999999999989</v>
      </c>
      <c r="E20" s="65">
        <f t="shared" si="6"/>
        <v>1250</v>
      </c>
      <c r="F20" s="65">
        <f t="shared" si="0"/>
        <v>2500</v>
      </c>
      <c r="G20" s="65">
        <v>0</v>
      </c>
      <c r="H20" s="65">
        <f t="shared" si="1"/>
        <v>475</v>
      </c>
      <c r="I20" s="65">
        <v>100</v>
      </c>
      <c r="J20" s="65">
        <f t="shared" ref="J20:J23" si="8">1*1000</f>
        <v>1000</v>
      </c>
      <c r="K20" s="78"/>
      <c r="L20" s="65">
        <f>10000*条件输入!$E$5</f>
        <v>8000</v>
      </c>
      <c r="M20" s="65">
        <f>10000*条件输入!$F$5</f>
        <v>1999.9999999999995</v>
      </c>
      <c r="N20" s="65">
        <f>10000*0.5</f>
        <v>5000</v>
      </c>
      <c r="O20" s="65">
        <f t="shared" si="2"/>
        <v>6500</v>
      </c>
      <c r="P20" s="65">
        <f t="shared" si="3"/>
        <v>6000</v>
      </c>
      <c r="Q20" s="65">
        <v>20</v>
      </c>
      <c r="R20" s="65">
        <f t="shared" si="4"/>
        <v>475</v>
      </c>
      <c r="S20" s="65">
        <v>250</v>
      </c>
      <c r="T20" s="65">
        <v>5000</v>
      </c>
      <c r="U20" s="65">
        <v>2</v>
      </c>
      <c r="V20" s="65">
        <v>180</v>
      </c>
      <c r="W20" s="78"/>
      <c r="X20" s="65">
        <f>10000*条件输入!$E$5</f>
        <v>8000</v>
      </c>
      <c r="Y20" s="65">
        <f>10000*条件输入!$F$5</f>
        <v>1999.9999999999995</v>
      </c>
      <c r="Z20" s="65">
        <f>10000*0.5</f>
        <v>5000</v>
      </c>
      <c r="AA20" s="65">
        <f t="shared" si="7"/>
        <v>6000</v>
      </c>
      <c r="AB20" s="65">
        <v>0</v>
      </c>
      <c r="AC20" s="65">
        <v>20</v>
      </c>
      <c r="AD20" s="65">
        <f t="shared" si="5"/>
        <v>475</v>
      </c>
      <c r="AE20" s="65">
        <v>250</v>
      </c>
      <c r="AF20" s="65">
        <v>5000</v>
      </c>
      <c r="AG20" s="65">
        <v>4</v>
      </c>
      <c r="AH20" s="65">
        <v>180</v>
      </c>
      <c r="AI20" s="65" t="str">
        <f>IF(条件输入!$G$5="无","","自定义")</f>
        <v/>
      </c>
      <c r="AJ20" s="65">
        <f>11*1000</f>
        <v>11000</v>
      </c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</row>
    <row r="21" spans="1:51" x14ac:dyDescent="0.15">
      <c r="A21" s="65" t="s">
        <v>65</v>
      </c>
      <c r="B21" s="78"/>
      <c r="C21" s="65">
        <f>2.5*1000*2.5*条件输入!$E$5</f>
        <v>5000</v>
      </c>
      <c r="D21" s="65">
        <f>2.5*1000*2.5*条件输入!$F$5</f>
        <v>1249.9999999999998</v>
      </c>
      <c r="E21" s="65">
        <f t="shared" si="6"/>
        <v>1250</v>
      </c>
      <c r="F21" s="65">
        <f t="shared" si="0"/>
        <v>2500</v>
      </c>
      <c r="G21" s="65">
        <v>0</v>
      </c>
      <c r="H21" s="65">
        <f t="shared" si="1"/>
        <v>475</v>
      </c>
      <c r="I21" s="65">
        <v>200</v>
      </c>
      <c r="J21" s="65">
        <f t="shared" si="8"/>
        <v>1000</v>
      </c>
      <c r="K21" s="78"/>
      <c r="L21" s="65">
        <f>18000*条件输入!$E$5</f>
        <v>14400</v>
      </c>
      <c r="M21" s="65">
        <f>18000*条件输入!$F$5</f>
        <v>3599.9999999999991</v>
      </c>
      <c r="N21" s="65">
        <f>18000*0.3</f>
        <v>5400</v>
      </c>
      <c r="O21" s="65">
        <f t="shared" si="2"/>
        <v>6500</v>
      </c>
      <c r="P21" s="65">
        <f t="shared" si="3"/>
        <v>6000</v>
      </c>
      <c r="Q21" s="65">
        <v>20</v>
      </c>
      <c r="R21" s="65">
        <f t="shared" si="4"/>
        <v>475</v>
      </c>
      <c r="S21" s="65">
        <v>350</v>
      </c>
      <c r="T21" s="65">
        <v>7000</v>
      </c>
      <c r="U21" s="65">
        <v>2</v>
      </c>
      <c r="V21" s="65">
        <v>250</v>
      </c>
      <c r="W21" s="78"/>
      <c r="X21" s="65">
        <f>18000*条件输入!$E$5</f>
        <v>14400</v>
      </c>
      <c r="Y21" s="65">
        <f>18000*条件输入!$F$5</f>
        <v>3599.9999999999991</v>
      </c>
      <c r="Z21" s="65">
        <f>18000*0.3</f>
        <v>5400</v>
      </c>
      <c r="AA21" s="65">
        <f t="shared" si="7"/>
        <v>6000</v>
      </c>
      <c r="AB21" s="65">
        <v>0</v>
      </c>
      <c r="AC21" s="65">
        <v>20</v>
      </c>
      <c r="AD21" s="65">
        <f t="shared" si="5"/>
        <v>475</v>
      </c>
      <c r="AE21" s="65">
        <v>350</v>
      </c>
      <c r="AF21" s="65">
        <v>7000</v>
      </c>
      <c r="AG21" s="65">
        <v>4</v>
      </c>
      <c r="AH21" s="65">
        <v>250</v>
      </c>
      <c r="AI21" s="65" t="str">
        <f>IF(条件输入!$G$5="无","","自定义")</f>
        <v/>
      </c>
      <c r="AJ21" s="65">
        <f>13*1000</f>
        <v>13000</v>
      </c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</row>
    <row r="22" spans="1:51" x14ac:dyDescent="0.15">
      <c r="A22" s="65" t="s">
        <v>66</v>
      </c>
      <c r="B22" s="78"/>
      <c r="C22" s="65">
        <f>2.5*1000*2*条件输入!$E$5</f>
        <v>4000</v>
      </c>
      <c r="D22" s="65">
        <f>2.5*1000*2*条件输入!$F$5</f>
        <v>999.99999999999977</v>
      </c>
      <c r="E22" s="65">
        <f t="shared" si="6"/>
        <v>1250</v>
      </c>
      <c r="F22" s="65">
        <f t="shared" si="0"/>
        <v>2500</v>
      </c>
      <c r="G22" s="65">
        <v>0</v>
      </c>
      <c r="H22" s="65">
        <f t="shared" si="1"/>
        <v>475</v>
      </c>
      <c r="I22" s="65">
        <v>100</v>
      </c>
      <c r="J22" s="65">
        <f t="shared" si="8"/>
        <v>1000</v>
      </c>
      <c r="K22" s="78"/>
      <c r="L22" s="65">
        <f>12000*条件输入!$E$5</f>
        <v>9600</v>
      </c>
      <c r="M22" s="65">
        <f>12000*条件输入!$F$5</f>
        <v>2399.9999999999995</v>
      </c>
      <c r="N22" s="65">
        <f>12000*0.5</f>
        <v>6000</v>
      </c>
      <c r="O22" s="65">
        <f t="shared" si="2"/>
        <v>6500</v>
      </c>
      <c r="P22" s="65">
        <f t="shared" si="3"/>
        <v>6000</v>
      </c>
      <c r="Q22" s="65">
        <v>20</v>
      </c>
      <c r="R22" s="65">
        <f t="shared" si="4"/>
        <v>475</v>
      </c>
      <c r="S22" s="65">
        <v>300</v>
      </c>
      <c r="T22" s="65">
        <v>6000</v>
      </c>
      <c r="U22" s="65">
        <v>2</v>
      </c>
      <c r="V22" s="65">
        <v>200</v>
      </c>
      <c r="W22" s="78"/>
      <c r="X22" s="65">
        <f>12000*条件输入!$E$5</f>
        <v>9600</v>
      </c>
      <c r="Y22" s="65">
        <f>12000*条件输入!$F$5</f>
        <v>2399.9999999999995</v>
      </c>
      <c r="Z22" s="65">
        <f>12000*0.5</f>
        <v>6000</v>
      </c>
      <c r="AA22" s="65">
        <f t="shared" si="7"/>
        <v>6000</v>
      </c>
      <c r="AB22" s="65">
        <v>0</v>
      </c>
      <c r="AC22" s="65">
        <v>20</v>
      </c>
      <c r="AD22" s="65">
        <f t="shared" si="5"/>
        <v>475</v>
      </c>
      <c r="AE22" s="65">
        <v>300</v>
      </c>
      <c r="AF22" s="65">
        <v>6000</v>
      </c>
      <c r="AG22" s="65">
        <v>4</v>
      </c>
      <c r="AH22" s="65">
        <v>200</v>
      </c>
      <c r="AI22" s="65" t="str">
        <f>IF(条件输入!$G$5="无","","自定义")</f>
        <v/>
      </c>
      <c r="AJ22" s="65">
        <f>12*1000</f>
        <v>12000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</row>
    <row r="23" spans="1:51" x14ac:dyDescent="0.15">
      <c r="A23" s="65" t="s">
        <v>67</v>
      </c>
      <c r="B23" s="78"/>
      <c r="C23" s="65">
        <f>2.5*1000*3*条件输入!$E$5</f>
        <v>6000</v>
      </c>
      <c r="D23" s="65">
        <f>2.5*1000*3*条件输入!$F$5</f>
        <v>1499.9999999999998</v>
      </c>
      <c r="E23" s="65">
        <f t="shared" si="6"/>
        <v>1250</v>
      </c>
      <c r="F23" s="65">
        <f t="shared" si="0"/>
        <v>2500</v>
      </c>
      <c r="G23" s="65">
        <v>0</v>
      </c>
      <c r="H23" s="65">
        <f t="shared" si="1"/>
        <v>475</v>
      </c>
      <c r="I23" s="65">
        <v>250</v>
      </c>
      <c r="J23" s="65">
        <f t="shared" si="8"/>
        <v>1000</v>
      </c>
      <c r="K23" s="78"/>
      <c r="L23" s="65">
        <f>20000*条件输入!$E$5</f>
        <v>16000</v>
      </c>
      <c r="M23" s="65">
        <f>20000*条件输入!$F$5</f>
        <v>3999.9999999999991</v>
      </c>
      <c r="N23" s="65">
        <f>20000*0.3</f>
        <v>6000</v>
      </c>
      <c r="O23" s="65">
        <f t="shared" si="2"/>
        <v>6500</v>
      </c>
      <c r="P23" s="65">
        <f t="shared" si="3"/>
        <v>6000</v>
      </c>
      <c r="Q23" s="65">
        <v>20</v>
      </c>
      <c r="R23" s="65">
        <f t="shared" si="4"/>
        <v>475</v>
      </c>
      <c r="S23" s="65">
        <v>400</v>
      </c>
      <c r="T23" s="65">
        <v>8000</v>
      </c>
      <c r="U23" s="65">
        <v>2</v>
      </c>
      <c r="V23" s="65">
        <v>300</v>
      </c>
      <c r="W23" s="78"/>
      <c r="X23" s="65">
        <f>20000*条件输入!$E$5</f>
        <v>16000</v>
      </c>
      <c r="Y23" s="65">
        <f>20000*条件输入!$F$5</f>
        <v>3999.9999999999991</v>
      </c>
      <c r="Z23" s="65">
        <f>20000*0.3</f>
        <v>6000</v>
      </c>
      <c r="AA23" s="65">
        <f t="shared" si="7"/>
        <v>6000</v>
      </c>
      <c r="AB23" s="65">
        <v>0</v>
      </c>
      <c r="AC23" s="65">
        <v>20</v>
      </c>
      <c r="AD23" s="65">
        <f t="shared" si="5"/>
        <v>475</v>
      </c>
      <c r="AE23" s="65">
        <v>400</v>
      </c>
      <c r="AF23" s="65">
        <v>8000</v>
      </c>
      <c r="AG23" s="65">
        <v>4</v>
      </c>
      <c r="AH23" s="65">
        <v>300</v>
      </c>
      <c r="AI23" s="65" t="str">
        <f>IF(条件输入!$G$5="无","","自定义")</f>
        <v/>
      </c>
      <c r="AJ23" s="65">
        <f>14*1000</f>
        <v>14000</v>
      </c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</row>
    <row r="24" spans="1:51" x14ac:dyDescent="0.1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</row>
    <row r="25" spans="1:51" x14ac:dyDescent="0.1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</row>
    <row r="26" spans="1:51" x14ac:dyDescent="0.15">
      <c r="A26" s="65"/>
      <c r="B26" s="65" t="s">
        <v>143</v>
      </c>
      <c r="C26" s="65">
        <v>1</v>
      </c>
      <c r="D26" s="65">
        <v>2</v>
      </c>
      <c r="E26" s="65">
        <v>3</v>
      </c>
      <c r="F26" s="65">
        <v>4</v>
      </c>
      <c r="G26" s="65">
        <v>5</v>
      </c>
      <c r="H26" s="65">
        <v>6</v>
      </c>
      <c r="I26" s="65">
        <v>9</v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</row>
    <row r="27" spans="1:51" ht="27" x14ac:dyDescent="0.15">
      <c r="A27" s="65"/>
      <c r="B27" s="66" t="s">
        <v>111</v>
      </c>
      <c r="C27" s="66" t="s">
        <v>112</v>
      </c>
      <c r="D27" s="66" t="s">
        <v>4</v>
      </c>
      <c r="E27" s="66" t="s">
        <v>6</v>
      </c>
      <c r="F27" s="66" t="s">
        <v>7</v>
      </c>
      <c r="G27" s="66" t="s">
        <v>144</v>
      </c>
      <c r="H27" s="66" t="s">
        <v>160</v>
      </c>
      <c r="I27" s="66" t="s">
        <v>155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</row>
    <row r="28" spans="1:51" x14ac:dyDescent="0.15">
      <c r="A28" s="65"/>
      <c r="B28" s="66" t="s">
        <v>145</v>
      </c>
      <c r="C28" s="66" t="s">
        <v>161</v>
      </c>
      <c r="D28" s="66" t="s">
        <v>162</v>
      </c>
      <c r="E28" s="66" t="s">
        <v>162</v>
      </c>
      <c r="F28" s="66" t="s">
        <v>162</v>
      </c>
      <c r="G28" s="66" t="s">
        <v>162</v>
      </c>
      <c r="H28" s="66" t="s">
        <v>162</v>
      </c>
      <c r="I28" s="66" t="s">
        <v>161</v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</row>
    <row r="29" spans="1:51" x14ac:dyDescent="0.15">
      <c r="A29" s="65" t="s">
        <v>60</v>
      </c>
      <c r="B29" s="65"/>
      <c r="C29" s="65">
        <v>1800</v>
      </c>
      <c r="D29" s="65">
        <f>C29*0.2*条件输入!$E$5</f>
        <v>288</v>
      </c>
      <c r="E29" s="65">
        <f>C29*0.2*条件输入!$F$5</f>
        <v>71.999999999999986</v>
      </c>
      <c r="F29" s="65">
        <f>C29*0.2</f>
        <v>360</v>
      </c>
      <c r="G29" s="65">
        <v>0</v>
      </c>
      <c r="H29" s="65">
        <v>0</v>
      </c>
      <c r="I29" s="65">
        <f>C29</f>
        <v>1800</v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</row>
    <row r="30" spans="1:51" x14ac:dyDescent="0.15">
      <c r="A30" s="65" t="s">
        <v>61</v>
      </c>
      <c r="B30" s="65"/>
      <c r="C30" s="65">
        <v>1800</v>
      </c>
      <c r="D30" s="65">
        <f>C30*2*条件输入!$E$5</f>
        <v>2880</v>
      </c>
      <c r="E30" s="65">
        <f>C30*2*条件输入!$F$5</f>
        <v>719.99999999999989</v>
      </c>
      <c r="F30" s="65">
        <f>C30*1</f>
        <v>1800</v>
      </c>
      <c r="G30" s="65">
        <f>40*0.475</f>
        <v>19</v>
      </c>
      <c r="H30" s="65">
        <v>0</v>
      </c>
      <c r="I30" s="65">
        <f t="shared" ref="I30:I36" si="9">C30</f>
        <v>1800</v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</row>
    <row r="31" spans="1:51" x14ac:dyDescent="0.15">
      <c r="A31" s="65" t="s">
        <v>62</v>
      </c>
      <c r="B31" s="65"/>
      <c r="C31" s="65">
        <v>1800</v>
      </c>
      <c r="D31" s="65">
        <f>C31*2*条件输入!$E$5</f>
        <v>2880</v>
      </c>
      <c r="E31" s="65">
        <f>C31*2*条件输入!$F$5</f>
        <v>719.99999999999989</v>
      </c>
      <c r="F31" s="65">
        <f>C31*1</f>
        <v>1800</v>
      </c>
      <c r="G31" s="65">
        <f t="shared" ref="G31:G36" si="10">40*0.475</f>
        <v>19</v>
      </c>
      <c r="H31" s="65">
        <v>0</v>
      </c>
      <c r="I31" s="65">
        <f t="shared" si="9"/>
        <v>1800</v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</row>
    <row r="32" spans="1:51" x14ac:dyDescent="0.15">
      <c r="A32" s="65" t="s">
        <v>63</v>
      </c>
      <c r="B32" s="65"/>
      <c r="C32" s="65">
        <v>1800</v>
      </c>
      <c r="D32" s="65">
        <f>C32*3*条件输入!$E$5</f>
        <v>4320</v>
      </c>
      <c r="E32" s="65">
        <f>C32*3*条件输入!$F$5</f>
        <v>1079.9999999999998</v>
      </c>
      <c r="F32" s="65">
        <f>C32*0.5</f>
        <v>900</v>
      </c>
      <c r="G32" s="65">
        <f t="shared" si="10"/>
        <v>19</v>
      </c>
      <c r="H32" s="65">
        <v>50</v>
      </c>
      <c r="I32" s="65">
        <f t="shared" si="9"/>
        <v>1800</v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</row>
    <row r="33" spans="1:51" x14ac:dyDescent="0.15">
      <c r="A33" s="65" t="s">
        <v>64</v>
      </c>
      <c r="B33" s="65"/>
      <c r="C33" s="65">
        <v>1800</v>
      </c>
      <c r="D33" s="65">
        <f>C33*2.5*条件输入!$E$5</f>
        <v>3600</v>
      </c>
      <c r="E33" s="65">
        <f>C33*2.5*条件输入!$F$5</f>
        <v>899.99999999999977</v>
      </c>
      <c r="F33" s="65">
        <f>C33*1</f>
        <v>1800</v>
      </c>
      <c r="G33" s="65">
        <f t="shared" si="10"/>
        <v>19</v>
      </c>
      <c r="H33" s="65">
        <v>20</v>
      </c>
      <c r="I33" s="65">
        <f t="shared" si="9"/>
        <v>1800</v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</row>
    <row r="34" spans="1:51" x14ac:dyDescent="0.15">
      <c r="A34" s="65" t="s">
        <v>65</v>
      </c>
      <c r="B34" s="65"/>
      <c r="C34" s="65">
        <v>1800</v>
      </c>
      <c r="D34" s="65">
        <f>C34*3.5*条件输入!$E$5</f>
        <v>5040</v>
      </c>
      <c r="E34" s="65">
        <f>C34*3.5*条件输入!$F$5</f>
        <v>1259.9999999999998</v>
      </c>
      <c r="F34" s="65">
        <f>C34*0.5</f>
        <v>900</v>
      </c>
      <c r="G34" s="65">
        <f t="shared" si="10"/>
        <v>19</v>
      </c>
      <c r="H34" s="65">
        <v>50</v>
      </c>
      <c r="I34" s="65">
        <f t="shared" si="9"/>
        <v>1800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</row>
    <row r="35" spans="1:51" x14ac:dyDescent="0.15">
      <c r="A35" s="65" t="s">
        <v>66</v>
      </c>
      <c r="B35" s="65"/>
      <c r="C35" s="65">
        <v>1800</v>
      </c>
      <c r="D35" s="65">
        <f>C35*2.5*条件输入!$E$5</f>
        <v>3600</v>
      </c>
      <c r="E35" s="65">
        <f>C35*2.5*条件输入!$F$5</f>
        <v>899.99999999999977</v>
      </c>
      <c r="F35" s="65">
        <f>C35*1</f>
        <v>1800</v>
      </c>
      <c r="G35" s="65">
        <f t="shared" si="10"/>
        <v>19</v>
      </c>
      <c r="H35" s="65">
        <v>20</v>
      </c>
      <c r="I35" s="65">
        <f t="shared" si="9"/>
        <v>1800</v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</row>
    <row r="36" spans="1:51" x14ac:dyDescent="0.15">
      <c r="A36" s="65" t="s">
        <v>67</v>
      </c>
      <c r="B36" s="65"/>
      <c r="C36" s="65">
        <v>1800</v>
      </c>
      <c r="D36" s="65">
        <f>C36*4*条件输入!$E$5</f>
        <v>5760</v>
      </c>
      <c r="E36" s="65">
        <f>C36*4*条件输入!$F$5</f>
        <v>1439.9999999999998</v>
      </c>
      <c r="F36" s="65">
        <f>C36*0.5</f>
        <v>900</v>
      </c>
      <c r="G36" s="65">
        <f t="shared" si="10"/>
        <v>19</v>
      </c>
      <c r="H36" s="65">
        <v>50</v>
      </c>
      <c r="I36" s="65">
        <f t="shared" si="9"/>
        <v>1800</v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</row>
  </sheetData>
  <sheetProtection autoFilter="0"/>
  <phoneticPr fontId="5" type="noConversion"/>
  <pageMargins left="0.7" right="0.7" top="0.75" bottom="0.75" header="0.3" footer="0.3"/>
  <ignoredErrors>
    <ignoredError sqref="F34 F32 F33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成果输出</vt:lpstr>
      <vt:lpstr>条件输入</vt:lpstr>
      <vt:lpstr>风机基础数据</vt:lpstr>
      <vt:lpstr>升压站基础数据</vt:lpstr>
      <vt:lpstr>道路基础数据</vt:lpstr>
      <vt:lpstr>成果输出!_Hlk267228604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2012-01-10T09:42:12Z</dcterms:created>
  <dcterms:modified xsi:type="dcterms:W3CDTF">2019-03-13T12:19:55Z</dcterms:modified>
</cp:coreProperties>
</file>