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7" i="1" l="1"/>
  <c r="I25" i="1" l="1"/>
  <c r="I26" i="1"/>
  <c r="I27" i="1"/>
  <c r="I23" i="1"/>
  <c r="I24" i="1"/>
  <c r="M13" i="1"/>
  <c r="H28" i="1"/>
  <c r="B34" i="1"/>
  <c r="H24" i="1"/>
  <c r="H26" i="1"/>
  <c r="H25" i="1"/>
  <c r="B23" i="1"/>
  <c r="H23" i="1"/>
  <c r="C2" i="1"/>
  <c r="L47" i="1" l="1"/>
  <c r="M14" i="1"/>
  <c r="M18" i="1" s="1"/>
  <c r="M16" i="1"/>
  <c r="J46" i="1"/>
  <c r="J52" i="1" s="1"/>
  <c r="J15" i="1"/>
  <c r="L49" i="1"/>
  <c r="L48" i="1"/>
  <c r="M47" i="1"/>
  <c r="K47" i="1"/>
  <c r="L46" i="1"/>
  <c r="K46" i="1"/>
  <c r="M46" i="1"/>
  <c r="M22" i="1"/>
  <c r="B24" i="1"/>
  <c r="B12" i="1"/>
  <c r="D16" i="1" s="1"/>
  <c r="H16" i="1" s="1"/>
  <c r="H7" i="1"/>
  <c r="M20" i="1" l="1"/>
  <c r="M21" i="1"/>
  <c r="L52" i="1"/>
  <c r="M52" i="1" l="1"/>
  <c r="K52" i="1"/>
  <c r="O5" i="1"/>
  <c r="O6" i="1" s="1"/>
  <c r="B31" i="1"/>
  <c r="O7" i="1" l="1"/>
  <c r="O8" i="1"/>
  <c r="O9" i="1"/>
</calcChain>
</file>

<file path=xl/sharedStrings.xml><?xml version="1.0" encoding="utf-8"?>
<sst xmlns="http://schemas.openxmlformats.org/spreadsheetml/2006/main" count="125" uniqueCount="89">
  <si>
    <t>变压器</t>
  </si>
  <si>
    <r>
      <t>Δ</t>
    </r>
    <r>
      <rPr>
        <i/>
        <sz val="10.5"/>
        <color theme="1"/>
        <rFont val="Times New Roman"/>
        <family val="1"/>
      </rPr>
      <t>P</t>
    </r>
    <r>
      <rPr>
        <i/>
        <vertAlign val="subscript"/>
        <sz val="10.5"/>
        <color theme="1"/>
        <rFont val="Times New Roman"/>
        <family val="1"/>
      </rPr>
      <t>o</t>
    </r>
  </si>
  <si>
    <t>/kW</t>
  </si>
  <si>
    <r>
      <t>Δ</t>
    </r>
    <r>
      <rPr>
        <i/>
        <sz val="10.5"/>
        <color theme="1"/>
        <rFont val="Times New Roman"/>
        <family val="1"/>
      </rPr>
      <t>P</t>
    </r>
    <r>
      <rPr>
        <i/>
        <vertAlign val="subscript"/>
        <sz val="10.5"/>
        <color theme="1"/>
        <rFont val="Times New Roman"/>
        <family val="1"/>
      </rPr>
      <t>k</t>
    </r>
  </si>
  <si>
    <t>β</t>
  </si>
  <si>
    <t>T</t>
  </si>
  <si>
    <t>/h</t>
  </si>
  <si>
    <t>τ</t>
  </si>
  <si>
    <t>主变压器</t>
  </si>
  <si>
    <t>数量</t>
  </si>
  <si>
    <r>
      <t>/</t>
    </r>
    <r>
      <rPr>
        <sz val="10.5"/>
        <color theme="1"/>
        <rFont val="宋体"/>
        <family val="3"/>
        <charset val="134"/>
      </rPr>
      <t>台</t>
    </r>
  </si>
  <si>
    <r>
      <t>Δ</t>
    </r>
    <r>
      <rPr>
        <i/>
        <sz val="10.5"/>
        <color theme="1"/>
        <rFont val="Times New Roman"/>
        <family val="1"/>
      </rPr>
      <t>W</t>
    </r>
    <r>
      <rPr>
        <sz val="10.5"/>
        <color theme="1"/>
        <rFont val="Times New Roman"/>
        <family val="1"/>
      </rPr>
      <t xml:space="preserve"> </t>
    </r>
  </si>
  <si>
    <t>年发电量</t>
    <phoneticPr fontId="5" type="noConversion"/>
  </si>
  <si>
    <t>变压器额定容量（MVA）</t>
    <phoneticPr fontId="5" type="noConversion"/>
  </si>
  <si>
    <t>主变损耗</t>
    <phoneticPr fontId="5" type="noConversion"/>
  </si>
  <si>
    <t>箱变损耗</t>
    <phoneticPr fontId="5" type="noConversion"/>
  </si>
  <si>
    <t>风机台数</t>
    <phoneticPr fontId="5" type="noConversion"/>
  </si>
  <si>
    <t>无功补偿装置损耗</t>
    <phoneticPr fontId="5" type="noConversion"/>
  </si>
  <si>
    <t xml:space="preserve">Qs </t>
  </si>
  <si>
    <t>τ</t>
    <phoneticPr fontId="5" type="noConversion"/>
  </si>
  <si>
    <r>
      <t xml:space="preserve">  </t>
    </r>
    <r>
      <rPr>
        <sz val="12"/>
        <color theme="1"/>
        <rFont val="宋体"/>
        <family val="3"/>
        <charset val="134"/>
        <scheme val="minor"/>
      </rPr>
      <t>△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=0.008 </t>
    </r>
    <r>
      <rPr>
        <i/>
        <sz val="12"/>
        <color theme="1"/>
        <rFont val="Times New Roman"/>
        <family val="1"/>
      </rPr>
      <t>Q</t>
    </r>
    <r>
      <rPr>
        <i/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τ</t>
    </r>
    <phoneticPr fontId="5" type="noConversion"/>
  </si>
  <si>
    <t xml:space="preserve"> △A</t>
  </si>
  <si>
    <t>13.5 节能降耗效益分析</t>
    <phoneticPr fontId="5" type="noConversion"/>
  </si>
  <si>
    <t>总装机容量（MW）</t>
    <phoneticPr fontId="5" type="noConversion"/>
  </si>
  <si>
    <r>
      <t>/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>kW·h</t>
    </r>
    <phoneticPr fontId="5" type="noConversion"/>
  </si>
  <si>
    <t>准煤 万t</t>
    <phoneticPr fontId="5" type="noConversion"/>
  </si>
  <si>
    <t xml:space="preserve">CO2 万t </t>
    <phoneticPr fontId="5" type="noConversion"/>
  </si>
  <si>
    <t>排放烟尘 万t</t>
    <phoneticPr fontId="5" type="noConversion"/>
  </si>
  <si>
    <t>SO2 t</t>
    <phoneticPr fontId="5" type="noConversion"/>
  </si>
  <si>
    <t>Nox t</t>
    <phoneticPr fontId="5" type="noConversion"/>
  </si>
  <si>
    <t>总耗电量 万kW·h</t>
    <phoneticPr fontId="5" type="noConversion"/>
  </si>
  <si>
    <t xml:space="preserve">折标系数
</t>
    <phoneticPr fontId="5" type="noConversion"/>
  </si>
  <si>
    <t>年耗汽油（吨）</t>
    <phoneticPr fontId="5" type="noConversion"/>
  </si>
  <si>
    <t>标准煤（等价值）吨</t>
    <phoneticPr fontId="5" type="noConversion"/>
  </si>
  <si>
    <t>年综合能耗（等价值）吨</t>
    <phoneticPr fontId="5" type="noConversion"/>
  </si>
  <si>
    <t>单位产品综合能耗（等价值）</t>
    <phoneticPr fontId="5" type="noConversion"/>
  </si>
  <si>
    <t>克/kWh</t>
    <phoneticPr fontId="5" type="noConversion"/>
  </si>
  <si>
    <t>风机损耗</t>
    <phoneticPr fontId="5" type="noConversion"/>
  </si>
  <si>
    <t>容量</t>
    <phoneticPr fontId="5" type="noConversion"/>
  </si>
  <si>
    <t>年满发小时数</t>
    <phoneticPr fontId="5" type="noConversion"/>
  </si>
  <si>
    <t>台数</t>
    <phoneticPr fontId="5" type="noConversion"/>
  </si>
  <si>
    <r>
      <t>/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>kW·h</t>
    </r>
    <phoneticPr fontId="5" type="noConversion"/>
  </si>
  <si>
    <t>万kW·h</t>
  </si>
  <si>
    <t>万公里</t>
    <phoneticPr fontId="5" type="noConversion"/>
  </si>
  <si>
    <t>单位产值能耗（等价值）</t>
    <phoneticPr fontId="5" type="noConversion"/>
  </si>
  <si>
    <t>kg/万元</t>
    <phoneticPr fontId="5" type="noConversion"/>
  </si>
  <si>
    <t>上网电价</t>
    <phoneticPr fontId="5" type="noConversion"/>
  </si>
  <si>
    <t>元/kWh</t>
    <phoneticPr fontId="5" type="noConversion"/>
  </si>
  <si>
    <t>综合厂用电率</t>
    <phoneticPr fontId="5" type="noConversion"/>
  </si>
  <si>
    <t>%</t>
    <phoneticPr fontId="5" type="noConversion"/>
  </si>
  <si>
    <t>系数</t>
    <phoneticPr fontId="5" type="noConversion"/>
  </si>
  <si>
    <t>L/每100公里耗油</t>
    <phoneticPr fontId="5" type="noConversion"/>
  </si>
  <si>
    <t>序号</t>
  </si>
  <si>
    <t>项目名称</t>
  </si>
  <si>
    <t>单位耗电指标</t>
  </si>
  <si>
    <t>单位耗柴油指标</t>
  </si>
  <si>
    <t>单位耗汽油指标</t>
  </si>
  <si>
    <t>混凝土浇筑</t>
  </si>
  <si>
    <r>
      <t>13.8kWh/m</t>
    </r>
    <r>
      <rPr>
        <vertAlign val="superscript"/>
        <sz val="10.5"/>
        <color theme="1"/>
        <rFont val="Times New Roman"/>
        <family val="1"/>
      </rPr>
      <t>3</t>
    </r>
  </si>
  <si>
    <r>
      <t>2.8kg/m</t>
    </r>
    <r>
      <rPr>
        <vertAlign val="superscript"/>
        <sz val="10.5"/>
        <color theme="1"/>
        <rFont val="Times New Roman"/>
        <family val="1"/>
      </rPr>
      <t>3</t>
    </r>
  </si>
  <si>
    <r>
      <t>0.15kg/m</t>
    </r>
    <r>
      <rPr>
        <vertAlign val="superscript"/>
        <sz val="10.5"/>
        <color theme="1"/>
        <rFont val="Times New Roman"/>
        <family val="1"/>
      </rPr>
      <t>3</t>
    </r>
  </si>
  <si>
    <t>钢筋制安</t>
  </si>
  <si>
    <t>119.75kWh/t</t>
  </si>
  <si>
    <t>0.99kg/t</t>
  </si>
  <si>
    <t>3.01kg/t</t>
  </si>
  <si>
    <t>土石方开挖</t>
  </si>
  <si>
    <r>
      <t>0.45kg/m</t>
    </r>
    <r>
      <rPr>
        <vertAlign val="superscript"/>
        <sz val="10.5"/>
        <color theme="1"/>
        <rFont val="Times New Roman"/>
        <family val="1"/>
      </rPr>
      <t>3</t>
    </r>
  </si>
  <si>
    <t>土方填筑</t>
  </si>
  <si>
    <r>
      <t>0.22kg/m</t>
    </r>
    <r>
      <rPr>
        <vertAlign val="superscript"/>
        <sz val="10.5"/>
        <color theme="1"/>
        <rFont val="Times New Roman"/>
        <family val="1"/>
      </rPr>
      <t>3</t>
    </r>
  </si>
  <si>
    <r>
      <t>万</t>
    </r>
    <r>
      <rPr>
        <sz val="10.5"/>
        <color theme="1"/>
        <rFont val="Times New Roman"/>
        <family val="1"/>
      </rPr>
      <t>m</t>
    </r>
    <r>
      <rPr>
        <vertAlign val="superscript"/>
        <sz val="10.5"/>
        <color theme="1"/>
        <rFont val="Times New Roman"/>
        <family val="1"/>
      </rPr>
      <t>3</t>
    </r>
  </si>
  <si>
    <t>土石方回填</t>
  </si>
  <si>
    <t>混凝土</t>
  </si>
  <si>
    <t>钢筋</t>
  </si>
  <si>
    <t>t</t>
  </si>
  <si>
    <t>水</t>
  </si>
  <si>
    <t>电耗</t>
  </si>
  <si>
    <r>
      <t>万</t>
    </r>
    <r>
      <rPr>
        <sz val="10.5"/>
        <color theme="1"/>
        <rFont val="Times New Roman"/>
        <family val="1"/>
      </rPr>
      <t>kWh</t>
    </r>
  </si>
  <si>
    <t>柴油油耗</t>
  </si>
  <si>
    <t>汽油油耗</t>
  </si>
  <si>
    <t>土石方填筑</t>
  </si>
  <si>
    <t>混凝土生产系统</t>
  </si>
  <si>
    <t>施工营地能耗</t>
  </si>
  <si>
    <t>合计</t>
  </si>
  <si>
    <r>
      <t>万</t>
    </r>
    <r>
      <rPr>
        <sz val="10.5"/>
        <color theme="1"/>
        <rFont val="Times New Roman"/>
        <family val="1"/>
      </rPr>
      <t>m</t>
    </r>
    <r>
      <rPr>
        <vertAlign val="superscript"/>
        <sz val="10.5"/>
        <color theme="1"/>
        <rFont val="Times New Roman"/>
        <family val="1"/>
      </rPr>
      <t>3</t>
    </r>
    <phoneticPr fontId="5" type="noConversion"/>
  </si>
  <si>
    <t>年发电量</t>
    <phoneticPr fontId="5" type="noConversion"/>
  </si>
  <si>
    <r>
      <t xml:space="preserve">13.3.2.4 </t>
    </r>
    <r>
      <rPr>
        <sz val="14"/>
        <color theme="1"/>
        <rFont val="宋体"/>
        <family val="3"/>
        <charset val="134"/>
        <scheme val="minor"/>
      </rPr>
      <t>运行期能耗指标分析</t>
    </r>
    <phoneticPr fontId="5" type="noConversion"/>
  </si>
  <si>
    <t>年发电量 万kW·h</t>
    <phoneticPr fontId="5" type="noConversion"/>
  </si>
  <si>
    <t>集电线路</t>
    <phoneticPr fontId="5" type="noConversion"/>
  </si>
  <si>
    <t>道路长度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</si>
</sst>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3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vertAlign val="subscript"/>
      <sz val="10.5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color rgb="FF00B0F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vertAlign val="superscript"/>
      <sz val="10.5"/>
      <color theme="1"/>
      <name val="Times New Roman"/>
      <family val="1"/>
    </font>
    <font>
      <sz val="10.5"/>
      <color theme="1"/>
      <name val="Calibri"/>
      <family val="2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/>
    <xf numFmtId="0" fontId="7" fillId="0" borderId="4" xfId="0" applyFont="1" applyBorder="1" applyAlignment="1">
      <alignment horizontal="center" vertical="center" wrapText="1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6" fillId="0" borderId="5" xfId="0" applyFont="1" applyBorder="1"/>
    <xf numFmtId="0" fontId="15" fillId="0" borderId="5" xfId="0" applyFont="1" applyBorder="1"/>
    <xf numFmtId="0" fontId="16" fillId="0" borderId="5" xfId="0" applyFont="1" applyBorder="1"/>
    <xf numFmtId="0" fontId="18" fillId="0" borderId="5" xfId="0" applyFont="1" applyBorder="1"/>
    <xf numFmtId="0" fontId="19" fillId="0" borderId="5" xfId="0" applyFont="1" applyBorder="1"/>
    <xf numFmtId="0" fontId="17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22" fillId="0" borderId="0" xfId="0" applyNumberFormat="1" applyFont="1" applyAlignment="1">
      <alignment vertical="center"/>
    </xf>
    <xf numFmtId="176" fontId="2" fillId="0" borderId="11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2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zoomScale="115" zoomScaleNormal="115" workbookViewId="0">
      <selection activeCell="D9" sqref="D9"/>
    </sheetView>
  </sheetViews>
  <sheetFormatPr defaultRowHeight="13.5" x14ac:dyDescent="0.15"/>
  <cols>
    <col min="3" max="3" width="10.625" customWidth="1"/>
    <col min="4" max="4" width="21.875" customWidth="1"/>
    <col min="8" max="8" width="10.875" bestFit="1" customWidth="1"/>
    <col min="11" max="11" width="14.375" bestFit="1" customWidth="1"/>
    <col min="12" max="12" width="25" customWidth="1"/>
    <col min="13" max="13" width="6.5" customWidth="1"/>
    <col min="15" max="15" width="12.75" bestFit="1" customWidth="1"/>
  </cols>
  <sheetData>
    <row r="1" spans="1:16" x14ac:dyDescent="0.15">
      <c r="A1" t="s">
        <v>14</v>
      </c>
    </row>
    <row r="2" spans="1:16" x14ac:dyDescent="0.15">
      <c r="B2">
        <v>230648.4</v>
      </c>
      <c r="C2">
        <f>B2/10</f>
        <v>23064.84</v>
      </c>
      <c r="L2" t="s">
        <v>22</v>
      </c>
    </row>
    <row r="3" spans="1:16" ht="16.5" x14ac:dyDescent="0.15">
      <c r="A3" t="s">
        <v>84</v>
      </c>
      <c r="B3" s="38">
        <v>23064.84</v>
      </c>
      <c r="D3" t="s">
        <v>13</v>
      </c>
      <c r="E3">
        <v>90</v>
      </c>
      <c r="G3">
        <v>0.95</v>
      </c>
      <c r="L3" t="s">
        <v>23</v>
      </c>
      <c r="P3" s="14" t="s">
        <v>50</v>
      </c>
    </row>
    <row r="4" spans="1:16" ht="17.25" thickBot="1" x14ac:dyDescent="0.2">
      <c r="L4" t="s">
        <v>86</v>
      </c>
      <c r="O4" s="38">
        <v>27128</v>
      </c>
      <c r="P4" s="14"/>
    </row>
    <row r="5" spans="1:16" ht="15" x14ac:dyDescent="0.15">
      <c r="A5" s="44" t="s">
        <v>0</v>
      </c>
      <c r="B5" s="2" t="s">
        <v>1</v>
      </c>
      <c r="C5" s="2" t="s">
        <v>3</v>
      </c>
      <c r="D5" s="46" t="s">
        <v>4</v>
      </c>
      <c r="E5" s="4" t="s">
        <v>5</v>
      </c>
      <c r="F5" s="4" t="s">
        <v>7</v>
      </c>
      <c r="G5" s="1" t="s">
        <v>9</v>
      </c>
      <c r="H5" s="2" t="s">
        <v>11</v>
      </c>
      <c r="L5" t="s">
        <v>25</v>
      </c>
      <c r="O5" s="11">
        <f>O4*P5/1000</f>
        <v>8.6809600000000007</v>
      </c>
      <c r="P5" s="14">
        <v>0.32</v>
      </c>
    </row>
    <row r="6" spans="1:16" ht="14.25" thickBot="1" x14ac:dyDescent="0.2">
      <c r="A6" s="45"/>
      <c r="B6" s="3" t="s">
        <v>2</v>
      </c>
      <c r="C6" s="3" t="s">
        <v>2</v>
      </c>
      <c r="D6" s="47"/>
      <c r="E6" s="3" t="s">
        <v>6</v>
      </c>
      <c r="F6" s="5" t="s">
        <v>6</v>
      </c>
      <c r="G6" s="7" t="s">
        <v>10</v>
      </c>
      <c r="H6" s="3" t="s">
        <v>24</v>
      </c>
      <c r="L6" t="s">
        <v>26</v>
      </c>
      <c r="O6" s="11">
        <f>O5*P6</f>
        <v>21.641633280000001</v>
      </c>
      <c r="P6" s="14">
        <v>2.4929999999999999</v>
      </c>
    </row>
    <row r="7" spans="1:16" ht="14.25" thickBot="1" x14ac:dyDescent="0.2">
      <c r="A7" s="6" t="s">
        <v>8</v>
      </c>
      <c r="B7" s="3">
        <v>43.6</v>
      </c>
      <c r="C7" s="3">
        <v>232</v>
      </c>
      <c r="D7" s="3">
        <f>B3/2/E3/G3/E7*10</f>
        <v>0.16860263157894739</v>
      </c>
      <c r="E7" s="3">
        <v>8000</v>
      </c>
      <c r="F7" s="9">
        <v>2306.5</v>
      </c>
      <c r="G7" s="7">
        <v>1</v>
      </c>
      <c r="H7" s="3">
        <f>(B7*E7+C7*D7*D7*F7)/10000*G7</f>
        <v>36.401143344532684</v>
      </c>
      <c r="L7" t="s">
        <v>27</v>
      </c>
      <c r="O7" s="11">
        <f>O5*P7</f>
        <v>5.9898623999999998</v>
      </c>
      <c r="P7" s="14">
        <v>0.69</v>
      </c>
    </row>
    <row r="8" spans="1:16" x14ac:dyDescent="0.15">
      <c r="L8" t="s">
        <v>28</v>
      </c>
      <c r="O8" s="11">
        <f>O5*P8*10000</f>
        <v>6510.72</v>
      </c>
      <c r="P8" s="14">
        <v>7.4999999999999997E-2</v>
      </c>
    </row>
    <row r="9" spans="1:16" x14ac:dyDescent="0.15">
      <c r="L9" t="s">
        <v>29</v>
      </c>
      <c r="O9" s="11">
        <f>O5*P9*10000</f>
        <v>3255.36</v>
      </c>
      <c r="P9" s="14">
        <v>3.7499999999999999E-2</v>
      </c>
    </row>
    <row r="10" spans="1:16" x14ac:dyDescent="0.15">
      <c r="A10" t="s">
        <v>15</v>
      </c>
      <c r="C10" t="s">
        <v>16</v>
      </c>
      <c r="D10" s="8">
        <v>28</v>
      </c>
    </row>
    <row r="12" spans="1:16" ht="18.75" x14ac:dyDescent="0.25">
      <c r="A12" t="s">
        <v>12</v>
      </c>
      <c r="B12" s="38">
        <f>B3/D10</f>
        <v>823.74428571428575</v>
      </c>
      <c r="D12" t="s">
        <v>13</v>
      </c>
      <c r="E12">
        <v>3.52</v>
      </c>
      <c r="G12">
        <v>0.95</v>
      </c>
      <c r="L12" s="12" t="s">
        <v>85</v>
      </c>
    </row>
    <row r="13" spans="1:16" ht="27.75" thickBot="1" x14ac:dyDescent="0.2">
      <c r="J13" s="15">
        <v>10</v>
      </c>
      <c r="K13" s="17" t="s">
        <v>51</v>
      </c>
      <c r="L13" s="12" t="s">
        <v>30</v>
      </c>
      <c r="M13" s="8">
        <f>H28</f>
        <v>913.22221779423887</v>
      </c>
      <c r="O13" s="13" t="s">
        <v>31</v>
      </c>
      <c r="P13">
        <v>0.32</v>
      </c>
    </row>
    <row r="14" spans="1:16" ht="15" x14ac:dyDescent="0.15">
      <c r="A14" s="44" t="s">
        <v>0</v>
      </c>
      <c r="B14" s="2" t="s">
        <v>1</v>
      </c>
      <c r="C14" s="2" t="s">
        <v>3</v>
      </c>
      <c r="D14" s="46" t="s">
        <v>4</v>
      </c>
      <c r="E14" s="4" t="s">
        <v>5</v>
      </c>
      <c r="F14" s="4" t="s">
        <v>19</v>
      </c>
      <c r="G14" s="1" t="s">
        <v>9</v>
      </c>
      <c r="H14" s="2" t="s">
        <v>11</v>
      </c>
      <c r="J14" s="15">
        <v>6</v>
      </c>
      <c r="K14" s="18" t="s">
        <v>43</v>
      </c>
      <c r="L14" s="12" t="s">
        <v>33</v>
      </c>
      <c r="M14" s="11">
        <f>M13*P13*10</f>
        <v>2922.3110969415643</v>
      </c>
      <c r="P14">
        <v>1.4714</v>
      </c>
    </row>
    <row r="15" spans="1:16" ht="14.25" thickBot="1" x14ac:dyDescent="0.2">
      <c r="A15" s="45"/>
      <c r="B15" s="3" t="s">
        <v>2</v>
      </c>
      <c r="C15" s="3" t="s">
        <v>2</v>
      </c>
      <c r="D15" s="47"/>
      <c r="E15" s="3" t="s">
        <v>6</v>
      </c>
      <c r="F15" s="5" t="s">
        <v>6</v>
      </c>
      <c r="G15" s="7" t="s">
        <v>10</v>
      </c>
      <c r="H15" s="3" t="s">
        <v>41</v>
      </c>
      <c r="J15" s="19">
        <f>J14*10000*J13/100*0.738/1000</f>
        <v>4.4279999999999999</v>
      </c>
      <c r="K15" s="16"/>
      <c r="L15" s="12" t="s">
        <v>32</v>
      </c>
      <c r="M15" s="20">
        <v>4.43</v>
      </c>
    </row>
    <row r="16" spans="1:16" ht="14.25" thickBot="1" x14ac:dyDescent="0.2">
      <c r="A16" s="6" t="s">
        <v>8</v>
      </c>
      <c r="B16" s="3">
        <v>2.36</v>
      </c>
      <c r="C16" s="3">
        <v>23.2</v>
      </c>
      <c r="D16" s="3">
        <f>B12/E12/G12/E16*10</f>
        <v>0.307918767088175</v>
      </c>
      <c r="E16" s="3">
        <v>8000</v>
      </c>
      <c r="F16" s="9">
        <v>2306.5</v>
      </c>
      <c r="G16" s="7"/>
      <c r="H16" s="3">
        <f>(B16*E16+C16*D16*D16*F16)/10000*D10</f>
        <v>67.069999449706103</v>
      </c>
      <c r="L16" s="12" t="s">
        <v>33</v>
      </c>
      <c r="M16" s="11">
        <f>M15*P14</f>
        <v>6.5183019999999994</v>
      </c>
    </row>
    <row r="17" spans="1:17" x14ac:dyDescent="0.15">
      <c r="M17" s="11"/>
    </row>
    <row r="18" spans="1:17" x14ac:dyDescent="0.15">
      <c r="L18" t="s">
        <v>34</v>
      </c>
      <c r="M18" s="11">
        <f>M14+M16</f>
        <v>2928.8293989415642</v>
      </c>
    </row>
    <row r="19" spans="1:17" x14ac:dyDescent="0.15">
      <c r="A19" t="s">
        <v>17</v>
      </c>
      <c r="M19" s="11"/>
    </row>
    <row r="20" spans="1:17" x14ac:dyDescent="0.15">
      <c r="L20" t="s">
        <v>35</v>
      </c>
      <c r="M20" s="11">
        <f>M18/O4*100</f>
        <v>10.796333673479667</v>
      </c>
      <c r="N20" t="s">
        <v>36</v>
      </c>
    </row>
    <row r="21" spans="1:17" ht="18.75" x14ac:dyDescent="0.35">
      <c r="A21" s="10" t="s">
        <v>20</v>
      </c>
      <c r="L21" t="s">
        <v>44</v>
      </c>
      <c r="M21" s="11">
        <f>M18/P21/O4*1000</f>
        <v>207.62180141307053</v>
      </c>
      <c r="N21" t="s">
        <v>45</v>
      </c>
      <c r="O21" t="s">
        <v>46</v>
      </c>
      <c r="P21" s="8">
        <v>0.52</v>
      </c>
      <c r="Q21" t="s">
        <v>47</v>
      </c>
    </row>
    <row r="22" spans="1:17" x14ac:dyDescent="0.15">
      <c r="L22" t="s">
        <v>48</v>
      </c>
      <c r="M22" s="11">
        <f>M13/O4*100</f>
        <v>3.3663455389053332</v>
      </c>
      <c r="N22" t="s">
        <v>49</v>
      </c>
    </row>
    <row r="23" spans="1:17" ht="14.25" x14ac:dyDescent="0.15">
      <c r="A23" t="s">
        <v>18</v>
      </c>
      <c r="B23" s="8">
        <f>E3*0.25</f>
        <v>22.5</v>
      </c>
      <c r="H23" s="37">
        <f>H16</f>
        <v>67.069999449706103</v>
      </c>
      <c r="I23" s="40">
        <f>H23/$M$13*100</f>
        <v>7.3443241023750332</v>
      </c>
    </row>
    <row r="24" spans="1:17" ht="14.25" x14ac:dyDescent="0.15">
      <c r="A24" t="s">
        <v>21</v>
      </c>
      <c r="B24">
        <f>0.008*B23*F7/10</f>
        <v>41.516999999999996</v>
      </c>
      <c r="H24" s="37">
        <f>B34</f>
        <v>663.23407500000008</v>
      </c>
      <c r="I24" s="40">
        <f>H24/$M$13*100</f>
        <v>72.625705121580339</v>
      </c>
    </row>
    <row r="25" spans="1:17" ht="14.25" x14ac:dyDescent="0.15">
      <c r="H25" s="37">
        <f>B24</f>
        <v>41.516999999999996</v>
      </c>
      <c r="I25" s="40">
        <f>H25/$M$13*100</f>
        <v>4.5462100232601141</v>
      </c>
    </row>
    <row r="26" spans="1:17" ht="14.25" x14ac:dyDescent="0.15">
      <c r="H26" s="37">
        <f>H7</f>
        <v>36.401143344532684</v>
      </c>
      <c r="I26" s="40">
        <f>H26/$M$13*100</f>
        <v>3.9860115791372857</v>
      </c>
      <c r="J26" s="37"/>
      <c r="K26" s="40"/>
      <c r="O26" s="37"/>
      <c r="Q26" s="37"/>
    </row>
    <row r="27" spans="1:17" ht="14.25" x14ac:dyDescent="0.15">
      <c r="A27" t="s">
        <v>37</v>
      </c>
      <c r="H27" s="37">
        <v>105</v>
      </c>
      <c r="I27" s="40">
        <f>H27/$M$13*100</f>
        <v>11.497749173647229</v>
      </c>
      <c r="J27" s="37"/>
      <c r="K27" s="40"/>
      <c r="O27" s="37"/>
      <c r="Q27" s="37"/>
    </row>
    <row r="28" spans="1:17" ht="15" thickBot="1" x14ac:dyDescent="0.2">
      <c r="B28" t="s">
        <v>38</v>
      </c>
      <c r="D28" t="s">
        <v>39</v>
      </c>
      <c r="F28" t="s">
        <v>40</v>
      </c>
      <c r="H28" s="41">
        <f>SUM(H23:H27)</f>
        <v>913.22221779423887</v>
      </c>
      <c r="I28" s="40"/>
      <c r="J28" s="37"/>
      <c r="K28" s="40"/>
      <c r="O28" s="37"/>
      <c r="Q28" s="37"/>
    </row>
    <row r="29" spans="1:17" ht="14.25" x14ac:dyDescent="0.15">
      <c r="B29">
        <v>2500</v>
      </c>
      <c r="D29" s="8">
        <v>2404.8000000000002</v>
      </c>
      <c r="F29" s="8">
        <v>20</v>
      </c>
      <c r="J29" s="37"/>
      <c r="K29" s="40"/>
      <c r="M29" s="21"/>
      <c r="O29" s="37"/>
      <c r="Q29" s="37"/>
    </row>
    <row r="30" spans="1:17" ht="14.25" x14ac:dyDescent="0.15">
      <c r="J30" s="37"/>
      <c r="K30" s="40"/>
      <c r="M30" s="21"/>
      <c r="O30" s="37"/>
      <c r="Q30" s="37"/>
    </row>
    <row r="31" spans="1:17" ht="14.25" x14ac:dyDescent="0.15">
      <c r="B31">
        <f>B29*0.01*D29*F29/10000</f>
        <v>120.24000000000002</v>
      </c>
      <c r="C31" t="s">
        <v>42</v>
      </c>
      <c r="J31" s="37"/>
      <c r="K31" s="40"/>
      <c r="M31" s="22"/>
      <c r="O31" s="37"/>
      <c r="Q31" s="37"/>
    </row>
    <row r="32" spans="1:17" ht="14.25" x14ac:dyDescent="0.15">
      <c r="M32" s="21"/>
      <c r="O32" s="37"/>
    </row>
    <row r="33" spans="1:15" ht="14.25" x14ac:dyDescent="0.15">
      <c r="A33" t="s">
        <v>87</v>
      </c>
      <c r="C33" t="s">
        <v>88</v>
      </c>
      <c r="D33">
        <v>71</v>
      </c>
      <c r="M33" s="21"/>
      <c r="O33" s="37"/>
    </row>
    <row r="34" spans="1:15" x14ac:dyDescent="0.15">
      <c r="B34">
        <f>0.005*F16/1000*E3^2/10*D33</f>
        <v>663.23407500000008</v>
      </c>
      <c r="M34" s="21"/>
    </row>
    <row r="35" spans="1:15" ht="14.25" thickBot="1" x14ac:dyDescent="0.2"/>
    <row r="36" spans="1:15" ht="26.25" thickBot="1" x14ac:dyDescent="0.2">
      <c r="A36" s="35" t="s">
        <v>52</v>
      </c>
      <c r="B36" s="35" t="s">
        <v>53</v>
      </c>
      <c r="C36" s="35" t="s">
        <v>54</v>
      </c>
      <c r="D36" s="35" t="s">
        <v>55</v>
      </c>
      <c r="E36" s="35" t="s">
        <v>56</v>
      </c>
      <c r="H36" s="31" t="s">
        <v>65</v>
      </c>
      <c r="I36" s="32" t="s">
        <v>69</v>
      </c>
      <c r="J36" s="33">
        <v>87.7</v>
      </c>
      <c r="L36" s="25">
        <v>8.0500000000000007</v>
      </c>
    </row>
    <row r="37" spans="1:15" ht="26.25" thickBot="1" x14ac:dyDescent="0.2">
      <c r="A37" s="36">
        <v>1</v>
      </c>
      <c r="B37" s="35" t="s">
        <v>57</v>
      </c>
      <c r="C37" s="36" t="s">
        <v>58</v>
      </c>
      <c r="D37" s="36" t="s">
        <v>59</v>
      </c>
      <c r="E37" s="36" t="s">
        <v>60</v>
      </c>
      <c r="H37" s="34" t="s">
        <v>70</v>
      </c>
      <c r="I37" s="23" t="s">
        <v>69</v>
      </c>
      <c r="J37" s="24">
        <v>41.96</v>
      </c>
      <c r="L37" s="25">
        <v>8.3800000000000008</v>
      </c>
    </row>
    <row r="38" spans="1:15" ht="17.25" thickBot="1" x14ac:dyDescent="0.2">
      <c r="A38" s="36">
        <v>2</v>
      </c>
      <c r="B38" s="35" t="s">
        <v>61</v>
      </c>
      <c r="C38" s="36" t="s">
        <v>62</v>
      </c>
      <c r="D38" s="36" t="s">
        <v>63</v>
      </c>
      <c r="E38" s="36" t="s">
        <v>64</v>
      </c>
      <c r="H38" s="34" t="s">
        <v>71</v>
      </c>
      <c r="I38" s="23" t="s">
        <v>83</v>
      </c>
      <c r="J38" s="24">
        <v>1.8240000000000001</v>
      </c>
      <c r="L38" s="25">
        <v>2.58</v>
      </c>
    </row>
    <row r="39" spans="1:15" ht="26.25" thickBot="1" x14ac:dyDescent="0.2">
      <c r="A39" s="36">
        <v>3</v>
      </c>
      <c r="B39" s="35" t="s">
        <v>65</v>
      </c>
      <c r="C39" s="36"/>
      <c r="D39" s="36" t="s">
        <v>66</v>
      </c>
      <c r="E39" s="36"/>
      <c r="H39" s="34" t="s">
        <v>72</v>
      </c>
      <c r="I39" s="25" t="s">
        <v>73</v>
      </c>
      <c r="J39" s="24">
        <v>1682.8</v>
      </c>
      <c r="L39" s="25">
        <v>1621</v>
      </c>
    </row>
    <row r="40" spans="1:15" ht="16.5" x14ac:dyDescent="0.15">
      <c r="A40" s="36">
        <v>4</v>
      </c>
      <c r="B40" s="35" t="s">
        <v>67</v>
      </c>
      <c r="C40" s="36"/>
      <c r="D40" s="36" t="s">
        <v>68</v>
      </c>
      <c r="E40" s="36"/>
    </row>
    <row r="42" spans="1:15" ht="25.5" x14ac:dyDescent="0.15">
      <c r="A42" s="35" t="s">
        <v>52</v>
      </c>
      <c r="B42" s="35" t="s">
        <v>53</v>
      </c>
      <c r="C42" s="35" t="s">
        <v>54</v>
      </c>
      <c r="D42" s="35" t="s">
        <v>55</v>
      </c>
      <c r="E42" s="35" t="s">
        <v>56</v>
      </c>
    </row>
    <row r="43" spans="1:15" ht="26.25" thickBot="1" x14ac:dyDescent="0.2">
      <c r="A43" s="36">
        <v>1</v>
      </c>
      <c r="B43" s="35" t="s">
        <v>57</v>
      </c>
      <c r="C43" s="36">
        <v>13.8</v>
      </c>
      <c r="D43" s="36">
        <v>2.8</v>
      </c>
      <c r="E43" s="36">
        <v>0.15</v>
      </c>
    </row>
    <row r="44" spans="1:15" ht="25.5" x14ac:dyDescent="0.15">
      <c r="A44" s="36">
        <v>2</v>
      </c>
      <c r="B44" s="35" t="s">
        <v>61</v>
      </c>
      <c r="C44" s="36">
        <v>119.75</v>
      </c>
      <c r="D44" s="36">
        <v>0.99</v>
      </c>
      <c r="E44" s="36">
        <v>3.01</v>
      </c>
      <c r="H44" s="42" t="s">
        <v>52</v>
      </c>
      <c r="I44" s="42" t="s">
        <v>53</v>
      </c>
      <c r="J44" s="26" t="s">
        <v>74</v>
      </c>
      <c r="K44" s="26" t="s">
        <v>75</v>
      </c>
      <c r="L44" s="26" t="s">
        <v>77</v>
      </c>
      <c r="M44" s="26" t="s">
        <v>78</v>
      </c>
    </row>
    <row r="45" spans="1:15" ht="26.25" thickBot="1" x14ac:dyDescent="0.2">
      <c r="A45" s="36">
        <v>3</v>
      </c>
      <c r="B45" s="35" t="s">
        <v>65</v>
      </c>
      <c r="C45" s="36"/>
      <c r="D45" s="36">
        <v>0.45</v>
      </c>
      <c r="E45" s="36"/>
      <c r="H45" s="43"/>
      <c r="I45" s="43"/>
      <c r="J45" s="27" t="s">
        <v>73</v>
      </c>
      <c r="K45" s="28" t="s">
        <v>76</v>
      </c>
      <c r="L45" s="27" t="s">
        <v>73</v>
      </c>
      <c r="M45" s="27" t="s">
        <v>73</v>
      </c>
    </row>
    <row r="46" spans="1:15" ht="26.25" thickBot="1" x14ac:dyDescent="0.2">
      <c r="A46" s="36">
        <v>4</v>
      </c>
      <c r="B46" s="35" t="s">
        <v>67</v>
      </c>
      <c r="C46" s="36"/>
      <c r="D46" s="36">
        <v>0.22</v>
      </c>
      <c r="E46" s="36"/>
      <c r="H46" s="30">
        <v>1</v>
      </c>
      <c r="I46" s="29" t="s">
        <v>57</v>
      </c>
      <c r="J46">
        <f>J38*0.25*10000</f>
        <v>4560</v>
      </c>
      <c r="K46" s="39">
        <f>J38*C43</f>
        <v>25.171200000000002</v>
      </c>
      <c r="L46" s="39">
        <f>D43*J38*10</f>
        <v>51.071999999999996</v>
      </c>
      <c r="M46" s="39">
        <f>E43*J38*10</f>
        <v>2.7360000000000002</v>
      </c>
    </row>
    <row r="47" spans="1:15" ht="14.25" thickBot="1" x14ac:dyDescent="0.2">
      <c r="H47" s="30">
        <v>2</v>
      </c>
      <c r="I47" s="29" t="s">
        <v>61</v>
      </c>
      <c r="J47" s="30"/>
      <c r="K47" s="39">
        <f>C44*J39/10000</f>
        <v>20.151529999999998</v>
      </c>
      <c r="L47" s="39">
        <f>D44*J39/1000</f>
        <v>1.665972</v>
      </c>
      <c r="M47" s="39">
        <f>E44*J39/1000</f>
        <v>5.0652279999999994</v>
      </c>
    </row>
    <row r="48" spans="1:15" ht="26.25" thickBot="1" x14ac:dyDescent="0.2">
      <c r="H48" s="30">
        <v>3</v>
      </c>
      <c r="I48" s="29" t="s">
        <v>65</v>
      </c>
      <c r="J48" s="30"/>
      <c r="K48" s="39"/>
      <c r="L48" s="39">
        <f>D45*J36*10</f>
        <v>394.65000000000003</v>
      </c>
      <c r="M48" s="39"/>
    </row>
    <row r="49" spans="7:13" ht="26.25" thickBot="1" x14ac:dyDescent="0.2">
      <c r="H49" s="30">
        <v>4</v>
      </c>
      <c r="I49" s="29" t="s">
        <v>79</v>
      </c>
      <c r="J49" s="30"/>
      <c r="K49" s="39"/>
      <c r="L49" s="39">
        <f>D46*J37*10</f>
        <v>92.311999999999998</v>
      </c>
      <c r="M49" s="39"/>
    </row>
    <row r="50" spans="7:13" ht="26.25" thickBot="1" x14ac:dyDescent="0.2">
      <c r="H50" s="30">
        <v>5</v>
      </c>
      <c r="I50" s="29" t="s">
        <v>80</v>
      </c>
      <c r="J50" s="30">
        <v>8000</v>
      </c>
      <c r="K50" s="39">
        <v>11.68</v>
      </c>
      <c r="L50" s="39"/>
      <c r="M50" s="39"/>
    </row>
    <row r="51" spans="7:13" ht="26.25" thickBot="1" x14ac:dyDescent="0.2">
      <c r="H51" s="30">
        <v>6</v>
      </c>
      <c r="I51" s="29" t="s">
        <v>81</v>
      </c>
      <c r="J51" s="30">
        <v>4800</v>
      </c>
      <c r="K51" s="39">
        <v>27.2</v>
      </c>
      <c r="L51" s="39"/>
      <c r="M51" s="39"/>
    </row>
    <row r="52" spans="7:13" ht="14.25" thickBot="1" x14ac:dyDescent="0.2">
      <c r="H52" s="30">
        <v>7</v>
      </c>
      <c r="I52" s="29" t="s">
        <v>82</v>
      </c>
      <c r="J52" s="30">
        <f>J46+J50+J51</f>
        <v>17360</v>
      </c>
      <c r="K52" s="39">
        <f>K46+K47+K50+K51</f>
        <v>84.202730000000003</v>
      </c>
      <c r="L52" s="39">
        <f>L46+L47+L48+L49</f>
        <v>539.699972</v>
      </c>
      <c r="M52" s="39">
        <f>M46+M47</f>
        <v>7.8012280000000001</v>
      </c>
    </row>
    <row r="60" spans="7:13" x14ac:dyDescent="0.15">
      <c r="J60" s="21"/>
    </row>
    <row r="61" spans="7:13" x14ac:dyDescent="0.15">
      <c r="J61" s="21"/>
    </row>
    <row r="62" spans="7:13" x14ac:dyDescent="0.15">
      <c r="G62" s="21"/>
      <c r="J62" s="21"/>
    </row>
    <row r="63" spans="7:13" x14ac:dyDescent="0.15">
      <c r="G63" s="21"/>
      <c r="J63" s="21"/>
    </row>
    <row r="64" spans="7:13" x14ac:dyDescent="0.15">
      <c r="G64" s="21"/>
      <c r="J64" s="21"/>
    </row>
    <row r="65" spans="7:10" x14ac:dyDescent="0.15">
      <c r="G65" s="21"/>
      <c r="J65" s="21"/>
    </row>
    <row r="66" spans="7:10" x14ac:dyDescent="0.15">
      <c r="G66" s="21"/>
    </row>
    <row r="67" spans="7:10" x14ac:dyDescent="0.15">
      <c r="G67" s="21"/>
    </row>
  </sheetData>
  <mergeCells count="6">
    <mergeCell ref="I44:I45"/>
    <mergeCell ref="A5:A6"/>
    <mergeCell ref="D5:D6"/>
    <mergeCell ref="A14:A15"/>
    <mergeCell ref="D14:D15"/>
    <mergeCell ref="H44:H45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2019-12-17T09:41:05Z</dcterms:modified>
</cp:coreProperties>
</file>